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a Orci\Downloads\Imprese con sito per progetti OI\"/>
    </mc:Choice>
  </mc:AlternateContent>
  <xr:revisionPtr revIDLastSave="0" documentId="13_ncr:1_{88FBE8E1-E1F6-42CE-ABDC-4AE000808B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sultati" sheetId="2" r:id="rId1"/>
  </sheets>
  <definedNames>
    <definedName name="_xlnm._FilterDatabase" localSheetId="0" hidden="1">Risultati!$A$1:$F$2241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</calcChain>
</file>

<file path=xl/sharedStrings.xml><?xml version="1.0" encoding="utf-8"?>
<sst xmlns="http://schemas.openxmlformats.org/spreadsheetml/2006/main" count="11205" uniqueCount="7764">
  <si>
    <t>Ragione sociale</t>
  </si>
  <si>
    <t>Partita IVA</t>
  </si>
  <si>
    <t>ATECO 2007
codice</t>
  </si>
  <si>
    <t>Provincia</t>
  </si>
  <si>
    <t>Indirizzo sede legale - Regione</t>
  </si>
  <si>
    <t>Website</t>
  </si>
  <si>
    <t>GUCCIO GUCCI S.P.A.</t>
  </si>
  <si>
    <t>04294710480</t>
  </si>
  <si>
    <t>151209</t>
  </si>
  <si>
    <t>Firenze</t>
  </si>
  <si>
    <t>Toscana</t>
  </si>
  <si>
    <t>PRADA S.P.A.</t>
  </si>
  <si>
    <t>10115350158</t>
  </si>
  <si>
    <t>Milano</t>
  </si>
  <si>
    <t>Lombardia</t>
  </si>
  <si>
    <t>GUCCI LOGISTICA SOCIETA' PER AZIONI</t>
  </si>
  <si>
    <t>04773230489</t>
  </si>
  <si>
    <t>BOTTEGA VENETA S.R.L.</t>
  </si>
  <si>
    <t>01824610248</t>
  </si>
  <si>
    <t>Vicenza</t>
  </si>
  <si>
    <t>Veneto</t>
  </si>
  <si>
    <t>SALVATORE FERRAGAMO S.P.A.</t>
  </si>
  <si>
    <t>02175200480</t>
  </si>
  <si>
    <t>152010</t>
  </si>
  <si>
    <t>YVES SAINT LAURENT MANIFATTURE S.R.L.</t>
  </si>
  <si>
    <t>06196900481</t>
  </si>
  <si>
    <t>TOD'S S.P.A.</t>
  </si>
  <si>
    <t>01113570442</t>
  </si>
  <si>
    <t>Fermo</t>
  </si>
  <si>
    <t>Marche</t>
  </si>
  <si>
    <t>BALENCIAGA LOGISTICA S.R.L.</t>
  </si>
  <si>
    <t>06196910480</t>
  </si>
  <si>
    <t>GEOX S.P.A.</t>
  </si>
  <si>
    <t>03348440268</t>
  </si>
  <si>
    <t>Treviso</t>
  </si>
  <si>
    <t>CONCERIA PASUBIO S.P.A.</t>
  </si>
  <si>
    <t>00165480245</t>
  </si>
  <si>
    <t>151100</t>
  </si>
  <si>
    <t>GRUPPO MASTROTTO S.P.A.</t>
  </si>
  <si>
    <t>02629600244</t>
  </si>
  <si>
    <t>ALPINESTARS S.P.A.</t>
  </si>
  <si>
    <t>01171110263</t>
  </si>
  <si>
    <t>RINO MASTROTTO GROUP S.P.A.</t>
  </si>
  <si>
    <t>02723000242</t>
  </si>
  <si>
    <t>CELINE PRODUCTION S.R.L. -</t>
  </si>
  <si>
    <t>01667950487</t>
  </si>
  <si>
    <t>LEO SHOES S.R.L.</t>
  </si>
  <si>
    <t>04338410758</t>
  </si>
  <si>
    <t>Lecce</t>
  </si>
  <si>
    <t>Puglia</t>
  </si>
  <si>
    <t>RENATO CORTI S.P.A.</t>
  </si>
  <si>
    <t>06248980960</t>
  </si>
  <si>
    <t>IMAC S.P.A.</t>
  </si>
  <si>
    <t>00985500446</t>
  </si>
  <si>
    <t>Ascoli Piceno</t>
  </si>
  <si>
    <t>GRISPORT S.P.A.</t>
  </si>
  <si>
    <t>00541850269</t>
  </si>
  <si>
    <t>MABI INTERNATIONAL S.R.L.</t>
  </si>
  <si>
    <t>01428220303</t>
  </si>
  <si>
    <t>Udine</t>
  </si>
  <si>
    <t>Friuli-Venezia Giulia</t>
  </si>
  <si>
    <t>DIADORA S.P.A.</t>
  </si>
  <si>
    <t>04308510264</t>
  </si>
  <si>
    <t>FAEDA S.P.A.</t>
  </si>
  <si>
    <t>03209700248</t>
  </si>
  <si>
    <t>CALZATURIFICIO S.C.A.R.P.A. S.P.A.</t>
  </si>
  <si>
    <t>00173370263</t>
  </si>
  <si>
    <t>POLLINI S.P.A.</t>
  </si>
  <si>
    <t>02589540406</t>
  </si>
  <si>
    <t>Forlì-Cesena</t>
  </si>
  <si>
    <t>Emilia-Romagna</t>
  </si>
  <si>
    <t>DANI S.P.A.</t>
  </si>
  <si>
    <t>00552430985</t>
  </si>
  <si>
    <t>COFRA S.R.L.</t>
  </si>
  <si>
    <t>02850580727</t>
  </si>
  <si>
    <t>Barletta-Andria-Trani</t>
  </si>
  <si>
    <t>CALZATURIFICIO GENSI GROUP S.R.L.</t>
  </si>
  <si>
    <t>01775460676</t>
  </si>
  <si>
    <t>Teramo</t>
  </si>
  <si>
    <t>Abruzzo</t>
  </si>
  <si>
    <t>FONTANA PELLETTERIE S.P.A.</t>
  </si>
  <si>
    <t>00833190150</t>
  </si>
  <si>
    <t>152010</t>
  </si>
  <si>
    <t>Firenze</t>
  </si>
  <si>
    <t>Toscana</t>
  </si>
  <si>
    <t>151209</t>
  </si>
  <si>
    <t>B.A.G. S.P.A.</t>
  </si>
  <si>
    <t>01485570442</t>
  </si>
  <si>
    <t>Fermo</t>
  </si>
  <si>
    <t>Marche</t>
  </si>
  <si>
    <t>LOWA R&amp;D S.R.L.</t>
  </si>
  <si>
    <t>00625550264</t>
  </si>
  <si>
    <t>152000</t>
  </si>
  <si>
    <t>Treviso</t>
  </si>
  <si>
    <t>Veneto</t>
  </si>
  <si>
    <t>ROVEDA SRL</t>
  </si>
  <si>
    <t>12197290153</t>
  </si>
  <si>
    <t>Milano</t>
  </si>
  <si>
    <t>Lombardia</t>
  </si>
  <si>
    <t>MARIO LEVI S.P.A.</t>
  </si>
  <si>
    <t>05285410014</t>
  </si>
  <si>
    <t>151100</t>
  </si>
  <si>
    <t>Torino</t>
  </si>
  <si>
    <t>Piemonte</t>
  </si>
  <si>
    <t>DIAMANT S.R.L.</t>
  </si>
  <si>
    <t>02922140237</t>
  </si>
  <si>
    <t>Verona</t>
  </si>
  <si>
    <t>SANTONI SOCIETA' PER AZIONI</t>
  </si>
  <si>
    <t>01806460430</t>
  </si>
  <si>
    <t>LAMIPEL-S.P.A.</t>
  </si>
  <si>
    <t>01259430500</t>
  </si>
  <si>
    <t>Pisa</t>
  </si>
  <si>
    <t>Padova</t>
  </si>
  <si>
    <t>FALC S.P.A.</t>
  </si>
  <si>
    <t>00347770430</t>
  </si>
  <si>
    <t>Macerata</t>
  </si>
  <si>
    <t>GIANVITO ROSSI S.R.L.</t>
  </si>
  <si>
    <t>03591680404</t>
  </si>
  <si>
    <t>Forlì-Cesena</t>
  </si>
  <si>
    <t>Emilia-Romagna</t>
  </si>
  <si>
    <t>GUERRIERO PRODUZIONE PELLETTERIE S.R.L.</t>
  </si>
  <si>
    <t>06253000639</t>
  </si>
  <si>
    <t>Napoli</t>
  </si>
  <si>
    <t>Campania</t>
  </si>
  <si>
    <t>PREMIATA SRL</t>
  </si>
  <si>
    <t>01467490445</t>
  </si>
  <si>
    <t>ROSSIMODA S.R.L.</t>
  </si>
  <si>
    <t>00350530283</t>
  </si>
  <si>
    <t>CREST LEATHER ITALIA S.R.L.</t>
  </si>
  <si>
    <t>03906160241</t>
  </si>
  <si>
    <t>Vicenza</t>
  </si>
  <si>
    <t>AMA S.R.L.</t>
  </si>
  <si>
    <t>03395630159</t>
  </si>
  <si>
    <t>150000</t>
  </si>
  <si>
    <t>COCCINELLE S.P.A.</t>
  </si>
  <si>
    <t>00478330343</t>
  </si>
  <si>
    <t>Parma</t>
  </si>
  <si>
    <t>CONCERIA NUTI IVO - SOCIETA' PER AZIONI</t>
  </si>
  <si>
    <t>01600380503</t>
  </si>
  <si>
    <t>TRIPEL DUE S.R.L.</t>
  </si>
  <si>
    <t>04718020482</t>
  </si>
  <si>
    <t>DSQUARED2 S.P.A.</t>
  </si>
  <si>
    <t>05377120968</t>
  </si>
  <si>
    <t>PIQUADRO S.P.A.</t>
  </si>
  <si>
    <t>02554531208</t>
  </si>
  <si>
    <t>Bologna</t>
  </si>
  <si>
    <t>GIUSEPPE ZANOTTI S.P.A.</t>
  </si>
  <si>
    <t>02067600409</t>
  </si>
  <si>
    <t>FREELAND S.R.L.</t>
  </si>
  <si>
    <t>05031920480</t>
  </si>
  <si>
    <t>PELLETTERIE PALLADIO S.R.L. DI LANGELLA</t>
  </si>
  <si>
    <t>02295070243</t>
  </si>
  <si>
    <t>ARTISANS SHOES S.R.L.</t>
  </si>
  <si>
    <t>00360830442</t>
  </si>
  <si>
    <t>BONAUDO S.P.A.</t>
  </si>
  <si>
    <t>00474700010</t>
  </si>
  <si>
    <t>RUSSO DI CASANDRINO S.P.A.</t>
  </si>
  <si>
    <t>01238111213</t>
  </si>
  <si>
    <t>CONCERIA CRISTINA S.P.A. - UNIPERSONALE</t>
  </si>
  <si>
    <t>02441120249</t>
  </si>
  <si>
    <t>SEVEN S.P.A.</t>
  </si>
  <si>
    <t>00963330014</t>
  </si>
  <si>
    <t>CALZATURIFICIO JUMBO S.P.A.</t>
  </si>
  <si>
    <t>01279690232</t>
  </si>
  <si>
    <t>152010</t>
  </si>
  <si>
    <t>Verona</t>
  </si>
  <si>
    <t>Veneto</t>
  </si>
  <si>
    <t>EUROSUOLE - S.P.A.</t>
  </si>
  <si>
    <t>00252600432</t>
  </si>
  <si>
    <t>152020</t>
  </si>
  <si>
    <t>Macerata</t>
  </si>
  <si>
    <t>Marche</t>
  </si>
  <si>
    <t>OLIP ITALIA S.P.A.</t>
  </si>
  <si>
    <t>00384170239</t>
  </si>
  <si>
    <t>MARBELLA PELLAMI SPA</t>
  </si>
  <si>
    <t>00481840502</t>
  </si>
  <si>
    <t>151100</t>
  </si>
  <si>
    <t>Pisa</t>
  </si>
  <si>
    <t>Toscana</t>
  </si>
  <si>
    <t>MANIFATTURA BERLUTI S.R.L.</t>
  </si>
  <si>
    <t>11351490153</t>
  </si>
  <si>
    <t>Ferrara</t>
  </si>
  <si>
    <t>Emilia-Romagna</t>
  </si>
  <si>
    <t>LOTTO SPORT ITALIA S.P.A.</t>
  </si>
  <si>
    <t>03456770266</t>
  </si>
  <si>
    <t>Treviso</t>
  </si>
  <si>
    <t>151209</t>
  </si>
  <si>
    <t>Firenze</t>
  </si>
  <si>
    <t>MASONI INDUSTRIA CONCIARIA S.P.A.</t>
  </si>
  <si>
    <t>01592920506</t>
  </si>
  <si>
    <t>BASE PROTECTION S.R.L.</t>
  </si>
  <si>
    <t>06617940728</t>
  </si>
  <si>
    <t>Barletta-Andria-Trani</t>
  </si>
  <si>
    <t>Puglia</t>
  </si>
  <si>
    <t>GRUPPO CONCIARIO C.M.C. INTERNATIONAL S.P.A. SOCIETA' BENEFIT</t>
  </si>
  <si>
    <t>01086720503</t>
  </si>
  <si>
    <t>NILLAB MANIFATTURE ITALIANE S.P.A.</t>
  </si>
  <si>
    <t>04610220271</t>
  </si>
  <si>
    <t>Venezia</t>
  </si>
  <si>
    <t>SIRP S.P.A.</t>
  </si>
  <si>
    <t>02999870245</t>
  </si>
  <si>
    <t>Vicenza</t>
  </si>
  <si>
    <t>CONCERIA ANTIBA S.P.A.</t>
  </si>
  <si>
    <t>01015070509</t>
  </si>
  <si>
    <t>THE BRIDGE S.P.A.</t>
  </si>
  <si>
    <t>04253320487</t>
  </si>
  <si>
    <t>DIMAR GROUP S.P.A.</t>
  </si>
  <si>
    <t>02202670564</t>
  </si>
  <si>
    <t>Viterbo</t>
  </si>
  <si>
    <t>Lazio</t>
  </si>
  <si>
    <t>CONCERIA INCAS SOCIETA' PER AZIONI</t>
  </si>
  <si>
    <t>00124880501</t>
  </si>
  <si>
    <t>TIVOLI GROUP - SOCIETA' PER AZIONI</t>
  </si>
  <si>
    <t>01349601003</t>
  </si>
  <si>
    <t>Roma</t>
  </si>
  <si>
    <t>MENGHI SOCIETA' PER AZIONI OVVERO IN FORMA ABBREVIATA MENGHI S.P.A.</t>
  </si>
  <si>
    <t>09461340961</t>
  </si>
  <si>
    <t>Milano</t>
  </si>
  <si>
    <t>Lombardia</t>
  </si>
  <si>
    <t>FINCO 1865 S.P.A.</t>
  </si>
  <si>
    <t>00785430240</t>
  </si>
  <si>
    <t>TRE ZETA GROUP S.P.A.</t>
  </si>
  <si>
    <t>01842780502</t>
  </si>
  <si>
    <t>CONCERIA CADORE S.R.L.</t>
  </si>
  <si>
    <t>00656130242</t>
  </si>
  <si>
    <t>DALBELLO S.R.L.</t>
  </si>
  <si>
    <t>01837220266</t>
  </si>
  <si>
    <t>CONCERIA MONTEBELLO S.P.A.</t>
  </si>
  <si>
    <t>00584940241</t>
  </si>
  <si>
    <t>UVEX - CAGI S.R.L.</t>
  </si>
  <si>
    <t>00199840042</t>
  </si>
  <si>
    <t>Cuneo</t>
  </si>
  <si>
    <t>Piemonte</t>
  </si>
  <si>
    <t>RENE' CAOVILLA S.P.A.</t>
  </si>
  <si>
    <t>00166690271</t>
  </si>
  <si>
    <t>SERGIO ROSSI SPA</t>
  </si>
  <si>
    <t>03132190400</t>
  </si>
  <si>
    <t>Forlì-Cesena</t>
  </si>
  <si>
    <t>MASPICA S.R.L.</t>
  </si>
  <si>
    <t>04009100282</t>
  </si>
  <si>
    <t>Padova</t>
  </si>
  <si>
    <t>BALDININI - S.R.L.</t>
  </si>
  <si>
    <t>01727100404</t>
  </si>
  <si>
    <t>BONIS - S.P.A.</t>
  </si>
  <si>
    <t>00854160264</t>
  </si>
  <si>
    <t>152010</t>
  </si>
  <si>
    <t>Treviso</t>
  </si>
  <si>
    <t>Veneto</t>
  </si>
  <si>
    <t>RENZO FAVERO S.R.L.</t>
  </si>
  <si>
    <t>01453790295</t>
  </si>
  <si>
    <t>Rovigo</t>
  </si>
  <si>
    <t>ELISABET SRL</t>
  </si>
  <si>
    <t>02208680443</t>
  </si>
  <si>
    <t>Fermo</t>
  </si>
  <si>
    <t>Marche</t>
  </si>
  <si>
    <t>BRANDS INDUSTRY S.R.L.</t>
  </si>
  <si>
    <t>03759020237</t>
  </si>
  <si>
    <t>151209</t>
  </si>
  <si>
    <t>Padova</t>
  </si>
  <si>
    <t>HIDE S.P.A.</t>
  </si>
  <si>
    <t>01970080287</t>
  </si>
  <si>
    <t>151100</t>
  </si>
  <si>
    <t>VALMOR S.R.L.</t>
  </si>
  <si>
    <t>01175300431</t>
  </si>
  <si>
    <t>Macerata</t>
  </si>
  <si>
    <t>GARSPORT S.R.L.</t>
  </si>
  <si>
    <t>01917040261</t>
  </si>
  <si>
    <t>CALZATURIFICIO CLAUDIA - SOCIETA' PER AZIONI</t>
  </si>
  <si>
    <t>00366950467</t>
  </si>
  <si>
    <t>Lucca</t>
  </si>
  <si>
    <t>Toscana</t>
  </si>
  <si>
    <t>CONCERIA SUPERIOR S.P.A.</t>
  </si>
  <si>
    <t>00104190509</t>
  </si>
  <si>
    <t>Pisa</t>
  </si>
  <si>
    <t>CALZATURIFICIO SKANDIA S.P.A.</t>
  </si>
  <si>
    <t>03580790263</t>
  </si>
  <si>
    <t>BRIC'S INDUSTRIA VALIGERIA FINE - S.P.A. O, IN ABBREVIATO, BRIC'S S.P.A.</t>
  </si>
  <si>
    <t>00793550138</t>
  </si>
  <si>
    <t>Como</t>
  </si>
  <si>
    <t>Lombardia</t>
  </si>
  <si>
    <t>BULGARI ACCESSORI S.R.L.</t>
  </si>
  <si>
    <t>05571910487</t>
  </si>
  <si>
    <t>Firenze</t>
  </si>
  <si>
    <t>CONCERIA STEFANIA S.P.A.</t>
  </si>
  <si>
    <t>04879720151</t>
  </si>
  <si>
    <t>Milano</t>
  </si>
  <si>
    <t>B.C.N. CONCERIE S.P.A.</t>
  </si>
  <si>
    <t>00294820501</t>
  </si>
  <si>
    <t>CALZATURIFICIO PETRA - S.R.L.</t>
  </si>
  <si>
    <t>00435100482</t>
  </si>
  <si>
    <t>CALZATURIFICIO ORION S.P.A.</t>
  </si>
  <si>
    <t>02018450284</t>
  </si>
  <si>
    <t>DANIEL - S.R.L.</t>
  </si>
  <si>
    <t>03140880489</t>
  </si>
  <si>
    <t>Prato</t>
  </si>
  <si>
    <t>CALZATURIFICIO CARMENS S.P.A.</t>
  </si>
  <si>
    <t>01502380288</t>
  </si>
  <si>
    <t>SELLE ITALIA S.R.L.</t>
  </si>
  <si>
    <t>00652320243</t>
  </si>
  <si>
    <t>151200</t>
  </si>
  <si>
    <t>CONCERIA ZUMA PELLI PREGIATE SRL</t>
  </si>
  <si>
    <t>02184430508</t>
  </si>
  <si>
    <t>PM S.R.L.</t>
  </si>
  <si>
    <t>04364240277</t>
  </si>
  <si>
    <t>CALZATURIFICIO RODOLFO ZENGARINI - S.R.L.</t>
  </si>
  <si>
    <t>00780760443</t>
  </si>
  <si>
    <t>SEYMECHAMLOU S.R.L.</t>
  </si>
  <si>
    <t>13417980151</t>
  </si>
  <si>
    <t>MANIFATTURE LOMBARDE S.R.L.</t>
  </si>
  <si>
    <t>09847720969</t>
  </si>
  <si>
    <t>GRUPPO PERETTI S.P.A.</t>
  </si>
  <si>
    <t>01924290248</t>
  </si>
  <si>
    <t>Vicenza</t>
  </si>
  <si>
    <t>CARAVEL PELLI PREGIATE S.P.A.</t>
  </si>
  <si>
    <t>05143740487</t>
  </si>
  <si>
    <t>CAPRI FOOTWEAR INDUSTRIES S.R.L.</t>
  </si>
  <si>
    <t>00484600473</t>
  </si>
  <si>
    <t>Pistoia</t>
  </si>
  <si>
    <t>DEK MANIFATTURE SRL</t>
  </si>
  <si>
    <t>06667441213</t>
  </si>
  <si>
    <t>Napoli</t>
  </si>
  <si>
    <t>Campania</t>
  </si>
  <si>
    <t>CONCERIA SETTEBELLO S.P.A.</t>
  </si>
  <si>
    <t>00205010507</t>
  </si>
  <si>
    <t>151100</t>
  </si>
  <si>
    <t>Pisa</t>
  </si>
  <si>
    <t>Toscana</t>
  </si>
  <si>
    <t>CONCERIA GAIERA GIOVANNI S.P.A.</t>
  </si>
  <si>
    <t>00693030157</t>
  </si>
  <si>
    <t>Milano</t>
  </si>
  <si>
    <t>Lombardia</t>
  </si>
  <si>
    <t>SPIRALE S.R.L.</t>
  </si>
  <si>
    <t>01802460228</t>
  </si>
  <si>
    <t>152010</t>
  </si>
  <si>
    <t>Trento</t>
  </si>
  <si>
    <t>Trentino-Alto Adige</t>
  </si>
  <si>
    <t>NORTHWAVE S.R.L.</t>
  </si>
  <si>
    <t>01572560991</t>
  </si>
  <si>
    <t>Treviso</t>
  </si>
  <si>
    <t>Veneto</t>
  </si>
  <si>
    <t>SIDI SPORT S.R.L.</t>
  </si>
  <si>
    <t>00317780260</t>
  </si>
  <si>
    <t>PELLETTERIA ALMAX S.R.L.</t>
  </si>
  <si>
    <t>03772260489</t>
  </si>
  <si>
    <t>151209</t>
  </si>
  <si>
    <t>Firenze</t>
  </si>
  <si>
    <t>I.C.A. - INDUSTRIA CONCIARIA ARZIGNANESE S.P.A.</t>
  </si>
  <si>
    <t>00142300243</t>
  </si>
  <si>
    <t>Vicenza</t>
  </si>
  <si>
    <t>CRISPI SPORT S.R.L.</t>
  </si>
  <si>
    <t>01760300267</t>
  </si>
  <si>
    <t>FRASSON S.P.A.</t>
  </si>
  <si>
    <t>03397900261</t>
  </si>
  <si>
    <t>EXENA SRL</t>
  </si>
  <si>
    <t>01336080435</t>
  </si>
  <si>
    <t>Macerata</t>
  </si>
  <si>
    <t>Marche</t>
  </si>
  <si>
    <t>IL BISONTE S.P.A.</t>
  </si>
  <si>
    <t>02076930482</t>
  </si>
  <si>
    <t>PRIMA EASTERN S.P.A.</t>
  </si>
  <si>
    <t>01539900694</t>
  </si>
  <si>
    <t>151200</t>
  </si>
  <si>
    <t>Chieti</t>
  </si>
  <si>
    <t>Abruzzo</t>
  </si>
  <si>
    <t>RIVER GROUP S.P.A.</t>
  </si>
  <si>
    <t>06595170488</t>
  </si>
  <si>
    <t>Campania</t>
  </si>
  <si>
    <t>BENIT S.R.L.</t>
  </si>
  <si>
    <t>04698840487</t>
  </si>
  <si>
    <t>CONCERIA VOLPIANA S.P.A.</t>
  </si>
  <si>
    <t>01521690246</t>
  </si>
  <si>
    <t>BORBONESE S.P.A.</t>
  </si>
  <si>
    <t>01703261204</t>
  </si>
  <si>
    <t>GORETTI S.R.L.</t>
  </si>
  <si>
    <t>02783180421</t>
  </si>
  <si>
    <t>152020</t>
  </si>
  <si>
    <t>Ancona</t>
  </si>
  <si>
    <t>A.S.S.O. S.P.A.</t>
  </si>
  <si>
    <t>01125370443</t>
  </si>
  <si>
    <t>Fermo</t>
  </si>
  <si>
    <t>BMB MANIFATTURA BORSE S.P.A.</t>
  </si>
  <si>
    <t>06776850486</t>
  </si>
  <si>
    <t>DOLMEN S.P.A.</t>
  </si>
  <si>
    <t>00459090502</t>
  </si>
  <si>
    <t>AKU ITALIA S.R.L.</t>
  </si>
  <si>
    <t>04295240263</t>
  </si>
  <si>
    <t>CARISMA - S.P.A.</t>
  </si>
  <si>
    <t>03406550651</t>
  </si>
  <si>
    <t>Salerno</t>
  </si>
  <si>
    <t>GARMONT INTERNATIONAL S.R.L.</t>
  </si>
  <si>
    <t>04643700265</t>
  </si>
  <si>
    <t>FEBOS S.R.L.</t>
  </si>
  <si>
    <t>03517220269</t>
  </si>
  <si>
    <t>FLY FLOT S.R.L.</t>
  </si>
  <si>
    <t>03277360982</t>
  </si>
  <si>
    <t>Brescia</t>
  </si>
  <si>
    <t>INGROPELLI - SOCIETA' A RESPONSABILITA' LIMITATA SIGLABILE ANCHE INGROPELLI - S.R.L.</t>
  </si>
  <si>
    <t>03884570486</t>
  </si>
  <si>
    <t>DEVICONCIA S.R.L.</t>
  </si>
  <si>
    <t>00230260648</t>
  </si>
  <si>
    <t>INDUSTRIA PELLAMI VALDARNO INTERNATIONAL S.P.A.</t>
  </si>
  <si>
    <t>01361360504</t>
  </si>
  <si>
    <t>151100</t>
  </si>
  <si>
    <t>Milano</t>
  </si>
  <si>
    <t>Lombardia</t>
  </si>
  <si>
    <t>CORRADO MARETTO S.R.L.</t>
  </si>
  <si>
    <t>03686750286</t>
  </si>
  <si>
    <t>152010</t>
  </si>
  <si>
    <t>Padova</t>
  </si>
  <si>
    <t>Veneto</t>
  </si>
  <si>
    <t>ARTIGIANI VENEZIANI S.R.L.</t>
  </si>
  <si>
    <t>01499010278</t>
  </si>
  <si>
    <t>151209</t>
  </si>
  <si>
    <t>Venezia</t>
  </si>
  <si>
    <t>3 C - LAVORAZIONE PELLI S.R.L.</t>
  </si>
  <si>
    <t>01989660244</t>
  </si>
  <si>
    <t>Vicenza</t>
  </si>
  <si>
    <t>GAB GROUP SRL</t>
  </si>
  <si>
    <t>05985700482</t>
  </si>
  <si>
    <t>Firenze</t>
  </si>
  <si>
    <t>Toscana</t>
  </si>
  <si>
    <t>MORESCHI S.P.A.</t>
  </si>
  <si>
    <t>00333260180</t>
  </si>
  <si>
    <t>Pavia</t>
  </si>
  <si>
    <t>GREY MER S.R.L.</t>
  </si>
  <si>
    <t>01186220404</t>
  </si>
  <si>
    <t>Forlì-Cesena</t>
  </si>
  <si>
    <t>Emilia-Romagna</t>
  </si>
  <si>
    <t>LA PATRIE S.R.L.</t>
  </si>
  <si>
    <t>02158950507</t>
  </si>
  <si>
    <t>Pisa</t>
  </si>
  <si>
    <t>PELLETTERIE SAGI S.R.L.</t>
  </si>
  <si>
    <t>03274540248</t>
  </si>
  <si>
    <t>CONCERIA PRIANTE S.R.L.</t>
  </si>
  <si>
    <t>00803660240</t>
  </si>
  <si>
    <t>LA GRIFFE S.R.L.</t>
  </si>
  <si>
    <t>08408390964</t>
  </si>
  <si>
    <t>SIVA - INDUSTRIA PELLI S.R.L.</t>
  </si>
  <si>
    <t>01362490037</t>
  </si>
  <si>
    <t>Novara</t>
  </si>
  <si>
    <t>Piemonte</t>
  </si>
  <si>
    <t>SILVER 1 S.R.L.</t>
  </si>
  <si>
    <t>02525730392</t>
  </si>
  <si>
    <t>Ravenna</t>
  </si>
  <si>
    <t>STILEMA S.R.L.</t>
  </si>
  <si>
    <t>04421140015</t>
  </si>
  <si>
    <t>CALZATURIFICIO CASADEI SOCIETA' PER AZIONI O IN FORMA ABBREVIAT A CALZATURIFICIO CASADEI S.P.A.</t>
  </si>
  <si>
    <t>00918440405</t>
  </si>
  <si>
    <t>ATTILIO GIUSTI LEOMBRUNI S.P.A.</t>
  </si>
  <si>
    <t>01125410447</t>
  </si>
  <si>
    <t>Fermo</t>
  </si>
  <si>
    <t>Marche</t>
  </si>
  <si>
    <t>Macerata</t>
  </si>
  <si>
    <t>RINALDI CONCERIA S.R.L. (SOCIETA' CON UNICO SOCIO)</t>
  </si>
  <si>
    <t>05853000486</t>
  </si>
  <si>
    <t>MANDARINA DUCK S.P.A.</t>
  </si>
  <si>
    <t>00820861201</t>
  </si>
  <si>
    <t>CALZATURIFICIO DUCA DEL NORD S.R.L.</t>
  </si>
  <si>
    <t>01119660445</t>
  </si>
  <si>
    <t>FALCO PELLAMI SPA</t>
  </si>
  <si>
    <t>00997700505</t>
  </si>
  <si>
    <t>LA.I.PE. - LAVORAZIONE ITALIANA PELLETTERIE - S.P.A.</t>
  </si>
  <si>
    <t>00334670437</t>
  </si>
  <si>
    <t>COLONNELLI 2 PUNTOZERO S.R.L.</t>
  </si>
  <si>
    <t>02113150672</t>
  </si>
  <si>
    <t>Roma</t>
  </si>
  <si>
    <t>Lazio</t>
  </si>
  <si>
    <t>GRUPPO VECCHIA TOSCANA S.P.A.</t>
  </si>
  <si>
    <t>03070480482</t>
  </si>
  <si>
    <t>PRESTIGE ITALIA S.P.A.</t>
  </si>
  <si>
    <t>03418460246</t>
  </si>
  <si>
    <t>CALZATURIFICIO ARKTE S.R.L.</t>
  </si>
  <si>
    <t>06917490150</t>
  </si>
  <si>
    <t>CONCERIA NUOVA IMPALA - S.R.L.</t>
  </si>
  <si>
    <t>01042520500</t>
  </si>
  <si>
    <t>PERIN SRL</t>
  </si>
  <si>
    <t>01882520248</t>
  </si>
  <si>
    <t>152010</t>
  </si>
  <si>
    <t>Vicenza</t>
  </si>
  <si>
    <t>Veneto</t>
  </si>
  <si>
    <t>M.G.M. S.P.A.</t>
  </si>
  <si>
    <t>03084300171</t>
  </si>
  <si>
    <t>Treviso</t>
  </si>
  <si>
    <t>ASOLO S.R.L.</t>
  </si>
  <si>
    <t>03385130269</t>
  </si>
  <si>
    <t>152000</t>
  </si>
  <si>
    <t>DE ROBERT CALZATURE S.R.L.</t>
  </si>
  <si>
    <t>02002930283</t>
  </si>
  <si>
    <t>Padova</t>
  </si>
  <si>
    <t>CAMPOMAGGI &amp; CATERINA LUCCHI S.P.A.</t>
  </si>
  <si>
    <t>03487580403</t>
  </si>
  <si>
    <t>151209</t>
  </si>
  <si>
    <t>Forlì-Cesena</t>
  </si>
  <si>
    <t>Emilia-Romagna</t>
  </si>
  <si>
    <t>Firenze</t>
  </si>
  <si>
    <t>Toscana</t>
  </si>
  <si>
    <t>151100</t>
  </si>
  <si>
    <t>Pisa</t>
  </si>
  <si>
    <t>CALZATURIFICIO FRAU S.P.A.</t>
  </si>
  <si>
    <t>00799810239</t>
  </si>
  <si>
    <t>Verona</t>
  </si>
  <si>
    <t>GAERNE S.P.A.</t>
  </si>
  <si>
    <t>01833670266</t>
  </si>
  <si>
    <t>TREND S.R.L.</t>
  </si>
  <si>
    <t>05379610487</t>
  </si>
  <si>
    <t>MEDUSA S.R.L.</t>
  </si>
  <si>
    <t>00964270292</t>
  </si>
  <si>
    <t>Rovigo</t>
  </si>
  <si>
    <t>CONCERIA GI. ELLE. EMME. S.P.A.</t>
  </si>
  <si>
    <t>00321050502</t>
  </si>
  <si>
    <t>SCIARADA INDUSTRIA CONCIARIA S.P.A.</t>
  </si>
  <si>
    <t>01047170509</t>
  </si>
  <si>
    <t>PELLETTERIE GIANCARLO S.R.L.</t>
  </si>
  <si>
    <t>01513630481</t>
  </si>
  <si>
    <t>STONEFLY SPA</t>
  </si>
  <si>
    <t>03282540263</t>
  </si>
  <si>
    <t>LINEA C GROUP S.R.L.</t>
  </si>
  <si>
    <t>03456370174</t>
  </si>
  <si>
    <t>Brescia</t>
  </si>
  <si>
    <t>Lombardia</t>
  </si>
  <si>
    <t>VESTA CORPORATION S.P.A.</t>
  </si>
  <si>
    <t>01915730509</t>
  </si>
  <si>
    <t>CARAVELLE S.R.L.</t>
  </si>
  <si>
    <t>00166700278</t>
  </si>
  <si>
    <t>FORMIFICIO ROMAGNOLO - S.P.A.</t>
  </si>
  <si>
    <t>00139210405</t>
  </si>
  <si>
    <t>152020</t>
  </si>
  <si>
    <t>WALLES S.R.L.</t>
  </si>
  <si>
    <t>01518980246</t>
  </si>
  <si>
    <t>CONDOR TRADE S.R.L.</t>
  </si>
  <si>
    <t>01540490982</t>
  </si>
  <si>
    <t>CALZATURIFICIO SAN GIORGIO S.R.L.</t>
  </si>
  <si>
    <t>00162930507</t>
  </si>
  <si>
    <t>LAMONTI CUOIO S.P.A. SOCIETA' BENEFIT</t>
  </si>
  <si>
    <t>01294790504</t>
  </si>
  <si>
    <t>CALZATURIFICIO 5 BI S.R.L.</t>
  </si>
  <si>
    <t>04056210729</t>
  </si>
  <si>
    <t>Barletta-Andria-Trani</t>
  </si>
  <si>
    <t>Puglia</t>
  </si>
  <si>
    <t>MARIO LEVI ITALIA S.R.L</t>
  </si>
  <si>
    <t>03099810248</t>
  </si>
  <si>
    <t>CONCERIA FERRARI S.R.L.</t>
  </si>
  <si>
    <t>01588520245</t>
  </si>
  <si>
    <t>CONCERIA SAN BIAGIO S.R.L.</t>
  </si>
  <si>
    <t>00922430244</t>
  </si>
  <si>
    <t>GIOVANNI MONTE S.R.L.</t>
  </si>
  <si>
    <t>04608190965</t>
  </si>
  <si>
    <t>Milano</t>
  </si>
  <si>
    <t>CONCERIA PEGASO S.P.A.</t>
  </si>
  <si>
    <t>01158910503</t>
  </si>
  <si>
    <t>151100</t>
  </si>
  <si>
    <t>Firenze</t>
  </si>
  <si>
    <t>Toscana</t>
  </si>
  <si>
    <t>ATELIER HCI S.R.L.</t>
  </si>
  <si>
    <t>08866610960</t>
  </si>
  <si>
    <t>152010</t>
  </si>
  <si>
    <t>Milano</t>
  </si>
  <si>
    <t>Lombardia</t>
  </si>
  <si>
    <t>151209</t>
  </si>
  <si>
    <t>FONPELLI - S.P.A.</t>
  </si>
  <si>
    <t>01705980249</t>
  </si>
  <si>
    <t>Vicenza</t>
  </si>
  <si>
    <t>Veneto</t>
  </si>
  <si>
    <t>Napoli</t>
  </si>
  <si>
    <t>Campania</t>
  </si>
  <si>
    <t>CALZATURIFICIO DEMA S.R.L.</t>
  </si>
  <si>
    <t>02742450618</t>
  </si>
  <si>
    <t>Caserta</t>
  </si>
  <si>
    <t>Avellino</t>
  </si>
  <si>
    <t>LES FEMMES S.R.L.</t>
  </si>
  <si>
    <t>01681430441</t>
  </si>
  <si>
    <t>Fermo</t>
  </si>
  <si>
    <t>Marche</t>
  </si>
  <si>
    <t>DERMA SOCIETA' A RESPONSABILITA' LIMITATA</t>
  </si>
  <si>
    <t>00207330648</t>
  </si>
  <si>
    <t>CONCERIA ZONTA - S.P.A.</t>
  </si>
  <si>
    <t>00144240249</t>
  </si>
  <si>
    <t>OPERA S.R.L.</t>
  </si>
  <si>
    <t>01970310502</t>
  </si>
  <si>
    <t>Pisa</t>
  </si>
  <si>
    <t>BBM INTERNATIONAL S.R.L.</t>
  </si>
  <si>
    <t>11945150156</t>
  </si>
  <si>
    <t>LEMIE - S.P.A.</t>
  </si>
  <si>
    <t>00583700166</t>
  </si>
  <si>
    <t>Bergamo</t>
  </si>
  <si>
    <t>DA.MI. - S.R.L.</t>
  </si>
  <si>
    <t>00412840449</t>
  </si>
  <si>
    <t>152020</t>
  </si>
  <si>
    <t>CALZATURIFICIO PANDA SPORT</t>
  </si>
  <si>
    <t>00263440745</t>
  </si>
  <si>
    <t>152000</t>
  </si>
  <si>
    <t>Brindisi</t>
  </si>
  <si>
    <t>Puglia</t>
  </si>
  <si>
    <t>CALZATURIFICIO PATRIZIA S.R.L.</t>
  </si>
  <si>
    <t>00679350983</t>
  </si>
  <si>
    <t>Brescia</t>
  </si>
  <si>
    <t>CALZATURIFICIO ZAMBERLAN S.R.L.</t>
  </si>
  <si>
    <t>01274380243</t>
  </si>
  <si>
    <t>CALZATURIFICIO CALLEGARI S.R.L.</t>
  </si>
  <si>
    <t>00762630291</t>
  </si>
  <si>
    <t>Rovigo</t>
  </si>
  <si>
    <t>CONCERIA LA VENETA S.P.A.</t>
  </si>
  <si>
    <t>02721270243</t>
  </si>
  <si>
    <t>CURTIBA INDUSTRIA CONCIARIA SPA</t>
  </si>
  <si>
    <t>01419160500</t>
  </si>
  <si>
    <t>CARASCO S.P.A.</t>
  </si>
  <si>
    <t>01361760505</t>
  </si>
  <si>
    <t>ESAPEL - S.P.A.</t>
  </si>
  <si>
    <t>01235840244</t>
  </si>
  <si>
    <t>MOSAICON SHOES S.R.L.</t>
  </si>
  <si>
    <t>03177461203</t>
  </si>
  <si>
    <t>Pavia</t>
  </si>
  <si>
    <t>DOUCAL'S S.R.L.</t>
  </si>
  <si>
    <t>01025590447</t>
  </si>
  <si>
    <t>GGDB / SIRIO S.R.L.</t>
  </si>
  <si>
    <t>04095090611</t>
  </si>
  <si>
    <t>ZEIS EXCELSA S.P.A.</t>
  </si>
  <si>
    <t>00101700441</t>
  </si>
  <si>
    <t>CONCERIA TOLIO S.P.A.</t>
  </si>
  <si>
    <t>00164110249</t>
  </si>
  <si>
    <t>151100</t>
  </si>
  <si>
    <t>Vicenza</t>
  </si>
  <si>
    <t>Veneto</t>
  </si>
  <si>
    <t>VIGNOLA NOBILE S.P.A.</t>
  </si>
  <si>
    <t>02362030641</t>
  </si>
  <si>
    <t>Avellino</t>
  </si>
  <si>
    <t>Campania</t>
  </si>
  <si>
    <t>152010</t>
  </si>
  <si>
    <t>VICTORIA - S.R.L.</t>
  </si>
  <si>
    <t>01084560505</t>
  </si>
  <si>
    <t>Pisa</t>
  </si>
  <si>
    <t>Toscana</t>
  </si>
  <si>
    <t>CLEO BOTTIER F.LLI MONDELLINI SRL</t>
  </si>
  <si>
    <t>00380580159</t>
  </si>
  <si>
    <t>Milano</t>
  </si>
  <si>
    <t>Lombardia</t>
  </si>
  <si>
    <t>PANTHER SRL</t>
  </si>
  <si>
    <t>04340280280</t>
  </si>
  <si>
    <t>Padova</t>
  </si>
  <si>
    <t>ALBA &amp; N.S.R.L.</t>
  </si>
  <si>
    <t>06471190725</t>
  </si>
  <si>
    <t>Barletta-Andria-Trani</t>
  </si>
  <si>
    <t>Puglia</t>
  </si>
  <si>
    <t>M &amp; G SRL</t>
  </si>
  <si>
    <t>00692420268</t>
  </si>
  <si>
    <t>Treviso</t>
  </si>
  <si>
    <t>CALZATURIFICIO FRATELLI SOLDINI - S.P.A.</t>
  </si>
  <si>
    <t>00100020510</t>
  </si>
  <si>
    <t>Arezzo</t>
  </si>
  <si>
    <t>CALZATURIFICIO MARITAN S.P.A.</t>
  </si>
  <si>
    <t>02443890237</t>
  </si>
  <si>
    <t>152000</t>
  </si>
  <si>
    <t>Verona</t>
  </si>
  <si>
    <t>B.S.Z. S.P.A.</t>
  </si>
  <si>
    <t>00285570248</t>
  </si>
  <si>
    <t>CONCERIA GUERINO S.R.L.</t>
  </si>
  <si>
    <t>07997520155</t>
  </si>
  <si>
    <t>CORIUM LINE SRL</t>
  </si>
  <si>
    <t>02749870164</t>
  </si>
  <si>
    <t>151209</t>
  </si>
  <si>
    <t>SANLORENZO S.P.A.</t>
  </si>
  <si>
    <t>01510810508</t>
  </si>
  <si>
    <t>ONLY FRANK S.R.L. - SOCIETA' A RESPONSABILITA' LIMITATA</t>
  </si>
  <si>
    <t>02203990649</t>
  </si>
  <si>
    <t>Salerno</t>
  </si>
  <si>
    <t>Firenze</t>
  </si>
  <si>
    <t>DALLA BENETTA LUIGI S.R.L.</t>
  </si>
  <si>
    <t>01908730243</t>
  </si>
  <si>
    <t>Fermo</t>
  </si>
  <si>
    <t>Marche</t>
  </si>
  <si>
    <t>S.I.R.I.O. LAVORAZIONE CONCIARIA S.R.L.</t>
  </si>
  <si>
    <t>03028980484</t>
  </si>
  <si>
    <t>JERA S.R.L.</t>
  </si>
  <si>
    <t>03407490246</t>
  </si>
  <si>
    <t>POLETTO S.R.L.</t>
  </si>
  <si>
    <t>02626120246</t>
  </si>
  <si>
    <t>LELLI KELLY - SOCIETA' PER AZIONI ABBREVIABILE IN: LELLI KELLY S.P.A.</t>
  </si>
  <si>
    <t>01063110462</t>
  </si>
  <si>
    <t>Lucca</t>
  </si>
  <si>
    <t>GRUPPO SELLERIA EQUIPE S.P.A.</t>
  </si>
  <si>
    <t>02601230242</t>
  </si>
  <si>
    <t>CUNIAL - COMPONENTS S.R.L.</t>
  </si>
  <si>
    <t>04152250264</t>
  </si>
  <si>
    <t>A.B. FLORENCE S.R.L.</t>
  </si>
  <si>
    <t>02159880489</t>
  </si>
  <si>
    <t>CUOIFICIO BISONTE S.P.A.</t>
  </si>
  <si>
    <t>00115010506</t>
  </si>
  <si>
    <t>OVER TEAK S.R.L.</t>
  </si>
  <si>
    <t>04130560727</t>
  </si>
  <si>
    <t>MEET ITALIA SRL</t>
  </si>
  <si>
    <t>01843370261</t>
  </si>
  <si>
    <t>CLUB SHOES S.R.L.</t>
  </si>
  <si>
    <t>02212040469</t>
  </si>
  <si>
    <t>LORIBLU SPA</t>
  </si>
  <si>
    <t>02109250445</t>
  </si>
  <si>
    <t>EURASIA S.R.L.</t>
  </si>
  <si>
    <t>02715810285</t>
  </si>
  <si>
    <t>152010</t>
  </si>
  <si>
    <t>Venezia</t>
  </si>
  <si>
    <t>Veneto</t>
  </si>
  <si>
    <t>GIASCO S.R.L.</t>
  </si>
  <si>
    <t>02442840241</t>
  </si>
  <si>
    <t>Vicenza</t>
  </si>
  <si>
    <t>CALZATURIFICIO DEI COLLI - S.R.L.</t>
  </si>
  <si>
    <t>00157830209</t>
  </si>
  <si>
    <t>Mantova</t>
  </si>
  <si>
    <t>Lombardia</t>
  </si>
  <si>
    <t>PELLICAN S.R.L.</t>
  </si>
  <si>
    <t>02238630483</t>
  </si>
  <si>
    <t>151100</t>
  </si>
  <si>
    <t>Firenze</t>
  </si>
  <si>
    <t>Toscana</t>
  </si>
  <si>
    <t>CONCERIA TRIS SPA</t>
  </si>
  <si>
    <t>00163270242</t>
  </si>
  <si>
    <t>SUOLIFICIO NEGRO SRL</t>
  </si>
  <si>
    <t>03080020260</t>
  </si>
  <si>
    <t>152020</t>
  </si>
  <si>
    <t>Treviso</t>
  </si>
  <si>
    <t>PRIMORPELLI S.P.A.</t>
  </si>
  <si>
    <t>01112170509</t>
  </si>
  <si>
    <t>Pisa</t>
  </si>
  <si>
    <t>SICAP S.R.L.</t>
  </si>
  <si>
    <t>01537730440</t>
  </si>
  <si>
    <t>Fermo</t>
  </si>
  <si>
    <t>Marche</t>
  </si>
  <si>
    <t>BOEMOS S.P.A. - INDUSTRIA CALZATURE</t>
  </si>
  <si>
    <t>04340070483</t>
  </si>
  <si>
    <t>NATCO S.P.A.</t>
  </si>
  <si>
    <t>04154010724</t>
  </si>
  <si>
    <t>Bari</t>
  </si>
  <si>
    <t>Puglia</t>
  </si>
  <si>
    <t>DEAN S.P.A.INDUSTRIA CONCIARIA PELLI</t>
  </si>
  <si>
    <t>07829160634</t>
  </si>
  <si>
    <t>Napoli</t>
  </si>
  <si>
    <t>Campania</t>
  </si>
  <si>
    <t>LEVA S.P.A.</t>
  </si>
  <si>
    <t>04848830016</t>
  </si>
  <si>
    <t>151209</t>
  </si>
  <si>
    <t>Torino</t>
  </si>
  <si>
    <t>Piemonte</t>
  </si>
  <si>
    <t>VOLPI CONCERIE S.P.A.</t>
  </si>
  <si>
    <t>01702320506</t>
  </si>
  <si>
    <t>ECOPELL 2000 S.R.L.</t>
  </si>
  <si>
    <t>01506490505</t>
  </si>
  <si>
    <t>LSM S.R.L.</t>
  </si>
  <si>
    <t>03546700612</t>
  </si>
  <si>
    <t>Caserta</t>
  </si>
  <si>
    <t>PREALPINA S.R.L.</t>
  </si>
  <si>
    <t>02630900245</t>
  </si>
  <si>
    <t>GALIZIO TORRESI S.R.L.</t>
  </si>
  <si>
    <t>01713220430</t>
  </si>
  <si>
    <t>Macerata</t>
  </si>
  <si>
    <t>BAMBOLETTA - S.R.L.</t>
  </si>
  <si>
    <t>01096680432</t>
  </si>
  <si>
    <t>ZETATI - S.R.L.</t>
  </si>
  <si>
    <t>03225520489</t>
  </si>
  <si>
    <t>CALZATURIFICIO EMMEGIEMME SHOES S.R.L.</t>
  </si>
  <si>
    <t>02649330756</t>
  </si>
  <si>
    <t>Lecce</t>
  </si>
  <si>
    <t>CONCERIA TRUST S.R.L.</t>
  </si>
  <si>
    <t>03702050240</t>
  </si>
  <si>
    <t>SALMASO VENEZIA S.R.L.</t>
  </si>
  <si>
    <t>04600820270</t>
  </si>
  <si>
    <t>GEMINI ITALIA S.P.A.</t>
  </si>
  <si>
    <t>01362570184</t>
  </si>
  <si>
    <t>152000</t>
  </si>
  <si>
    <t>Brescia</t>
  </si>
  <si>
    <t>TIESSE S.P.A.</t>
  </si>
  <si>
    <t>03152120261</t>
  </si>
  <si>
    <t>CONCERIA LEONICA S.P.A.</t>
  </si>
  <si>
    <t>00168590248</t>
  </si>
  <si>
    <t>MUSTANG S.R.L.</t>
  </si>
  <si>
    <t>04013670486</t>
  </si>
  <si>
    <t>GIANO S.R.L.</t>
  </si>
  <si>
    <t>00733460448</t>
  </si>
  <si>
    <t>PELLETTERIE BIANCHI E NARDI S.P.A.</t>
  </si>
  <si>
    <t>00385830484</t>
  </si>
  <si>
    <t>CONCERIA ITALIA S.P.A.</t>
  </si>
  <si>
    <t>00079430245</t>
  </si>
  <si>
    <t>151100</t>
  </si>
  <si>
    <t>Vicenza</t>
  </si>
  <si>
    <t>Veneto</t>
  </si>
  <si>
    <t>SUOLIFICIO MAGONIO S.R.L.</t>
  </si>
  <si>
    <t>04515490482</t>
  </si>
  <si>
    <t>152020</t>
  </si>
  <si>
    <t>Firenze</t>
  </si>
  <si>
    <t>Toscana</t>
  </si>
  <si>
    <t>152010</t>
  </si>
  <si>
    <t>Macerata</t>
  </si>
  <si>
    <t>Marche</t>
  </si>
  <si>
    <t>CHIORINO TECHNOLOGY S.P.A.</t>
  </si>
  <si>
    <t>02181730025</t>
  </si>
  <si>
    <t>Milano</t>
  </si>
  <si>
    <t>Lombardia</t>
  </si>
  <si>
    <t>CONCERIA FERRERO - S.P.A.</t>
  </si>
  <si>
    <t>05831810014</t>
  </si>
  <si>
    <t>Torino</t>
  </si>
  <si>
    <t>Piemonte</t>
  </si>
  <si>
    <t>AKSOLUT S.R.L.</t>
  </si>
  <si>
    <t>03749900365</t>
  </si>
  <si>
    <t>Verona</t>
  </si>
  <si>
    <t>Treviso</t>
  </si>
  <si>
    <t>CAPPELLETTI S.R.L.</t>
  </si>
  <si>
    <t>01205600446</t>
  </si>
  <si>
    <t>Fermo</t>
  </si>
  <si>
    <t>CALZATURIFICIO ROMIT S.P.A.</t>
  </si>
  <si>
    <t>01218910444</t>
  </si>
  <si>
    <t>RODO FIRENZE SOCIETA' PER AZIONI</t>
  </si>
  <si>
    <t>01060350434</t>
  </si>
  <si>
    <t>CONCERIA LABA S.R.L.</t>
  </si>
  <si>
    <t>02093530240</t>
  </si>
  <si>
    <t>LA BIESSEUNO S.R.L.</t>
  </si>
  <si>
    <t>03178490235</t>
  </si>
  <si>
    <t>ARTIGIANA FARNESE S.R.L.</t>
  </si>
  <si>
    <t>01242860334</t>
  </si>
  <si>
    <t>151200</t>
  </si>
  <si>
    <t>Piacenza</t>
  </si>
  <si>
    <t>Emilia-Romagna</t>
  </si>
  <si>
    <t>JOLLY SCARPE S.P.A.</t>
  </si>
  <si>
    <t>01549260261</t>
  </si>
  <si>
    <t>FALCO S.R.L.</t>
  </si>
  <si>
    <t>02323210506</t>
  </si>
  <si>
    <t>Pisa</t>
  </si>
  <si>
    <t>LA SCARPA S.R.L.</t>
  </si>
  <si>
    <t>01827950500</t>
  </si>
  <si>
    <t>CONCERIA M2 S.R.L.</t>
  </si>
  <si>
    <t>00214710501</t>
  </si>
  <si>
    <t>CONCERIA CERVINIA S.P.A.</t>
  </si>
  <si>
    <t>00349110239</t>
  </si>
  <si>
    <t>SERGIO NATALINI S.R.L.</t>
  </si>
  <si>
    <t>01299680478</t>
  </si>
  <si>
    <t>Pistoia</t>
  </si>
  <si>
    <t>ITALPELLI S.R.L.</t>
  </si>
  <si>
    <t>00956680292</t>
  </si>
  <si>
    <t>EDEA S.R.L.</t>
  </si>
  <si>
    <t>03621080260</t>
  </si>
  <si>
    <t>ITALSFORM S.P.A.</t>
  </si>
  <si>
    <t>01641560402</t>
  </si>
  <si>
    <t>Forlì-Cesena</t>
  </si>
  <si>
    <t>151209</t>
  </si>
  <si>
    <t>SI-FUR S.P.A.</t>
  </si>
  <si>
    <t>01036910501</t>
  </si>
  <si>
    <t>ARZIGNANESE S.R.L.</t>
  </si>
  <si>
    <t>02306830247</t>
  </si>
  <si>
    <t>VINGI SHOES S.R.L. CON SOCIO UNICO</t>
  </si>
  <si>
    <t>00844870725</t>
  </si>
  <si>
    <t>Barletta-Andria-Trani</t>
  </si>
  <si>
    <t>Puglia</t>
  </si>
  <si>
    <t>MONTANA S.P.A.</t>
  </si>
  <si>
    <t>01297280503</t>
  </si>
  <si>
    <t>CALZATURIFICIO BUTTERO S.R.L.</t>
  </si>
  <si>
    <t>03496950480</t>
  </si>
  <si>
    <t>P. &amp; C. S.R.L.</t>
  </si>
  <si>
    <t>04249361215</t>
  </si>
  <si>
    <t>Napoli</t>
  </si>
  <si>
    <t>Campania</t>
  </si>
  <si>
    <t>SIVA SOCIETA' A RESPONSABILITA' LIMITATA</t>
  </si>
  <si>
    <t>02704040423</t>
  </si>
  <si>
    <t>Ancona</t>
  </si>
  <si>
    <t>INDUSTRIA CONCIARIA EUROPA S.P.A. IN SIGLA I.C.E. S.P.A.</t>
  </si>
  <si>
    <t>02033880242</t>
  </si>
  <si>
    <t>151100</t>
  </si>
  <si>
    <t>Vicenza</t>
  </si>
  <si>
    <t>Veneto</t>
  </si>
  <si>
    <t>152010</t>
  </si>
  <si>
    <t>ERREUNO S.R.L.</t>
  </si>
  <si>
    <t>01573520432</t>
  </si>
  <si>
    <t>151209</t>
  </si>
  <si>
    <t>Macerata</t>
  </si>
  <si>
    <t>Marche</t>
  </si>
  <si>
    <t>Firenze</t>
  </si>
  <si>
    <t>Toscana</t>
  </si>
  <si>
    <t>CONCERIA PALLADIO S.P.A.</t>
  </si>
  <si>
    <t>02220950246</t>
  </si>
  <si>
    <t>HUGO BOSS SHOES &amp; ACCESSORIES ITALIA S.P.A.</t>
  </si>
  <si>
    <t>00627910433</t>
  </si>
  <si>
    <t>OLANG S.P.A.</t>
  </si>
  <si>
    <t>01910710266</t>
  </si>
  <si>
    <t>Treviso</t>
  </si>
  <si>
    <t>CALZATURIFICIO MADAF S.R.L.</t>
  </si>
  <si>
    <t>00340830470</t>
  </si>
  <si>
    <t>152000</t>
  </si>
  <si>
    <t>Pistoia</t>
  </si>
  <si>
    <t>GEM S.R.L.</t>
  </si>
  <si>
    <t>01910570504</t>
  </si>
  <si>
    <t>Pisa</t>
  </si>
  <si>
    <t>CALZATURIFICIO MEXAS S.R.L.</t>
  </si>
  <si>
    <t>00934140294</t>
  </si>
  <si>
    <t>Rovigo</t>
  </si>
  <si>
    <t>MAMIR S.R.L.</t>
  </si>
  <si>
    <t>02217850987</t>
  </si>
  <si>
    <t>Brescia</t>
  </si>
  <si>
    <t>Lombardia</t>
  </si>
  <si>
    <t>ART LAB S.R.L.</t>
  </si>
  <si>
    <t>02102500507</t>
  </si>
  <si>
    <t>SNAM DI MARCIGAGLIA ANTONIO &amp; C. S.R.L.</t>
  </si>
  <si>
    <t>01778050243</t>
  </si>
  <si>
    <t>CONCERIA ERREPI S.R.L.</t>
  </si>
  <si>
    <t>00540160249</t>
  </si>
  <si>
    <t>BONISTALLI &amp; STEFANELLI S.P.A.</t>
  </si>
  <si>
    <t>00114440506</t>
  </si>
  <si>
    <t>DIGIERRE MODA S.R.L.</t>
  </si>
  <si>
    <t>05662461218</t>
  </si>
  <si>
    <t>Napoli</t>
  </si>
  <si>
    <t>Campania</t>
  </si>
  <si>
    <t>CALZATURIFICIO LUPARENSE S.R.L.</t>
  </si>
  <si>
    <t>09607810158</t>
  </si>
  <si>
    <t>Padova</t>
  </si>
  <si>
    <t>DANESI EVOLUTION S.R.L.</t>
  </si>
  <si>
    <t>01152650527</t>
  </si>
  <si>
    <t>Siena</t>
  </si>
  <si>
    <t>CONCERIA ZABRI S.P.A.</t>
  </si>
  <si>
    <t>04147490488</t>
  </si>
  <si>
    <t>PELLETTERIE HAPPENING S.R.L.</t>
  </si>
  <si>
    <t>02077180483</t>
  </si>
  <si>
    <t>SUOLIFICIO ELEFANTE S.R.L.</t>
  </si>
  <si>
    <t>00367720430</t>
  </si>
  <si>
    <t>152020</t>
  </si>
  <si>
    <t>ALMINI S.R.L.</t>
  </si>
  <si>
    <t>01164230185</t>
  </si>
  <si>
    <t>Pavia</t>
  </si>
  <si>
    <t>PEZZOL INDUSTRIES S.R.L.</t>
  </si>
  <si>
    <t>00269260725</t>
  </si>
  <si>
    <t>Barletta-Andria-Trani</t>
  </si>
  <si>
    <t>Puglia</t>
  </si>
  <si>
    <t>CALZATURIFICIO MARUSKA - S.R.L.</t>
  </si>
  <si>
    <t>00493560502</t>
  </si>
  <si>
    <t>BARBAROSA SRL</t>
  </si>
  <si>
    <t>02030670281</t>
  </si>
  <si>
    <t>FORMABOOTS S.P.A.</t>
  </si>
  <si>
    <t>06729650967</t>
  </si>
  <si>
    <t>151100</t>
  </si>
  <si>
    <t>Napoli</t>
  </si>
  <si>
    <t>Campania</t>
  </si>
  <si>
    <t>MARCHETTO PELLAMI S.P.A.</t>
  </si>
  <si>
    <t>00980470298</t>
  </si>
  <si>
    <t>Roma</t>
  </si>
  <si>
    <t>Lazio</t>
  </si>
  <si>
    <t>CONCERIA 800 S.P.A.</t>
  </si>
  <si>
    <t>00113450506</t>
  </si>
  <si>
    <t>Pisa</t>
  </si>
  <si>
    <t>Toscana</t>
  </si>
  <si>
    <t>151209</t>
  </si>
  <si>
    <t>Firenze</t>
  </si>
  <si>
    <t>CONCERIA MASINI S.P.A.</t>
  </si>
  <si>
    <t>01922320500</t>
  </si>
  <si>
    <t>CALZATURIFICIO ELKA SRL</t>
  </si>
  <si>
    <t>02447050754</t>
  </si>
  <si>
    <t>152010</t>
  </si>
  <si>
    <t>Lecce</t>
  </si>
  <si>
    <t>Puglia</t>
  </si>
  <si>
    <t>PROPEL S.R.L.</t>
  </si>
  <si>
    <t>01833240474</t>
  </si>
  <si>
    <t>DMD SOLOFRA S.P.A.</t>
  </si>
  <si>
    <t>00261660641</t>
  </si>
  <si>
    <t>Avellino</t>
  </si>
  <si>
    <t>FTG SAFETY SHOES S.R.L.</t>
  </si>
  <si>
    <t>00152390241</t>
  </si>
  <si>
    <t>Vicenza</t>
  </si>
  <si>
    <t>Veneto</t>
  </si>
  <si>
    <t>RAFF S.R.L.</t>
  </si>
  <si>
    <t>02066230240</t>
  </si>
  <si>
    <t>CALZATURIFICIO MODA ITALIANA SRL</t>
  </si>
  <si>
    <t>02335940397</t>
  </si>
  <si>
    <t>Ravenna</t>
  </si>
  <si>
    <t>Emilia-Romagna</t>
  </si>
  <si>
    <t>CONCERIA IL CIGNO S.R.L.</t>
  </si>
  <si>
    <t>00114880503</t>
  </si>
  <si>
    <t>EFFEMME SOCIETA' A RESPONSABILITA' LIMITATA ENUNCIABILE ANCHE EFFEMME S.R.L.</t>
  </si>
  <si>
    <t>01192170445</t>
  </si>
  <si>
    <t>Fermo</t>
  </si>
  <si>
    <t>Marche</t>
  </si>
  <si>
    <t>MARA BINI S.R.L.</t>
  </si>
  <si>
    <t>02223770286</t>
  </si>
  <si>
    <t>152000</t>
  </si>
  <si>
    <t>Padova</t>
  </si>
  <si>
    <t>CONCERIA BENETTI S.R.L.</t>
  </si>
  <si>
    <t>00163130248</t>
  </si>
  <si>
    <t>FRASSINETI S.R.L.</t>
  </si>
  <si>
    <t>02338430487</t>
  </si>
  <si>
    <t>151200</t>
  </si>
  <si>
    <t>O-THREE S.R.L.</t>
  </si>
  <si>
    <t>03760900260</t>
  </si>
  <si>
    <t>Treviso</t>
  </si>
  <si>
    <t>ANGELA S.R.L.</t>
  </si>
  <si>
    <t>07837871214</t>
  </si>
  <si>
    <t>TRIO S.R.L.</t>
  </si>
  <si>
    <t>01620680445</t>
  </si>
  <si>
    <t>ERREPLUS SADDLERY S.R.L.</t>
  </si>
  <si>
    <t>03768550240</t>
  </si>
  <si>
    <t>CONCERIA BELVEDERE S.R.L.</t>
  </si>
  <si>
    <t>03742800240</t>
  </si>
  <si>
    <t>LUNA S.R.L.</t>
  </si>
  <si>
    <t>01274180445</t>
  </si>
  <si>
    <t>PRODOTTI ALFA S.R.L.</t>
  </si>
  <si>
    <t>00174390187</t>
  </si>
  <si>
    <t>Pavia</t>
  </si>
  <si>
    <t>Lombardia</t>
  </si>
  <si>
    <t>151209</t>
  </si>
  <si>
    <t>Firenze</t>
  </si>
  <si>
    <t>Toscana</t>
  </si>
  <si>
    <t>152010</t>
  </si>
  <si>
    <t>Forlì-Cesena</t>
  </si>
  <si>
    <t>Emilia-Romagna</t>
  </si>
  <si>
    <t>ROCES - S.R.L.</t>
  </si>
  <si>
    <t>00301810263</t>
  </si>
  <si>
    <t>Treviso</t>
  </si>
  <si>
    <t>Veneto</t>
  </si>
  <si>
    <t>LEATHERLINE INTERNATIONAL S.R.L.</t>
  </si>
  <si>
    <t>03793570247</t>
  </si>
  <si>
    <t>151100</t>
  </si>
  <si>
    <t>Vicenza</t>
  </si>
  <si>
    <t>THIKEM S.R.L.</t>
  </si>
  <si>
    <t>01479820506</t>
  </si>
  <si>
    <t>CANAPE' S.R.L.</t>
  </si>
  <si>
    <t>04697580720</t>
  </si>
  <si>
    <t>Barletta-Andria-Trani</t>
  </si>
  <si>
    <t>Puglia</t>
  </si>
  <si>
    <t>CALZATURIFICIO ILARIA S.R.L.</t>
  </si>
  <si>
    <t>00884030529</t>
  </si>
  <si>
    <t>Siena</t>
  </si>
  <si>
    <t>CONCERIA BERTINI FRANCO 1972 S.R.L.</t>
  </si>
  <si>
    <t>00443510508</t>
  </si>
  <si>
    <t>Pisa</t>
  </si>
  <si>
    <t>S.I.L.C.E.A. SOCIETA' INDUSTRIALE LAVORAZIONE CUOIO E AFFINI SOC. A R.L.</t>
  </si>
  <si>
    <t>00143720407</t>
  </si>
  <si>
    <t>152020</t>
  </si>
  <si>
    <t>ARSENALE 5 S.R.L.</t>
  </si>
  <si>
    <t>04270080262</t>
  </si>
  <si>
    <t>CALZATURIFICIO AUGUSTA S.R.L.</t>
  </si>
  <si>
    <t>00319690509</t>
  </si>
  <si>
    <t>152000</t>
  </si>
  <si>
    <t>CALZATURIFICIO STEPHEN S.R.L.</t>
  </si>
  <si>
    <t>02168400246</t>
  </si>
  <si>
    <t>D.L. LEATHER S.R.L.</t>
  </si>
  <si>
    <t>04005870656</t>
  </si>
  <si>
    <t>Salerno</t>
  </si>
  <si>
    <t>Campania</t>
  </si>
  <si>
    <t>METAL SERVICE S.R.L.</t>
  </si>
  <si>
    <t>00779450675</t>
  </si>
  <si>
    <t>Teramo</t>
  </si>
  <si>
    <t>Abruzzo</t>
  </si>
  <si>
    <t>GINS S.R.L.</t>
  </si>
  <si>
    <t>04195790482</t>
  </si>
  <si>
    <t>CALZATURIFICIO ANTIS S.R.L.</t>
  </si>
  <si>
    <t>00486590268</t>
  </si>
  <si>
    <t>GUIDI 1896 S.R.L.</t>
  </si>
  <si>
    <t>01235040472</t>
  </si>
  <si>
    <t>Pistoia</t>
  </si>
  <si>
    <t>CONCATO GILBERTO SRL</t>
  </si>
  <si>
    <t>02650780246</t>
  </si>
  <si>
    <t>GIRZA S.R.L.</t>
  </si>
  <si>
    <t>02031590231</t>
  </si>
  <si>
    <t>Verona</t>
  </si>
  <si>
    <t>STOKTON SRL</t>
  </si>
  <si>
    <t>01118700473</t>
  </si>
  <si>
    <t>WHITE LINE S.R.L.</t>
  </si>
  <si>
    <t>02190221206</t>
  </si>
  <si>
    <t>Milano</t>
  </si>
  <si>
    <t>Lombardia</t>
  </si>
  <si>
    <t>RADAR LEATHER DIVISION S.R.L. SIGLA RADAR SRL</t>
  </si>
  <si>
    <t>03832860484</t>
  </si>
  <si>
    <t>TIGLIO 2000 - S.R.L.</t>
  </si>
  <si>
    <t>00994330504</t>
  </si>
  <si>
    <t>DEL VACCHIO LEATHER DIFFUSION SOCIETA' A RESPONSABILITA' LIMITATA IN ABBREVIAZIONE DEL VACCHIO LEATHER DIFFUSION S.R.L.</t>
  </si>
  <si>
    <t>01993760642</t>
  </si>
  <si>
    <t>Avellino</t>
  </si>
  <si>
    <t>BANTI SOCIETA' COMMERCIALE S.R.L. IN LIQUIDAZIONE</t>
  </si>
  <si>
    <t>01130200502</t>
  </si>
  <si>
    <t>JELKOM S.R.L.</t>
  </si>
  <si>
    <t>02043360979</t>
  </si>
  <si>
    <t>Prato</t>
  </si>
  <si>
    <t>CALZATURIFICIO VALBRENTA S.R.L.</t>
  </si>
  <si>
    <t>00791230279</t>
  </si>
  <si>
    <t>Venezia</t>
  </si>
  <si>
    <t>TEMPESTI S.P.A.</t>
  </si>
  <si>
    <t>01077790507</t>
  </si>
  <si>
    <t>NUOVA ANTILOPE S.R.L.</t>
  </si>
  <si>
    <t>01376950505</t>
  </si>
  <si>
    <t>151100</t>
  </si>
  <si>
    <t>Pisa</t>
  </si>
  <si>
    <t>Toscana</t>
  </si>
  <si>
    <t>SUOLIFICIO DEL PAPA S.R.L.</t>
  </si>
  <si>
    <t>00918390436</t>
  </si>
  <si>
    <t>152020</t>
  </si>
  <si>
    <t>Macerata</t>
  </si>
  <si>
    <t>Marche</t>
  </si>
  <si>
    <t>CALZATURIFICIO BALDAN 88 S.R.L.</t>
  </si>
  <si>
    <t>02357750278</t>
  </si>
  <si>
    <t>152010</t>
  </si>
  <si>
    <t>Venezia</t>
  </si>
  <si>
    <t>Veneto</t>
  </si>
  <si>
    <t>ANNAPAOLA S.R.L.</t>
  </si>
  <si>
    <t>03573500752</t>
  </si>
  <si>
    <t>Lecce</t>
  </si>
  <si>
    <t>Puglia</t>
  </si>
  <si>
    <t>CALZATURIFICIO GIORGIO FABIANI S.R.L.</t>
  </si>
  <si>
    <t>01505960441</t>
  </si>
  <si>
    <t>Fermo</t>
  </si>
  <si>
    <t>PERWANGER S.R.L.</t>
  </si>
  <si>
    <t>02387290212</t>
  </si>
  <si>
    <t>Bolzano/Bozen</t>
  </si>
  <si>
    <t>Trentino-Alto Adige</t>
  </si>
  <si>
    <t>CALZATURIFICIO LUCA GROSSI S.R.L.</t>
  </si>
  <si>
    <t>00954790473</t>
  </si>
  <si>
    <t>Pistoia</t>
  </si>
  <si>
    <t>CONCERIA JUNIOR -S.P.A.</t>
  </si>
  <si>
    <t>00142210244</t>
  </si>
  <si>
    <t>Vicenza</t>
  </si>
  <si>
    <t>CESPO S.R.L.</t>
  </si>
  <si>
    <t>04943901217</t>
  </si>
  <si>
    <t>Napoli</t>
  </si>
  <si>
    <t>Campania</t>
  </si>
  <si>
    <t>Firenze</t>
  </si>
  <si>
    <t>EXCLUSIVE S.R.L.</t>
  </si>
  <si>
    <t>01710430511</t>
  </si>
  <si>
    <t>Arezzo</t>
  </si>
  <si>
    <t>CALZATURIFICIO ANGELO COPPOLA S.R.L.</t>
  </si>
  <si>
    <t>05014910961</t>
  </si>
  <si>
    <t>Milano</t>
  </si>
  <si>
    <t>Lombardia</t>
  </si>
  <si>
    <t>MANIFATTURE IL FARO S.R.L.</t>
  </si>
  <si>
    <t>00223440504</t>
  </si>
  <si>
    <t>MARCO SHOES S.R.L.</t>
  </si>
  <si>
    <t>01712230505</t>
  </si>
  <si>
    <t>DIEMME FASHION GROUP SRL</t>
  </si>
  <si>
    <t>04550470266</t>
  </si>
  <si>
    <t>Treviso</t>
  </si>
  <si>
    <t>152000</t>
  </si>
  <si>
    <t>CALZATURIFICIO BRUNATE SPA</t>
  </si>
  <si>
    <t>02193780133</t>
  </si>
  <si>
    <t>Como</t>
  </si>
  <si>
    <t>DANIMARC S.R.L.</t>
  </si>
  <si>
    <t>01411490509</t>
  </si>
  <si>
    <t>MIRIAL SOCIETA' A RESPONSABILITA' LIMITATA ALTRIMENTI ENUNCIABILE MIRIAL S.R.L.</t>
  </si>
  <si>
    <t>01689330445</t>
  </si>
  <si>
    <t>PELLETTERIA FIORENTINA MONTECRISTO S.R.L.</t>
  </si>
  <si>
    <t>06655690482</t>
  </si>
  <si>
    <t>151209</t>
  </si>
  <si>
    <t>ANTICA CUOIERIA GRG SRL</t>
  </si>
  <si>
    <t>01252650443</t>
  </si>
  <si>
    <t>HENDERSON S.R.L.</t>
  </si>
  <si>
    <t>02005720285</t>
  </si>
  <si>
    <t>Padova</t>
  </si>
  <si>
    <t>VITTORIO VIRGILI S.R.L.</t>
  </si>
  <si>
    <t>00757210448</t>
  </si>
  <si>
    <t>CONCERIA MILANESE S.P.A.</t>
  </si>
  <si>
    <t>07502850154</t>
  </si>
  <si>
    <t>CONCERIA SABRINA S.R.L.</t>
  </si>
  <si>
    <t>03601150240</t>
  </si>
  <si>
    <t>152010</t>
  </si>
  <si>
    <t>Treviso</t>
  </si>
  <si>
    <t>Veneto</t>
  </si>
  <si>
    <t>Lombardia</t>
  </si>
  <si>
    <t>151209</t>
  </si>
  <si>
    <t>Firenze</t>
  </si>
  <si>
    <t>Toscana</t>
  </si>
  <si>
    <t>EVERYN S.R.L.</t>
  </si>
  <si>
    <t>01455470508</t>
  </si>
  <si>
    <t>Pisa</t>
  </si>
  <si>
    <t>ANTARES SRL</t>
  </si>
  <si>
    <t>04062950243</t>
  </si>
  <si>
    <t>151100</t>
  </si>
  <si>
    <t>Vicenza</t>
  </si>
  <si>
    <t>TACCHIFICIO DI MOLINELLA S.P.A.</t>
  </si>
  <si>
    <t>00580401206</t>
  </si>
  <si>
    <t>Bologna</t>
  </si>
  <si>
    <t>Emilia-Romagna</t>
  </si>
  <si>
    <t>STRATEGIA SOCIETA' A RESPONSABILITA' LIMITATA ENUNCIABILE ANCHE STRATEGIA S.R.L.</t>
  </si>
  <si>
    <t>01146180433</t>
  </si>
  <si>
    <t>Macerata</t>
  </si>
  <si>
    <t>Marche</t>
  </si>
  <si>
    <t>FIRENZE MODA S.R.L.</t>
  </si>
  <si>
    <t>00912410487</t>
  </si>
  <si>
    <t>ELDA TRADE SRL .</t>
  </si>
  <si>
    <t>01006570434</t>
  </si>
  <si>
    <t>151200</t>
  </si>
  <si>
    <t>DOMINA S.R.L.</t>
  </si>
  <si>
    <t>01308660503</t>
  </si>
  <si>
    <t>DIOTTO S.R.L.</t>
  </si>
  <si>
    <t>04704790262</t>
  </si>
  <si>
    <t>Napoli</t>
  </si>
  <si>
    <t>Campania</t>
  </si>
  <si>
    <t>MARCHESINI S.R.L.</t>
  </si>
  <si>
    <t>02174170239</t>
  </si>
  <si>
    <t>Verona</t>
  </si>
  <si>
    <t>SCAMOSCERIA ASTICO SRL</t>
  </si>
  <si>
    <t>00147470249</t>
  </si>
  <si>
    <t>MIAMI SRL</t>
  </si>
  <si>
    <t>00996700431</t>
  </si>
  <si>
    <t>152020</t>
  </si>
  <si>
    <t>CONCERIA AMBASSADOR - S.P.A.</t>
  </si>
  <si>
    <t>01027140506</t>
  </si>
  <si>
    <t>ARKIMEDIA S.R.L.</t>
  </si>
  <si>
    <t>02607930282</t>
  </si>
  <si>
    <t>Padova</t>
  </si>
  <si>
    <t>TIGAMARO S.R.L</t>
  </si>
  <si>
    <t>01560111005</t>
  </si>
  <si>
    <t>CHIORINO VENETO S.R.L.</t>
  </si>
  <si>
    <t>01889470264</t>
  </si>
  <si>
    <t>CONCERIA U.RUSSO S.R.L.</t>
  </si>
  <si>
    <t>01970610638</t>
  </si>
  <si>
    <t>CESARE MARTINOLI - CAIMAR S.R.L. O PER BREVITA' CAIMAR S.R.L.</t>
  </si>
  <si>
    <t>00182320184</t>
  </si>
  <si>
    <t>Pavia</t>
  </si>
  <si>
    <t>CONCERIA FRACCA S.R.L.</t>
  </si>
  <si>
    <t>03645720248</t>
  </si>
  <si>
    <t>ITAL LEATHER SOURCE S.R.L.</t>
  </si>
  <si>
    <t>03578480240</t>
  </si>
  <si>
    <t>MOFRA SHOES S.R.L.</t>
  </si>
  <si>
    <t>04262310727</t>
  </si>
  <si>
    <t>Barletta-Andria-Trani</t>
  </si>
  <si>
    <t>Puglia</t>
  </si>
  <si>
    <t>CALZATURIFICIO EFFE TRE S.R.L.</t>
  </si>
  <si>
    <t>01151070263</t>
  </si>
  <si>
    <t>ONLY LEATHER S.R.L.</t>
  </si>
  <si>
    <t>05023080483</t>
  </si>
  <si>
    <t>JACO PELLAMI SRL</t>
  </si>
  <si>
    <t>03349330237</t>
  </si>
  <si>
    <t>152010</t>
  </si>
  <si>
    <t>Milano</t>
  </si>
  <si>
    <t>Lombardia</t>
  </si>
  <si>
    <t>PODARTIS SRL</t>
  </si>
  <si>
    <t>03669600268</t>
  </si>
  <si>
    <t>Treviso</t>
  </si>
  <si>
    <t>Veneto</t>
  </si>
  <si>
    <t>GRUPPO FRANGIPANI S.R.L.</t>
  </si>
  <si>
    <t>01976020519</t>
  </si>
  <si>
    <t>151209</t>
  </si>
  <si>
    <t>Arezzo</t>
  </si>
  <si>
    <t>Toscana</t>
  </si>
  <si>
    <t>NOPE S.R.L.</t>
  </si>
  <si>
    <t>03843310248</t>
  </si>
  <si>
    <t>151100</t>
  </si>
  <si>
    <t>Vicenza</t>
  </si>
  <si>
    <t>MAPEL COMPONENTS S.R.L.</t>
  </si>
  <si>
    <t>01884090125</t>
  </si>
  <si>
    <t>Varese</t>
  </si>
  <si>
    <t>CONCERIA MARCO POLO S.R.L.</t>
  </si>
  <si>
    <t>00631810249</t>
  </si>
  <si>
    <t>BIAFER S.R.L.</t>
  </si>
  <si>
    <t>01786400125</t>
  </si>
  <si>
    <t>152020</t>
  </si>
  <si>
    <t>SUOLIFICIO G.F.G. S.R.L.</t>
  </si>
  <si>
    <t>00363700501</t>
  </si>
  <si>
    <t>Pisa</t>
  </si>
  <si>
    <t>CONCERIA CO.RI.PEL. S.P.A.</t>
  </si>
  <si>
    <t>05013500482</t>
  </si>
  <si>
    <t>Firenze</t>
  </si>
  <si>
    <t>ARTIGIANO DEL CUOIO - S.R.L.</t>
  </si>
  <si>
    <t>00993370501</t>
  </si>
  <si>
    <t>CALZATURIFICIO GIOVANNI FABIANI S.R.L.</t>
  </si>
  <si>
    <t>00966430449</t>
  </si>
  <si>
    <t>Fermo</t>
  </si>
  <si>
    <t>Marche</t>
  </si>
  <si>
    <t>CONCERIA VIGNOLA S.R.L. DI VIGNOLA GERARDINO RAFFAELE &amp; UMBER- TO , IN ABBREVIAZIONE CONCERIA VIGNOLA S.R.L.</t>
  </si>
  <si>
    <t>01902810645</t>
  </si>
  <si>
    <t>CALZATURE F.LLI LOTTI S.R.L.</t>
  </si>
  <si>
    <t>06328300725</t>
  </si>
  <si>
    <t>Barletta-Andria-Trani</t>
  </si>
  <si>
    <t>Puglia</t>
  </si>
  <si>
    <t>GINO FERRUZZI S.R.L.</t>
  </si>
  <si>
    <t>04413110489</t>
  </si>
  <si>
    <t>PARISINI PELLETTERIE S.R.L.</t>
  </si>
  <si>
    <t>00510250376</t>
  </si>
  <si>
    <t>151200</t>
  </si>
  <si>
    <t>Bologna</t>
  </si>
  <si>
    <t>Emilia-Romagna</t>
  </si>
  <si>
    <t>B.M. S.R.L.</t>
  </si>
  <si>
    <t>01682590474</t>
  </si>
  <si>
    <t>Pistoia</t>
  </si>
  <si>
    <t>ENTERPRISE - S.R.L.</t>
  </si>
  <si>
    <t>01120190507</t>
  </si>
  <si>
    <t>GIDUE PELLAMI S.R.L.</t>
  </si>
  <si>
    <t>03686360243</t>
  </si>
  <si>
    <t>ITALBORDI SRL</t>
  </si>
  <si>
    <t>04157620271</t>
  </si>
  <si>
    <t>Venezia</t>
  </si>
  <si>
    <t>BRENTA SUOLE S.R.L.</t>
  </si>
  <si>
    <t>00804250280</t>
  </si>
  <si>
    <t>Padova</t>
  </si>
  <si>
    <t>VEGA HOLSTER S.R.L.</t>
  </si>
  <si>
    <t>01300980503</t>
  </si>
  <si>
    <t>PLABER S.R.L.</t>
  </si>
  <si>
    <t>03312270246</t>
  </si>
  <si>
    <t>MARLEATHER SRL</t>
  </si>
  <si>
    <t>03738010242</t>
  </si>
  <si>
    <t>FRATELLI GUARINO DI DONATO S.R.L.</t>
  </si>
  <si>
    <t>00077660645</t>
  </si>
  <si>
    <t>Avellino</t>
  </si>
  <si>
    <t>Campania</t>
  </si>
  <si>
    <t>S.P.A.C. S.R.L.</t>
  </si>
  <si>
    <t>00451540231</t>
  </si>
  <si>
    <t>Verona</t>
  </si>
  <si>
    <t>CALZATURIFICIO PERON S.R.L.</t>
  </si>
  <si>
    <t>00330560277</t>
  </si>
  <si>
    <t>CALBA - S.R.L.</t>
  </si>
  <si>
    <t>00779810126</t>
  </si>
  <si>
    <t>152010</t>
  </si>
  <si>
    <t>Varese</t>
  </si>
  <si>
    <t>Lombardia</t>
  </si>
  <si>
    <t>SND SRL</t>
  </si>
  <si>
    <t>01903590436</t>
  </si>
  <si>
    <t>Macerata</t>
  </si>
  <si>
    <t>Marche</t>
  </si>
  <si>
    <t>GISER S.R.L.</t>
  </si>
  <si>
    <t>07318580631</t>
  </si>
  <si>
    <t>Napoli</t>
  </si>
  <si>
    <t>Campania</t>
  </si>
  <si>
    <t>ASG INTERNATIONAL S.R.L.</t>
  </si>
  <si>
    <t>03655610248</t>
  </si>
  <si>
    <t>151209</t>
  </si>
  <si>
    <t>Vicenza</t>
  </si>
  <si>
    <t>Veneto</t>
  </si>
  <si>
    <t>CALZATURIFICIO MARTINI S.R.L.</t>
  </si>
  <si>
    <t>01103500037</t>
  </si>
  <si>
    <t>152020</t>
  </si>
  <si>
    <t>Novara</t>
  </si>
  <si>
    <t>Piemonte</t>
  </si>
  <si>
    <t>Firenze</t>
  </si>
  <si>
    <t>Toscana</t>
  </si>
  <si>
    <t>CALZATURIFICIO FRATELLI VANNI S.R.L.</t>
  </si>
  <si>
    <t>00125350504</t>
  </si>
  <si>
    <t>152000</t>
  </si>
  <si>
    <t>Pisa</t>
  </si>
  <si>
    <t>PELLETTERIA P.A.M. - S.R.L.</t>
  </si>
  <si>
    <t>00494570484</t>
  </si>
  <si>
    <t>151100</t>
  </si>
  <si>
    <t>CALZATURIFICIO NAVAYOS S.R.L.</t>
  </si>
  <si>
    <t>00928080472</t>
  </si>
  <si>
    <t>Pistoia</t>
  </si>
  <si>
    <t>EXIN GROUP - S.R.L.</t>
  </si>
  <si>
    <t>05560540485</t>
  </si>
  <si>
    <t>VILLA GROUP SRL</t>
  </si>
  <si>
    <t>02913740961</t>
  </si>
  <si>
    <t>Monza e della Brianza</t>
  </si>
  <si>
    <t>CALZATURIFICIO PORTLAND'S S.P.A.</t>
  </si>
  <si>
    <t>01238030447</t>
  </si>
  <si>
    <t>Fermo</t>
  </si>
  <si>
    <t>CONCERIA MARTINI PIO - S.P.A.</t>
  </si>
  <si>
    <t>00120650502</t>
  </si>
  <si>
    <t>LEWER CALZATURE TECNICHE - S.R.L.</t>
  </si>
  <si>
    <t>02874720655</t>
  </si>
  <si>
    <t>Salerno</t>
  </si>
  <si>
    <t>CALZATURIFICIO AMBRA CAVALLINI S.R.L.</t>
  </si>
  <si>
    <t>00113150502</t>
  </si>
  <si>
    <t>EDDY RICAMI PROJECT S.R.L.</t>
  </si>
  <si>
    <t>01342360433</t>
  </si>
  <si>
    <t>CUOIFICIO LA QUERCE -S.R.L.</t>
  </si>
  <si>
    <t>00396130502</t>
  </si>
  <si>
    <t>CALZATURIFICIO CARISMA S.R.L.</t>
  </si>
  <si>
    <t>03884170485</t>
  </si>
  <si>
    <t>FRANCO ROMAGNOLI &amp; C S.R.L.</t>
  </si>
  <si>
    <t>01509060438</t>
  </si>
  <si>
    <t>SOCIETE' DE CUIR LES RIVES S.R.L.</t>
  </si>
  <si>
    <t>01935480507</t>
  </si>
  <si>
    <t>Milano</t>
  </si>
  <si>
    <t>CALZATURIFICIO MGT S.R.L.</t>
  </si>
  <si>
    <t>00900540675</t>
  </si>
  <si>
    <t>Teramo</t>
  </si>
  <si>
    <t>Abruzzo</t>
  </si>
  <si>
    <t>ORICE - S.R.L.</t>
  </si>
  <si>
    <t>00482800505</t>
  </si>
  <si>
    <t>TACCHIFICIO VILLA CORTESE -S.R.L.</t>
  </si>
  <si>
    <t>00810970152</t>
  </si>
  <si>
    <t>CALZATURIFICIO VICTOR S.R.L.</t>
  </si>
  <si>
    <t>04824570487</t>
  </si>
  <si>
    <t>152000</t>
  </si>
  <si>
    <t>Firenze</t>
  </si>
  <si>
    <t>Toscana</t>
  </si>
  <si>
    <t>VALLE ESINA - S.P.A.</t>
  </si>
  <si>
    <t>00091920439</t>
  </si>
  <si>
    <t>151100</t>
  </si>
  <si>
    <t>Macerata</t>
  </si>
  <si>
    <t>Marche</t>
  </si>
  <si>
    <t>STIL TRE SOCIETA' A RESPONSABILITA' LIMITATA</t>
  </si>
  <si>
    <t>02906120239</t>
  </si>
  <si>
    <t>152010</t>
  </si>
  <si>
    <t>Verona</t>
  </si>
  <si>
    <t>Veneto</t>
  </si>
  <si>
    <t>TACCHIFICIO PIENNE S.R.L.</t>
  </si>
  <si>
    <t>01448610517</t>
  </si>
  <si>
    <t>152020</t>
  </si>
  <si>
    <t>Arezzo</t>
  </si>
  <si>
    <t>BELT SYSTEM SRL</t>
  </si>
  <si>
    <t>03812350266</t>
  </si>
  <si>
    <t>Treviso</t>
  </si>
  <si>
    <t>CONCERIA JOLLY S.P.A.</t>
  </si>
  <si>
    <t>00686900242</t>
  </si>
  <si>
    <t>Vicenza</t>
  </si>
  <si>
    <t>151209</t>
  </si>
  <si>
    <t>Napoli</t>
  </si>
  <si>
    <t>Campania</t>
  </si>
  <si>
    <t>LUNATIKA S.R.L.</t>
  </si>
  <si>
    <t>01736630672</t>
  </si>
  <si>
    <t>Teramo</t>
  </si>
  <si>
    <t>Abruzzo</t>
  </si>
  <si>
    <t>PRINCIPE - S.P.A.</t>
  </si>
  <si>
    <t>00214410128</t>
  </si>
  <si>
    <t>Varese</t>
  </si>
  <si>
    <t>Lombardia</t>
  </si>
  <si>
    <t>LOMAR LAVORAZIONE PELLI S.R.L.</t>
  </si>
  <si>
    <t>02002810246</t>
  </si>
  <si>
    <t>CALZATURIFICIO MICHIELON S.R.L.</t>
  </si>
  <si>
    <t>00323640276</t>
  </si>
  <si>
    <t>Venezia</t>
  </si>
  <si>
    <t>FRAGO S.R.L.</t>
  </si>
  <si>
    <t>00168010437</t>
  </si>
  <si>
    <t>3 C PELLETTERIE S.R.L.</t>
  </si>
  <si>
    <t>05694190488</t>
  </si>
  <si>
    <t>INDUSTRIA CONCIARIA MONTORSO S.R.L.</t>
  </si>
  <si>
    <t>03488330246</t>
  </si>
  <si>
    <t>CONCERIA 3S S.R.L.</t>
  </si>
  <si>
    <t>02149960508</t>
  </si>
  <si>
    <t>Pisa</t>
  </si>
  <si>
    <t>SOLAZZO CALZATURE S.R.L.</t>
  </si>
  <si>
    <t>02233530183</t>
  </si>
  <si>
    <t>Pavia</t>
  </si>
  <si>
    <t>SOLEDAN - S.R.L.</t>
  </si>
  <si>
    <t>01427990401</t>
  </si>
  <si>
    <t>Forlì-Cesena</t>
  </si>
  <si>
    <t>Emilia-Romagna</t>
  </si>
  <si>
    <t>A22 SRL</t>
  </si>
  <si>
    <t>03947580241</t>
  </si>
  <si>
    <t>FASHION STUDIOS SOCIETA' A RESPONSABILITA' LIMITATA SEMPLIFICATA</t>
  </si>
  <si>
    <t>06783060483</t>
  </si>
  <si>
    <t>DIKE SRL</t>
  </si>
  <si>
    <t>05095250287</t>
  </si>
  <si>
    <t>Padova</t>
  </si>
  <si>
    <t>DON DIEGO S.R.L.</t>
  </si>
  <si>
    <t>01517770432</t>
  </si>
  <si>
    <t>REPTILIS SRL</t>
  </si>
  <si>
    <t>01971480502</t>
  </si>
  <si>
    <t>GIFAL LORENZO MONTERISI S.R.L.</t>
  </si>
  <si>
    <t>07783590727</t>
  </si>
  <si>
    <t>Bari</t>
  </si>
  <si>
    <t>Puglia</t>
  </si>
  <si>
    <t>CINTURIFICIO GP &amp; MAX S.R.L.</t>
  </si>
  <si>
    <t>07333400633</t>
  </si>
  <si>
    <t>152010</t>
  </si>
  <si>
    <t>Pistoia</t>
  </si>
  <si>
    <t>Toscana</t>
  </si>
  <si>
    <t>CALZATURIFICIO NADA DI DAVIDE GABRIELE E ANTONIO S.R.L.</t>
  </si>
  <si>
    <t>00165220633</t>
  </si>
  <si>
    <t>Napoli</t>
  </si>
  <si>
    <t>Campania</t>
  </si>
  <si>
    <t>GALILEO S.R.L.</t>
  </si>
  <si>
    <t>01914960503</t>
  </si>
  <si>
    <t>151100</t>
  </si>
  <si>
    <t>Pisa</t>
  </si>
  <si>
    <t>STADIUM S.R.L.</t>
  </si>
  <si>
    <t>05143900487</t>
  </si>
  <si>
    <t>151200</t>
  </si>
  <si>
    <t>Firenze</t>
  </si>
  <si>
    <t>CALZATURIFICIO MARCO S.R.L.</t>
  </si>
  <si>
    <t>04246290482</t>
  </si>
  <si>
    <t>GARLAND S.R.L.</t>
  </si>
  <si>
    <t>01152370522</t>
  </si>
  <si>
    <t>151209</t>
  </si>
  <si>
    <t>Siena</t>
  </si>
  <si>
    <t>RICCOPLAST SOCIETA' A RESPONSABILITA' LIMITATA</t>
  </si>
  <si>
    <t>01971390461</t>
  </si>
  <si>
    <t>Lucca</t>
  </si>
  <si>
    <t>Marche</t>
  </si>
  <si>
    <t>L.C.M. SRL</t>
  </si>
  <si>
    <t>02918090156</t>
  </si>
  <si>
    <t>152020</t>
  </si>
  <si>
    <t>Milano</t>
  </si>
  <si>
    <t>Lombardia</t>
  </si>
  <si>
    <t>CONCERIA SAMANTA S.R.L.</t>
  </si>
  <si>
    <t>01726540501</t>
  </si>
  <si>
    <t>CALZATURIFICIO ZOCAL S.R.L.</t>
  </si>
  <si>
    <t>01297680280</t>
  </si>
  <si>
    <t>Padova</t>
  </si>
  <si>
    <t>Veneto</t>
  </si>
  <si>
    <t>CONCERIA LIBERTY S.R.L.</t>
  </si>
  <si>
    <t>01626240509</t>
  </si>
  <si>
    <t>SCAMOSCERIA DEL BRENTA S.R.L.- INDUSTRIA CONCIARIA</t>
  </si>
  <si>
    <t>00143640241</t>
  </si>
  <si>
    <t>Vicenza</t>
  </si>
  <si>
    <t>SUOLIFICIO DICK - S.R.L.</t>
  </si>
  <si>
    <t>01032870477</t>
  </si>
  <si>
    <t>TM PRODUCTION SRL</t>
  </si>
  <si>
    <t>02801190428</t>
  </si>
  <si>
    <t>Ancona</t>
  </si>
  <si>
    <t>LUSAR S.R.L.</t>
  </si>
  <si>
    <t>01244070189</t>
  </si>
  <si>
    <t>Pavia</t>
  </si>
  <si>
    <t>UNION LEATHERS S.R.L. - SOCIETA' UNIPERSONALE</t>
  </si>
  <si>
    <t>00983800293</t>
  </si>
  <si>
    <t>CONCERIA SIRTE S.R.L.</t>
  </si>
  <si>
    <t>01402720500</t>
  </si>
  <si>
    <t>THE SPLITS SRL</t>
  </si>
  <si>
    <t>03753900244</t>
  </si>
  <si>
    <t>ST. GERMAIN BOUTIQUE S.R.L.</t>
  </si>
  <si>
    <t>01271710152</t>
  </si>
  <si>
    <t>152000</t>
  </si>
  <si>
    <t>CONCERIA ARNELLA SOCIETA' PER AZIONI</t>
  </si>
  <si>
    <t>00115270506</t>
  </si>
  <si>
    <t>ARES INDUSTRY S.R.L.</t>
  </si>
  <si>
    <t>02354750511</t>
  </si>
  <si>
    <t>Arezzo</t>
  </si>
  <si>
    <t>A MARE - S.R.L.</t>
  </si>
  <si>
    <t>01742160433</t>
  </si>
  <si>
    <t>PROFESSIONE PELLI S.R.L.</t>
  </si>
  <si>
    <t>03742950243</t>
  </si>
  <si>
    <t>TUSCANIA INDUSTRIA CONCIARIA S.P.A.</t>
  </si>
  <si>
    <t>02156540482</t>
  </si>
  <si>
    <t>151100</t>
  </si>
  <si>
    <t>Pisa</t>
  </si>
  <si>
    <t>Toscana</t>
  </si>
  <si>
    <t>S.C.O.R.P.I.O. S.R.L.</t>
  </si>
  <si>
    <t>01950510469</t>
  </si>
  <si>
    <t>152010</t>
  </si>
  <si>
    <t>Lucca</t>
  </si>
  <si>
    <t>GIERRE &amp; SON S.R.L.</t>
  </si>
  <si>
    <t>04468150653</t>
  </si>
  <si>
    <t>Napoli</t>
  </si>
  <si>
    <t>Campania</t>
  </si>
  <si>
    <t>TARI S.P.A.</t>
  </si>
  <si>
    <t>04763050632</t>
  </si>
  <si>
    <t>151200</t>
  </si>
  <si>
    <t>APEMA S.R.L.</t>
  </si>
  <si>
    <t>03303551216</t>
  </si>
  <si>
    <t>Caserta</t>
  </si>
  <si>
    <t>CALZATURIFICIO STATUS S.R.L.</t>
  </si>
  <si>
    <t>01325250502</t>
  </si>
  <si>
    <t>FP SPORT SRL</t>
  </si>
  <si>
    <t>03935250260</t>
  </si>
  <si>
    <t>Treviso</t>
  </si>
  <si>
    <t>Veneto</t>
  </si>
  <si>
    <t>SHARON S.R.L.</t>
  </si>
  <si>
    <t>07158970637</t>
  </si>
  <si>
    <t>Firenze</t>
  </si>
  <si>
    <t>CONCERIA VICAR S.R.L.</t>
  </si>
  <si>
    <t>01586540500</t>
  </si>
  <si>
    <t>GRUPPO ZANELLATO S.R.L.</t>
  </si>
  <si>
    <t>02721200240</t>
  </si>
  <si>
    <t>151209</t>
  </si>
  <si>
    <t>Vicenza</t>
  </si>
  <si>
    <t>Fermo</t>
  </si>
  <si>
    <t>Marche</t>
  </si>
  <si>
    <t>CONCERIA NUVOLARI SOCIETA' BENEFIT SRL</t>
  </si>
  <si>
    <t>02013190448</t>
  </si>
  <si>
    <t>CONCERIA NUOVA OVERLORD S.P.A.</t>
  </si>
  <si>
    <t>00928180504</t>
  </si>
  <si>
    <t>MAXIMA - S.R.L.</t>
  </si>
  <si>
    <t>01883310284</t>
  </si>
  <si>
    <t>Padova</t>
  </si>
  <si>
    <t>GIUSY S.R.L.</t>
  </si>
  <si>
    <t>01404650440</t>
  </si>
  <si>
    <t>TECNO STRA S.R.L.</t>
  </si>
  <si>
    <t>00795600279</t>
  </si>
  <si>
    <t>152020</t>
  </si>
  <si>
    <t>MANNI - S.R.L.</t>
  </si>
  <si>
    <t>01804530440</t>
  </si>
  <si>
    <t>ARIANNA S.R.L.</t>
  </si>
  <si>
    <t>04132920234</t>
  </si>
  <si>
    <t>Verona</t>
  </si>
  <si>
    <t>Venezia</t>
  </si>
  <si>
    <t>PONECO S.R.L.</t>
  </si>
  <si>
    <t>02665230401</t>
  </si>
  <si>
    <t>Rimini</t>
  </si>
  <si>
    <t>Emilia-Romagna</t>
  </si>
  <si>
    <t>GHOUD VENICE S.R.L.</t>
  </si>
  <si>
    <t>04455410276</t>
  </si>
  <si>
    <t>CONCERIA IL PONTE S.R.L.</t>
  </si>
  <si>
    <t>03227970484</t>
  </si>
  <si>
    <t>GIANNI FALCO S.R.L.</t>
  </si>
  <si>
    <t>02215910262</t>
  </si>
  <si>
    <t>EUROCONCIARIA S.R.L.</t>
  </si>
  <si>
    <t>02917550242</t>
  </si>
  <si>
    <t>BARRETT - S.R.L.</t>
  </si>
  <si>
    <t>00619520349</t>
  </si>
  <si>
    <t>Parma</t>
  </si>
  <si>
    <t>DANI E VOLPI S.R.L.</t>
  </si>
  <si>
    <t>02290260500</t>
  </si>
  <si>
    <t>ANNABELLA S.P.A.</t>
  </si>
  <si>
    <t>00301170445</t>
  </si>
  <si>
    <t>CALZATURIFICIO VIA ROMA 15 SOCIETA' A RESPONSABILITA' LIMITATA IN SIGLA CALZATURIFICIO VIA ROMA 15 S.R.L.</t>
  </si>
  <si>
    <t>03981260288</t>
  </si>
  <si>
    <t>152010</t>
  </si>
  <si>
    <t>Padova</t>
  </si>
  <si>
    <t>Veneto</t>
  </si>
  <si>
    <t>Firenze</t>
  </si>
  <si>
    <t>Toscana</t>
  </si>
  <si>
    <t>CONCERIA MANGUSTA S.R.L.</t>
  </si>
  <si>
    <t>01341340501</t>
  </si>
  <si>
    <t>151100</t>
  </si>
  <si>
    <t>Pisa</t>
  </si>
  <si>
    <t>NUOVA ICOS SOCIETA' A RESPONSABILITA' LIMITATA</t>
  </si>
  <si>
    <t>01690360647</t>
  </si>
  <si>
    <t>Avellino</t>
  </si>
  <si>
    <t>Campania</t>
  </si>
  <si>
    <t>CONCERIA PIETRO PRESOT S.R.L.</t>
  </si>
  <si>
    <t>00066320938</t>
  </si>
  <si>
    <t>Pordenone</t>
  </si>
  <si>
    <t>Friuli-Venezia Giulia</t>
  </si>
  <si>
    <t>CAM.PEL. S.R.L.</t>
  </si>
  <si>
    <t>03261191211</t>
  </si>
  <si>
    <t>151200</t>
  </si>
  <si>
    <t>Napoli</t>
  </si>
  <si>
    <t>CY CALZATURE SRL</t>
  </si>
  <si>
    <t>04347520274</t>
  </si>
  <si>
    <t>152020</t>
  </si>
  <si>
    <t>Venezia</t>
  </si>
  <si>
    <t>SUOLIFICIO NUOVA PIOVAN MARISA S.R.L.</t>
  </si>
  <si>
    <t>03749440271</t>
  </si>
  <si>
    <t>FOGLIZZO LEATHER SOCIETA' A RESPONSABILITA' LIMITATA SIGLABILE FO GLIZZO LEATHER S.R.L.</t>
  </si>
  <si>
    <t>09704610014</t>
  </si>
  <si>
    <t>Torino</t>
  </si>
  <si>
    <t>Piemonte</t>
  </si>
  <si>
    <t>CALZATURIFICIO FRATELLI CAPPELLINI S.R.L.</t>
  </si>
  <si>
    <t>00107120479</t>
  </si>
  <si>
    <t>Pistoia</t>
  </si>
  <si>
    <t>IANNELLI S.R.L.</t>
  </si>
  <si>
    <t>01619020512</t>
  </si>
  <si>
    <t>Arezzo</t>
  </si>
  <si>
    <t>CALZATURIFICIO MARY S.R.L.</t>
  </si>
  <si>
    <t>00373940444</t>
  </si>
  <si>
    <t>152000</t>
  </si>
  <si>
    <t>Fermo</t>
  </si>
  <si>
    <t>Marche</t>
  </si>
  <si>
    <t>DELLA PIA S.R.L.</t>
  </si>
  <si>
    <t>07447270633</t>
  </si>
  <si>
    <t>NOVA SHOES - S.R.L.</t>
  </si>
  <si>
    <t>00924540420</t>
  </si>
  <si>
    <t>Macerata</t>
  </si>
  <si>
    <t>SIMONETTA ROSSI S.R.L.</t>
  </si>
  <si>
    <t>02094850506</t>
  </si>
  <si>
    <t>CALZATURIFICIO MONTEBOVE S.R.L.</t>
  </si>
  <si>
    <t>00147670434</t>
  </si>
  <si>
    <t>CALZATURIFICIO ACCADEMIA S.R.L.</t>
  </si>
  <si>
    <t>01603170273</t>
  </si>
  <si>
    <t>CONCERIA PAGNI S.R.L.</t>
  </si>
  <si>
    <t>05177080487</t>
  </si>
  <si>
    <t>CALZATURIFICIO MARCOS - S.R.L.</t>
  </si>
  <si>
    <t>00092910439</t>
  </si>
  <si>
    <t>CALZATURIFICIO BETTIO S.R.L.</t>
  </si>
  <si>
    <t>00618220289</t>
  </si>
  <si>
    <t>CALZATURIFICIO EXPORTACC SRL</t>
  </si>
  <si>
    <t>01275070231</t>
  </si>
  <si>
    <t>Verona</t>
  </si>
  <si>
    <t>CONCERIA UPIMAR - S.R.L.</t>
  </si>
  <si>
    <t>01134360500</t>
  </si>
  <si>
    <t>DIVINA S.R.L.</t>
  </si>
  <si>
    <t>03340611213</t>
  </si>
  <si>
    <t>PAMI' S.R.L.</t>
  </si>
  <si>
    <t>01324930518</t>
  </si>
  <si>
    <t>PARABIAGO COLLEZIONI SRL</t>
  </si>
  <si>
    <t>12778540158</t>
  </si>
  <si>
    <t>Milano</t>
  </si>
  <si>
    <t>Lombardia</t>
  </si>
  <si>
    <t>SUOLIFICIO ARS-SUOLA S.R.L.</t>
  </si>
  <si>
    <t>00458300506</t>
  </si>
  <si>
    <t>ARMOND S.R.L.</t>
  </si>
  <si>
    <t>04418100261</t>
  </si>
  <si>
    <t>Treviso</t>
  </si>
  <si>
    <t>R.E.G. SRL</t>
  </si>
  <si>
    <t>01036510475</t>
  </si>
  <si>
    <t>CONCERIA DS DAVID SYSTEM S.R.L.</t>
  </si>
  <si>
    <t>03626130243</t>
  </si>
  <si>
    <t>Vicenza</t>
  </si>
  <si>
    <t>BLACKBOARD SRL</t>
  </si>
  <si>
    <t>05706920963</t>
  </si>
  <si>
    <t>DIMAR CONCERIA S.R.L.</t>
  </si>
  <si>
    <t>03357690241</t>
  </si>
  <si>
    <t>NORD PELLAMI S.R.L.</t>
  </si>
  <si>
    <t>01821940242</t>
  </si>
  <si>
    <t>151200</t>
  </si>
  <si>
    <t>Vicenza</t>
  </si>
  <si>
    <t>Veneto</t>
  </si>
  <si>
    <t>CB PELLETTERIE SRL</t>
  </si>
  <si>
    <t>00725360242</t>
  </si>
  <si>
    <t>151209</t>
  </si>
  <si>
    <t>PROSPERINE S.R.L.</t>
  </si>
  <si>
    <t>01469510513</t>
  </si>
  <si>
    <t>152010</t>
  </si>
  <si>
    <t>Arezzo</t>
  </si>
  <si>
    <t>Toscana</t>
  </si>
  <si>
    <t>C.P. LEATHERS S.R.L.</t>
  </si>
  <si>
    <t>04317580241</t>
  </si>
  <si>
    <t>151100</t>
  </si>
  <si>
    <t>CONCERIA DELLA NEVE SOCIETA' A RESPONSABILITA' LIMITATA IN ABBREVIAZIONE CONCERIA DELLA NEVE S.R.L.</t>
  </si>
  <si>
    <t>00611640640</t>
  </si>
  <si>
    <t>Avellino</t>
  </si>
  <si>
    <t>Campania</t>
  </si>
  <si>
    <t>VERDE RANA - SOCIETA' A RESPONSABILITA' LIMITATA IN FORMA ABBREVI ATA VERDE RANA - S.R.L.</t>
  </si>
  <si>
    <t>05586830480</t>
  </si>
  <si>
    <t>Firenze</t>
  </si>
  <si>
    <t>Pisa</t>
  </si>
  <si>
    <t>CALZATURIFICIO SALA SRL</t>
  </si>
  <si>
    <t>02267130181</t>
  </si>
  <si>
    <t>Pavia</t>
  </si>
  <si>
    <t>Lombardia</t>
  </si>
  <si>
    <t>SANDRO VICARI S.R.L.</t>
  </si>
  <si>
    <t>01873070278</t>
  </si>
  <si>
    <t>Venezia</t>
  </si>
  <si>
    <t>MICMAR - S.R.L.</t>
  </si>
  <si>
    <t>07828990635</t>
  </si>
  <si>
    <t>Napoli</t>
  </si>
  <si>
    <t>CONCERIA CARLI S.P.A.</t>
  </si>
  <si>
    <t>01033020502</t>
  </si>
  <si>
    <t>SABIS - BISCONTI S.R.L.</t>
  </si>
  <si>
    <t>01940530445</t>
  </si>
  <si>
    <t>Fermo</t>
  </si>
  <si>
    <t>Marche</t>
  </si>
  <si>
    <t>IL VELIERO S.R.L.</t>
  </si>
  <si>
    <t>02050490503</t>
  </si>
  <si>
    <t>152020</t>
  </si>
  <si>
    <t>CRISTIAN S.R.L.</t>
  </si>
  <si>
    <t>00527590483</t>
  </si>
  <si>
    <t>CALZATURIFICIO SILVANO SASSETTI SRL</t>
  </si>
  <si>
    <t>01496450444</t>
  </si>
  <si>
    <t>CALZATURIFICIO NAPOLEONI S.R.L.</t>
  </si>
  <si>
    <t>00909360430</t>
  </si>
  <si>
    <t>Macerata</t>
  </si>
  <si>
    <t>Emilia-Romagna</t>
  </si>
  <si>
    <t>MONTELPARE SRL</t>
  </si>
  <si>
    <t>01567510449</t>
  </si>
  <si>
    <t>CALANDRINI S.R.L.</t>
  </si>
  <si>
    <t>00592071203</t>
  </si>
  <si>
    <t>Bologna</t>
  </si>
  <si>
    <t>AFG SRL</t>
  </si>
  <si>
    <t>01884410430</t>
  </si>
  <si>
    <t>SABATINI CALZATURE S.R.L.</t>
  </si>
  <si>
    <t>02572540546</t>
  </si>
  <si>
    <t>152010</t>
  </si>
  <si>
    <t>Perugia</t>
  </si>
  <si>
    <t>Umbria</t>
  </si>
  <si>
    <t>151209</t>
  </si>
  <si>
    <t>151100</t>
  </si>
  <si>
    <t>Pisa</t>
  </si>
  <si>
    <t>Toscana</t>
  </si>
  <si>
    <t>CONCERIA EMMEDUE SRL</t>
  </si>
  <si>
    <t>00793250242</t>
  </si>
  <si>
    <t>Vicenza</t>
  </si>
  <si>
    <t>Veneto</t>
  </si>
  <si>
    <t>152000</t>
  </si>
  <si>
    <t>Fermo</t>
  </si>
  <si>
    <t>Marche</t>
  </si>
  <si>
    <t>BELTRAME LUCIANO S.R.L.</t>
  </si>
  <si>
    <t>02336530288</t>
  </si>
  <si>
    <t>152020</t>
  </si>
  <si>
    <t>Padova</t>
  </si>
  <si>
    <t>ADLER DI MARANA LINO &amp; C. S.R.L.</t>
  </si>
  <si>
    <t>01274040243</t>
  </si>
  <si>
    <t>ANNA ROSSI S.R.L.</t>
  </si>
  <si>
    <t>03527110161</t>
  </si>
  <si>
    <t>Bergamo</t>
  </si>
  <si>
    <t>Lombardia</t>
  </si>
  <si>
    <t>CALZATURIFICIO SUSIMODA S.R.L. IN FORMA BREVE SUSIMODA S.R.L.</t>
  </si>
  <si>
    <t>01574680243</t>
  </si>
  <si>
    <t>MORELLINO S.R.L.</t>
  </si>
  <si>
    <t>00202870507</t>
  </si>
  <si>
    <t>OLTREDONNA S.R.L.</t>
  </si>
  <si>
    <t>08646931009</t>
  </si>
  <si>
    <t>Teramo</t>
  </si>
  <si>
    <t>Abruzzo</t>
  </si>
  <si>
    <t>SOLETTIFICIO VIGNA S.R.L.</t>
  </si>
  <si>
    <t>00964400295</t>
  </si>
  <si>
    <t>Rovigo</t>
  </si>
  <si>
    <t>ERRE EMME SUOLE SRL</t>
  </si>
  <si>
    <t>01163930439</t>
  </si>
  <si>
    <t>Macerata</t>
  </si>
  <si>
    <t>MAROCCHINERIE E SCAMOSCERIE ITALIANE - SOCIETA' A RESPONSABILITA' LIMITATA</t>
  </si>
  <si>
    <t>00475740015</t>
  </si>
  <si>
    <t>Torino</t>
  </si>
  <si>
    <t>Piemonte</t>
  </si>
  <si>
    <t>SOLETTIFICIO COMPAGNONE SRL</t>
  </si>
  <si>
    <t>07338670156</t>
  </si>
  <si>
    <t>Milano</t>
  </si>
  <si>
    <t>CALZ. MARIA LUISA S.R.L.</t>
  </si>
  <si>
    <t>00346570443</t>
  </si>
  <si>
    <t>PINEIDER 1774 S.R.L.</t>
  </si>
  <si>
    <t>09561740961</t>
  </si>
  <si>
    <t>Firenze</t>
  </si>
  <si>
    <t>TERI S.R.L. IN LIQUIDAZIONE</t>
  </si>
  <si>
    <t>00949690184</t>
  </si>
  <si>
    <t>Pavia</t>
  </si>
  <si>
    <t>B &amp; C COMPANY S.R.L.</t>
  </si>
  <si>
    <t>06613030482</t>
  </si>
  <si>
    <t>PREFINITI SIMON S.R.L.</t>
  </si>
  <si>
    <t>01746000437</t>
  </si>
  <si>
    <t>TRE BI - S.R.L.</t>
  </si>
  <si>
    <t>00238660260</t>
  </si>
  <si>
    <t>Treviso</t>
  </si>
  <si>
    <t>CONCERIA CARAVAGGIO S.R.L.</t>
  </si>
  <si>
    <t>01732670508</t>
  </si>
  <si>
    <t>CONCERIA CAPONI GIUSEPPE &amp; C. S.R.L.</t>
  </si>
  <si>
    <t>01162340507</t>
  </si>
  <si>
    <t>151100</t>
  </si>
  <si>
    <t>Vicenza</t>
  </si>
  <si>
    <t>Veneto</t>
  </si>
  <si>
    <t>151209</t>
  </si>
  <si>
    <t>Toscana</t>
  </si>
  <si>
    <t>CONCERIA PUCCINI ATTILIO S.R.L.</t>
  </si>
  <si>
    <t>00974020505</t>
  </si>
  <si>
    <t>Pisa</t>
  </si>
  <si>
    <t>ERCOLI S.R.L.</t>
  </si>
  <si>
    <t>01063150443</t>
  </si>
  <si>
    <t>152010</t>
  </si>
  <si>
    <t>Fermo</t>
  </si>
  <si>
    <t>Marche</t>
  </si>
  <si>
    <t>RUCOLINE S.R.L.</t>
  </si>
  <si>
    <t>01820620548</t>
  </si>
  <si>
    <t>Perugia</t>
  </si>
  <si>
    <t>Umbria</t>
  </si>
  <si>
    <t>CALZATURIFICIO BELLOFATTO AIMONE S.R.L. .</t>
  </si>
  <si>
    <t>00851340505</t>
  </si>
  <si>
    <t>152020</t>
  </si>
  <si>
    <t>CONCERIA NUOVA GRENOBLE - S.R.L.</t>
  </si>
  <si>
    <t>01038650501</t>
  </si>
  <si>
    <t>S.R.L. CALZATURIFICIO BELLO'</t>
  </si>
  <si>
    <t>03182310270</t>
  </si>
  <si>
    <t>Venezia</t>
  </si>
  <si>
    <t>OPTIMA MOLLITER SRL</t>
  </si>
  <si>
    <t>01702040443</t>
  </si>
  <si>
    <t>Macerata</t>
  </si>
  <si>
    <t>FRANZINI S.R.L.</t>
  </si>
  <si>
    <t>01822880231</t>
  </si>
  <si>
    <t>Verona</t>
  </si>
  <si>
    <t>EUROPELL S.R.L.</t>
  </si>
  <si>
    <t>04410780482</t>
  </si>
  <si>
    <t>Firenze</t>
  </si>
  <si>
    <t>DORA' S.R.L.</t>
  </si>
  <si>
    <t>02700060243</t>
  </si>
  <si>
    <t>CDIVERTIAMO S.R.L.</t>
  </si>
  <si>
    <t>04175250275</t>
  </si>
  <si>
    <t>CONCERIA TRE EFFE S.R.L.</t>
  </si>
  <si>
    <t>00653080507</t>
  </si>
  <si>
    <t>ROC CONCIARIA SRL</t>
  </si>
  <si>
    <t>01659660441</t>
  </si>
  <si>
    <t>GSB SRL</t>
  </si>
  <si>
    <t>02122140441</t>
  </si>
  <si>
    <t>SEIPO SRL</t>
  </si>
  <si>
    <t>00892920885</t>
  </si>
  <si>
    <t>Ragusa</t>
  </si>
  <si>
    <t>Sicilia</t>
  </si>
  <si>
    <t>PELLETTERIA 2B S.R.L.</t>
  </si>
  <si>
    <t>05935650480</t>
  </si>
  <si>
    <t>CONCERIA NUOVA LEON S.R.L.</t>
  </si>
  <si>
    <t>02036350243</t>
  </si>
  <si>
    <t>DREAMPELL S.R.L.</t>
  </si>
  <si>
    <t>05147360480</t>
  </si>
  <si>
    <t>DOGI INTERNATIONAL SRL</t>
  </si>
  <si>
    <t>03694960240</t>
  </si>
  <si>
    <t>MAXI SUOLA S.R.L.</t>
  </si>
  <si>
    <t>02003790405</t>
  </si>
  <si>
    <t>152020</t>
  </si>
  <si>
    <t>Forlì-Cesena</t>
  </si>
  <si>
    <t>Emilia-Romagna</t>
  </si>
  <si>
    <t>BONAUDO CONTI S.P.A.</t>
  </si>
  <si>
    <t>00227050168</t>
  </si>
  <si>
    <t>151100</t>
  </si>
  <si>
    <t>Milano</t>
  </si>
  <si>
    <t>Lombardia</t>
  </si>
  <si>
    <t>FRU.IT S.R.L.</t>
  </si>
  <si>
    <t>01916310442</t>
  </si>
  <si>
    <t>152010</t>
  </si>
  <si>
    <t>Fermo</t>
  </si>
  <si>
    <t>Marche</t>
  </si>
  <si>
    <t>CALZATURIFICIO DI GIUSEPPE S.R.L.</t>
  </si>
  <si>
    <t>02737321212</t>
  </si>
  <si>
    <t>Napoli</t>
  </si>
  <si>
    <t>Campania</t>
  </si>
  <si>
    <t>CONCERIA LUFRAN S.R.L.</t>
  </si>
  <si>
    <t>01339930503</t>
  </si>
  <si>
    <t>Firenze</t>
  </si>
  <si>
    <t>Toscana</t>
  </si>
  <si>
    <t>M &amp; M CALZATURIFICIO S.R.L.</t>
  </si>
  <si>
    <t>03402740264</t>
  </si>
  <si>
    <t>Treviso</t>
  </si>
  <si>
    <t>Veneto</t>
  </si>
  <si>
    <t>Avellino</t>
  </si>
  <si>
    <t>BERVICATO S.R.L.</t>
  </si>
  <si>
    <t>08073071212</t>
  </si>
  <si>
    <t>Caserta</t>
  </si>
  <si>
    <t>CONCERIA A TEMA SRL</t>
  </si>
  <si>
    <t>01888960505</t>
  </si>
  <si>
    <t>Pisa</t>
  </si>
  <si>
    <t>CALZATURIFICIO COSMO S.R.L.</t>
  </si>
  <si>
    <t>00113410500</t>
  </si>
  <si>
    <t>SUOLIFICIO SQUADRONI SRL</t>
  </si>
  <si>
    <t>00470060443</t>
  </si>
  <si>
    <t>VALIGERIA TASCA ATTILIO S.R.L.</t>
  </si>
  <si>
    <t>02135770127</t>
  </si>
  <si>
    <t>151209</t>
  </si>
  <si>
    <t>Varese</t>
  </si>
  <si>
    <t>ELLEGI PELLAMI S.P.A. SOCIETA' BENEFIT</t>
  </si>
  <si>
    <t>01384180509</t>
  </si>
  <si>
    <t>LACCHIPLAST S.R.L.</t>
  </si>
  <si>
    <t>01965150541</t>
  </si>
  <si>
    <t>Perugia</t>
  </si>
  <si>
    <t>Umbria</t>
  </si>
  <si>
    <t>CLASSIC LEATHER ITALIA SOCIETA' A RESPONSABILITA' LIMITATA</t>
  </si>
  <si>
    <t>06374240486</t>
  </si>
  <si>
    <t>MASTERTAN S.R.L.</t>
  </si>
  <si>
    <t>02343390643</t>
  </si>
  <si>
    <t>CONCERIA BRUTTOMESSO S.R.L.</t>
  </si>
  <si>
    <t>00519060248</t>
  </si>
  <si>
    <t>Vicenza</t>
  </si>
  <si>
    <t>CAPARRINI S.R.L.</t>
  </si>
  <si>
    <t>04091300485</t>
  </si>
  <si>
    <t>COMART S.R.L. UNIPERSONALE</t>
  </si>
  <si>
    <t>01680220447</t>
  </si>
  <si>
    <t>I.S.G. ITALIAN STYLISTIC GROUP S.R.L.</t>
  </si>
  <si>
    <t>01674230162</t>
  </si>
  <si>
    <t>151200</t>
  </si>
  <si>
    <t>Bergamo</t>
  </si>
  <si>
    <t>CALZATURIFICIO STRAFFORD S.R.L.</t>
  </si>
  <si>
    <t>01943300275</t>
  </si>
  <si>
    <t>Venezia</t>
  </si>
  <si>
    <t>CALPIERRE S.R.L.</t>
  </si>
  <si>
    <t>01391091210</t>
  </si>
  <si>
    <t>CONCERIA F.3 INT'L S.R.L.</t>
  </si>
  <si>
    <t>02639420641</t>
  </si>
  <si>
    <t>DESIGN LAB ITALIA S.R.L. UNIPERSONALE</t>
  </si>
  <si>
    <t>01902690443</t>
  </si>
  <si>
    <t>SANTIPEL S.R.L.</t>
  </si>
  <si>
    <t>04128780485</t>
  </si>
  <si>
    <t>151209</t>
  </si>
  <si>
    <t>Firenze</t>
  </si>
  <si>
    <t>Toscana</t>
  </si>
  <si>
    <t>ASSIA TREND SRL</t>
  </si>
  <si>
    <t>01723140446</t>
  </si>
  <si>
    <t>152010</t>
  </si>
  <si>
    <t>Fermo</t>
  </si>
  <si>
    <t>Marche</t>
  </si>
  <si>
    <t>EXTON S.R.L.</t>
  </si>
  <si>
    <t>03351470616</t>
  </si>
  <si>
    <t>Caserta</t>
  </si>
  <si>
    <t>Campania</t>
  </si>
  <si>
    <t>REPORTAGE S.R.L.</t>
  </si>
  <si>
    <t>00399530443</t>
  </si>
  <si>
    <t>LOMER S.R.L.</t>
  </si>
  <si>
    <t>01130840265</t>
  </si>
  <si>
    <t>Treviso</t>
  </si>
  <si>
    <t>Veneto</t>
  </si>
  <si>
    <t>CALZATURIFICIO SANDY SHOES S.R.L.</t>
  </si>
  <si>
    <t>01500800469</t>
  </si>
  <si>
    <t>Lucca</t>
  </si>
  <si>
    <t>CALZATURIFICIO FARIDA S.R.L.</t>
  </si>
  <si>
    <t>00118220524</t>
  </si>
  <si>
    <t>Siena</t>
  </si>
  <si>
    <t>SUOLIFICIO MANNINI ROMANO S.R.L.</t>
  </si>
  <si>
    <t>00734230444</t>
  </si>
  <si>
    <t>152020</t>
  </si>
  <si>
    <t>CALZATURIFICIO GRO NELL S.R.L.</t>
  </si>
  <si>
    <t>02087580235</t>
  </si>
  <si>
    <t>Verona</t>
  </si>
  <si>
    <t>151100</t>
  </si>
  <si>
    <t>Vicenza</t>
  </si>
  <si>
    <t>FREMILLU' CALZATURE S.R.L.</t>
  </si>
  <si>
    <t>05444821218</t>
  </si>
  <si>
    <t>Napoli</t>
  </si>
  <si>
    <t>Pisa</t>
  </si>
  <si>
    <t>C.B.R. TACSTILE S.R.L.</t>
  </si>
  <si>
    <t>02330620408</t>
  </si>
  <si>
    <t>Forlì-Cesena</t>
  </si>
  <si>
    <t>Emilia-Romagna</t>
  </si>
  <si>
    <t>CONCIARIA MONDOVI' S.R.L.</t>
  </si>
  <si>
    <t>02791980044</t>
  </si>
  <si>
    <t>Cuneo</t>
  </si>
  <si>
    <t>Piemonte</t>
  </si>
  <si>
    <t>MEDIKA ITALIA S.R.L.</t>
  </si>
  <si>
    <t>02062730235</t>
  </si>
  <si>
    <t>152000</t>
  </si>
  <si>
    <t>YOBEL S.R.L.</t>
  </si>
  <si>
    <t>05312840480</t>
  </si>
  <si>
    <t>FARBOPELLI S.R.L.</t>
  </si>
  <si>
    <t>03288050242</t>
  </si>
  <si>
    <t>CALZATURIFICIO LOISI S.R.L</t>
  </si>
  <si>
    <t>01824490500</t>
  </si>
  <si>
    <t>TECNOPELLI S.R.L.</t>
  </si>
  <si>
    <t>00876610247</t>
  </si>
  <si>
    <t>CALZATURIFICIO PANIZZOLO ANTONIO S.R.L.</t>
  </si>
  <si>
    <t>02872360272</t>
  </si>
  <si>
    <t>Venezia</t>
  </si>
  <si>
    <t>PANTOFOLA D'ORO SPA</t>
  </si>
  <si>
    <t>01427260672</t>
  </si>
  <si>
    <t>Ascoli Piceno</t>
  </si>
  <si>
    <t>PLINIO VISONA' S.R.L.</t>
  </si>
  <si>
    <t>01314910249</t>
  </si>
  <si>
    <t>151209</t>
  </si>
  <si>
    <t>Vicenza</t>
  </si>
  <si>
    <t>Veneto</t>
  </si>
  <si>
    <t>BLUDUE S.R.L.</t>
  </si>
  <si>
    <t>04370701213</t>
  </si>
  <si>
    <t>Napoli</t>
  </si>
  <si>
    <t>Campania</t>
  </si>
  <si>
    <t>MAFFEI33 S.R.L.</t>
  </si>
  <si>
    <t>02917260644</t>
  </si>
  <si>
    <t>151100</t>
  </si>
  <si>
    <t>Milano</t>
  </si>
  <si>
    <t>Lombardia</t>
  </si>
  <si>
    <t>SATY S.R.L.</t>
  </si>
  <si>
    <t>02350380248</t>
  </si>
  <si>
    <t>152010</t>
  </si>
  <si>
    <t>CALZATURIFICIO ORMEDA S.R.L.</t>
  </si>
  <si>
    <t>00829880434</t>
  </si>
  <si>
    <t>Macerata</t>
  </si>
  <si>
    <t>Marche</t>
  </si>
  <si>
    <t>CALZATURIFICIO HEROS S.R.L.</t>
  </si>
  <si>
    <t>00990820441</t>
  </si>
  <si>
    <t>Fermo</t>
  </si>
  <si>
    <t>152020</t>
  </si>
  <si>
    <t>Pisa</t>
  </si>
  <si>
    <t>Toscana</t>
  </si>
  <si>
    <t>DADA SRL</t>
  </si>
  <si>
    <t>02249790441</t>
  </si>
  <si>
    <t>Ascoli Piceno</t>
  </si>
  <si>
    <t>CALZATURIFICIO ELIO'S SOCIETA' A RESPONSABILITA' LIMITATA ENUNCIABILE ANCHE CALZATURIFICIO ELIO'S S.R.L.</t>
  </si>
  <si>
    <t>00909990434</t>
  </si>
  <si>
    <t>CF &amp; P SRL IN LIQUIDAZIONE</t>
  </si>
  <si>
    <t>06277650484</t>
  </si>
  <si>
    <t>Firenze</t>
  </si>
  <si>
    <t>COLONNELLI GROUP S.R.L.</t>
  </si>
  <si>
    <t>12867951001</t>
  </si>
  <si>
    <t>Roma</t>
  </si>
  <si>
    <t>Lazio</t>
  </si>
  <si>
    <t>SAURO S.R.L.</t>
  </si>
  <si>
    <t>03209370125</t>
  </si>
  <si>
    <t>Varese</t>
  </si>
  <si>
    <t>L.A.S. SRL</t>
  </si>
  <si>
    <t>01489300432</t>
  </si>
  <si>
    <t>MAESTRO SHOES S.R.L.</t>
  </si>
  <si>
    <t>06667260480</t>
  </si>
  <si>
    <t>CALZATURIFICIO LE.PI. S.R.L.</t>
  </si>
  <si>
    <t>01520790435</t>
  </si>
  <si>
    <t>PRIMO CECILIA S.R.L.</t>
  </si>
  <si>
    <t>00964510572</t>
  </si>
  <si>
    <t>Rieti</t>
  </si>
  <si>
    <t>NUOVO NICAR - S.R.L.</t>
  </si>
  <si>
    <t>00942540501</t>
  </si>
  <si>
    <t>ALBATROS S.R.L.</t>
  </si>
  <si>
    <t>03530720485</t>
  </si>
  <si>
    <t>151200</t>
  </si>
  <si>
    <t>FANCY S.R.L.</t>
  </si>
  <si>
    <t>01395980434</t>
  </si>
  <si>
    <t>CONCERIA NUOVA ALBORA S.R.L.</t>
  </si>
  <si>
    <t>01476030505</t>
  </si>
  <si>
    <t>CREATIVE LEATHERS S.R.L.</t>
  </si>
  <si>
    <t>02626520247</t>
  </si>
  <si>
    <t>CONCERIA LA PERLA AZZURRA - S.R.L.</t>
  </si>
  <si>
    <t>01126290509</t>
  </si>
  <si>
    <t>CONCERIA LO STIVALE S.R.L.</t>
  </si>
  <si>
    <t>01234820502</t>
  </si>
  <si>
    <t>PELLETTERIE GIUDI S.R.L.</t>
  </si>
  <si>
    <t>00403970437</t>
  </si>
  <si>
    <t>CALZATURIFICIO PRINCES SRL</t>
  </si>
  <si>
    <t>00728420449</t>
  </si>
  <si>
    <t>152010</t>
  </si>
  <si>
    <t>Fermo</t>
  </si>
  <si>
    <t>Marche</t>
  </si>
  <si>
    <t>HARRIS SHOES - 1913 - S.R.L.</t>
  </si>
  <si>
    <t>04098090485</t>
  </si>
  <si>
    <t>Firenze</t>
  </si>
  <si>
    <t>Toscana</t>
  </si>
  <si>
    <t>CONCERIA WALPIER S.R.L.</t>
  </si>
  <si>
    <t>00122790504</t>
  </si>
  <si>
    <t>151100</t>
  </si>
  <si>
    <t>Pisa</t>
  </si>
  <si>
    <t>MOTTA PELLI SRL</t>
  </si>
  <si>
    <t>00693560963</t>
  </si>
  <si>
    <t>Monza e della Brianza</t>
  </si>
  <si>
    <t>Lombardia</t>
  </si>
  <si>
    <t>LEATHER TEAM S.R.L.</t>
  </si>
  <si>
    <t>02674970245</t>
  </si>
  <si>
    <t>Vicenza</t>
  </si>
  <si>
    <t>Veneto</t>
  </si>
  <si>
    <t>TACCHIFICIO IL GABBIANO S.R.L.</t>
  </si>
  <si>
    <t>00445630502</t>
  </si>
  <si>
    <t>152020</t>
  </si>
  <si>
    <t>Macerata</t>
  </si>
  <si>
    <t>MERIDIANA S.R.L.</t>
  </si>
  <si>
    <t>01192170502</t>
  </si>
  <si>
    <t>SACCARDI PELLETTERIE - S.R.L.</t>
  </si>
  <si>
    <t>04866610480</t>
  </si>
  <si>
    <t>151209</t>
  </si>
  <si>
    <t>BIGIONI SRL</t>
  </si>
  <si>
    <t>02404900447</t>
  </si>
  <si>
    <t>Milano</t>
  </si>
  <si>
    <t>GIOVE SOCIETA' A RESPONSABILITA' LIMITATA ENUNCIABILE ANCHE GIOVE S.R.L.</t>
  </si>
  <si>
    <t>01536120437</t>
  </si>
  <si>
    <t>BIASIOTTO ITALIA S.R.L.</t>
  </si>
  <si>
    <t>03687880249</t>
  </si>
  <si>
    <t>CALZATURIFICIO EMMEBLU S.R.L.</t>
  </si>
  <si>
    <t>07136210726</t>
  </si>
  <si>
    <t>Barletta-Andria-Trani</t>
  </si>
  <si>
    <t>Puglia</t>
  </si>
  <si>
    <t>PUNTO R S.R.L.</t>
  </si>
  <si>
    <t>07536071215</t>
  </si>
  <si>
    <t>Napoli</t>
  </si>
  <si>
    <t>Campania</t>
  </si>
  <si>
    <t>CALZATURIFICIO BIQUATTRO S.R.L.</t>
  </si>
  <si>
    <t>01318270467</t>
  </si>
  <si>
    <t>Lucca</t>
  </si>
  <si>
    <t>I.G.F. S.R.L. ITALIAN GROUP OF FACTORIES</t>
  </si>
  <si>
    <t>05615520722</t>
  </si>
  <si>
    <t>METALLURGICA LOMBARDA S.R.L.</t>
  </si>
  <si>
    <t>00814370151</t>
  </si>
  <si>
    <t>LOREN S.R.L.</t>
  </si>
  <si>
    <t>00317960268</t>
  </si>
  <si>
    <t>Treviso</t>
  </si>
  <si>
    <t>BABI INDUSTRIA CONCIARIA SRL</t>
  </si>
  <si>
    <t>02235210248</t>
  </si>
  <si>
    <t>MARCH S.R.L.</t>
  </si>
  <si>
    <t>00695540211</t>
  </si>
  <si>
    <t>151200</t>
  </si>
  <si>
    <t>Bolzano/Bozen</t>
  </si>
  <si>
    <t>Trentino-Alto Adige</t>
  </si>
  <si>
    <t>TORINO LEATHER INTERIORS S.R.L. SIGLABILE TLI SRL</t>
  </si>
  <si>
    <t>09550740014</t>
  </si>
  <si>
    <t>Torino</t>
  </si>
  <si>
    <t>Piemonte</t>
  </si>
  <si>
    <t>CREATIVITY SRL</t>
  </si>
  <si>
    <t>05633280481</t>
  </si>
  <si>
    <t>BRM GROUP S.R.L.</t>
  </si>
  <si>
    <t>02355920501</t>
  </si>
  <si>
    <t>BLUPELL S.R.L.</t>
  </si>
  <si>
    <t>02954300246</t>
  </si>
  <si>
    <t>FRATELLI BORGIOLI - S.R.L.-</t>
  </si>
  <si>
    <t>00541050480</t>
  </si>
  <si>
    <t>CALZATURIFICIO DOVER - S.R.L.</t>
  </si>
  <si>
    <t>01085230504</t>
  </si>
  <si>
    <t>152010</t>
  </si>
  <si>
    <t>Pisa</t>
  </si>
  <si>
    <t>Toscana</t>
  </si>
  <si>
    <t>151100</t>
  </si>
  <si>
    <t>Vicenza</t>
  </si>
  <si>
    <t>Veneto</t>
  </si>
  <si>
    <t>TRADIGO GIOVANNI S.R.L.</t>
  </si>
  <si>
    <t>01151320155</t>
  </si>
  <si>
    <t>152000</t>
  </si>
  <si>
    <t>Milano</t>
  </si>
  <si>
    <t>Lombardia</t>
  </si>
  <si>
    <t>MARYAM S.R.L.</t>
  </si>
  <si>
    <t>02093290506</t>
  </si>
  <si>
    <t>LA REPO S.R.L.</t>
  </si>
  <si>
    <t>01211450448</t>
  </si>
  <si>
    <t>Fermo</t>
  </si>
  <si>
    <t>Marche</t>
  </si>
  <si>
    <t>FABBRICA PELLETTERIE MILANO S.P.A. O, IN FORMA ABBREVIATA, F.P.M. S.P.A.</t>
  </si>
  <si>
    <t>06746000964</t>
  </si>
  <si>
    <t>151209</t>
  </si>
  <si>
    <t>CALZATURIFICIO ELENA S.R.L.</t>
  </si>
  <si>
    <t>02492180233</t>
  </si>
  <si>
    <t>Verona</t>
  </si>
  <si>
    <t>STILMODA S.R.L.</t>
  </si>
  <si>
    <t>00577850985</t>
  </si>
  <si>
    <t>Brescia</t>
  </si>
  <si>
    <t>INOVIKA S.R.L.</t>
  </si>
  <si>
    <t>04218910265</t>
  </si>
  <si>
    <t>Treviso</t>
  </si>
  <si>
    <t>MADISON S.R.L.</t>
  </si>
  <si>
    <t>01909400507</t>
  </si>
  <si>
    <t>NICE S.R.L. (NUOVA INDUSTRIA CONCIARIA EUROPEA S.R.L.)</t>
  </si>
  <si>
    <t>01653820249</t>
  </si>
  <si>
    <t>Caserta</t>
  </si>
  <si>
    <t>Campania</t>
  </si>
  <si>
    <t>CALZATURE BEPPE S.R.L.</t>
  </si>
  <si>
    <t>00380090431</t>
  </si>
  <si>
    <t>Macerata</t>
  </si>
  <si>
    <t>ANDERSON'S S.R.L.</t>
  </si>
  <si>
    <t>00150630341</t>
  </si>
  <si>
    <t>Parma</t>
  </si>
  <si>
    <t>Emilia-Romagna</t>
  </si>
  <si>
    <t>OFFICINARTIGIANA S.R.L.</t>
  </si>
  <si>
    <t>05398601210</t>
  </si>
  <si>
    <t>Napoli</t>
  </si>
  <si>
    <t>ASTORFLEX S.R.L.</t>
  </si>
  <si>
    <t>02495620201</t>
  </si>
  <si>
    <t>Mantova</t>
  </si>
  <si>
    <t>EUROPEAN GROUP S.R.L.</t>
  </si>
  <si>
    <t>13379230157</t>
  </si>
  <si>
    <t>152020</t>
  </si>
  <si>
    <t>M&amp;C PELLETTERIA ARTIGIANA S.R.L.</t>
  </si>
  <si>
    <t>10129210968</t>
  </si>
  <si>
    <t>CALZATURIFICIO LANCIOTTI A.R. S.R.L.</t>
  </si>
  <si>
    <t>01771460449</t>
  </si>
  <si>
    <t>RIVADAVIA INDUSTRIA CONCIARIA S.P.A.</t>
  </si>
  <si>
    <t>01419380504</t>
  </si>
  <si>
    <t>SIM.TO.PEL. S.R.L.</t>
  </si>
  <si>
    <t>11873800152</t>
  </si>
  <si>
    <t>KYBUN JOYA PRODUKTION ITALY SRL</t>
  </si>
  <si>
    <t>04234070268</t>
  </si>
  <si>
    <t>GI.VI.PLAST S.R.L.</t>
  </si>
  <si>
    <t>01442500441</t>
  </si>
  <si>
    <t>FRANCESCO RUSSO S.R.L.</t>
  </si>
  <si>
    <t>08704601213</t>
  </si>
  <si>
    <t>CALZATURIFICIO ESTER S.R.L.</t>
  </si>
  <si>
    <t>02130990183</t>
  </si>
  <si>
    <t>152010</t>
  </si>
  <si>
    <t>Pavia</t>
  </si>
  <si>
    <t>Lombardia</t>
  </si>
  <si>
    <t>EMMETIERRE S.R.L.</t>
  </si>
  <si>
    <t>03168520488</t>
  </si>
  <si>
    <t>151209</t>
  </si>
  <si>
    <t>Firenze</t>
  </si>
  <si>
    <t>Toscana</t>
  </si>
  <si>
    <t>151100</t>
  </si>
  <si>
    <t>Pisa</t>
  </si>
  <si>
    <t>FERCA 81 S.R.L.</t>
  </si>
  <si>
    <t>00995630308</t>
  </si>
  <si>
    <t>Udine</t>
  </si>
  <si>
    <t>Friuli-Venezia Giulia</t>
  </si>
  <si>
    <t>CO. GE. ECOLOGICA S.R.L.</t>
  </si>
  <si>
    <t>00442780938</t>
  </si>
  <si>
    <t>Pordenone</t>
  </si>
  <si>
    <t>CARIBU SRL</t>
  </si>
  <si>
    <t>09512890154</t>
  </si>
  <si>
    <t>Milano</t>
  </si>
  <si>
    <t>CRISTIAN MARCUCCI S.R.L. SOCIETA' BENEFIT</t>
  </si>
  <si>
    <t>06513400488</t>
  </si>
  <si>
    <t>CROCOLUX SRL</t>
  </si>
  <si>
    <t>09828760968</t>
  </si>
  <si>
    <t>CORAME S.R.L.</t>
  </si>
  <si>
    <t>07357920961</t>
  </si>
  <si>
    <t>Monza e della Brianza</t>
  </si>
  <si>
    <t>SABENA CALZATURIFICIO S.R.L.</t>
  </si>
  <si>
    <t>04563540261</t>
  </si>
  <si>
    <t>Treviso</t>
  </si>
  <si>
    <t>Veneto</t>
  </si>
  <si>
    <t>FITWELL 4.0 S.R.L.</t>
  </si>
  <si>
    <t>05048870264</t>
  </si>
  <si>
    <t>FINEST SHOES S.R.L. IN LIQUIDAZIONE</t>
  </si>
  <si>
    <t>00439310483</t>
  </si>
  <si>
    <t>Lucca</t>
  </si>
  <si>
    <t>152020</t>
  </si>
  <si>
    <t>IDEA 84 S.R.L.</t>
  </si>
  <si>
    <t>01037300447</t>
  </si>
  <si>
    <t>Fermo</t>
  </si>
  <si>
    <t>Marche</t>
  </si>
  <si>
    <t>PINK SHOES S.R.L.</t>
  </si>
  <si>
    <t>06309630728</t>
  </si>
  <si>
    <t>Barletta-Andria-Trani</t>
  </si>
  <si>
    <t>Puglia</t>
  </si>
  <si>
    <t>BRUNO TROTTI CALZATURE S.R.L.</t>
  </si>
  <si>
    <t>02076210448</t>
  </si>
  <si>
    <t>LABEL - STORE INDUSTRIES S.R.L.</t>
  </si>
  <si>
    <t>03729490262</t>
  </si>
  <si>
    <t>GALLIATE PELLI S.R.L.</t>
  </si>
  <si>
    <t>01286440035</t>
  </si>
  <si>
    <t>Novara</t>
  </si>
  <si>
    <t>Piemonte</t>
  </si>
  <si>
    <t>ELLEDUESSE CONTRAFFORTI S.R.L.</t>
  </si>
  <si>
    <t>03513590152</t>
  </si>
  <si>
    <t>ARKE' CONCERIA SRL</t>
  </si>
  <si>
    <t>02293280505</t>
  </si>
  <si>
    <t>MAURIZI S.R.L</t>
  </si>
  <si>
    <t>01413830439</t>
  </si>
  <si>
    <t>Macerata</t>
  </si>
  <si>
    <t>STUDIO PELLE PELLETTERIA - S.R.L.</t>
  </si>
  <si>
    <t>02215840485</t>
  </si>
  <si>
    <t>151209</t>
  </si>
  <si>
    <t>Firenze</t>
  </si>
  <si>
    <t>Toscana</t>
  </si>
  <si>
    <t>PISTOLESI - S.R.L.</t>
  </si>
  <si>
    <t>01151690508</t>
  </si>
  <si>
    <t>151100</t>
  </si>
  <si>
    <t>Pisa</t>
  </si>
  <si>
    <t>QUALITY S.R.L.</t>
  </si>
  <si>
    <t>01179810435</t>
  </si>
  <si>
    <t>152020</t>
  </si>
  <si>
    <t>Macerata</t>
  </si>
  <si>
    <t>Marche</t>
  </si>
  <si>
    <t>CALZATURIFICIO GALLO S.R.L.</t>
  </si>
  <si>
    <t>08246011210</t>
  </si>
  <si>
    <t>152010</t>
  </si>
  <si>
    <t>Napoli</t>
  </si>
  <si>
    <t>Campania</t>
  </si>
  <si>
    <t>ROMA S.R.L.</t>
  </si>
  <si>
    <t>02022110676</t>
  </si>
  <si>
    <t>Teramo</t>
  </si>
  <si>
    <t>Abruzzo</t>
  </si>
  <si>
    <t>STUDIOART LEATHER INTERIORS SRL</t>
  </si>
  <si>
    <t>03869430243</t>
  </si>
  <si>
    <t>Vicenza</t>
  </si>
  <si>
    <t>Veneto</t>
  </si>
  <si>
    <t>CONCERIA COPAR PELLAMI S.R.L.</t>
  </si>
  <si>
    <t>03977690241</t>
  </si>
  <si>
    <t>SUOLIFICIO STELLA S.R.L.</t>
  </si>
  <si>
    <t>01282370442</t>
  </si>
  <si>
    <t>Fermo</t>
  </si>
  <si>
    <t>NEW SAFETY WORK S.R.L.</t>
  </si>
  <si>
    <t>06211400723</t>
  </si>
  <si>
    <t>Barletta-Andria-Trani</t>
  </si>
  <si>
    <t>Puglia</t>
  </si>
  <si>
    <t>MANIFATTURA TOSCANA PELLAMI S.R.L.</t>
  </si>
  <si>
    <t>01439560507</t>
  </si>
  <si>
    <t>VERDI FASHION S.R.L.</t>
  </si>
  <si>
    <t>02211750985</t>
  </si>
  <si>
    <t>Brescia</t>
  </si>
  <si>
    <t>Lombardia</t>
  </si>
  <si>
    <t>VOGUE FINISH S.R.L.</t>
  </si>
  <si>
    <t>00209110501</t>
  </si>
  <si>
    <t>ROMAGNOLI RONDINELLA S.R.L.</t>
  </si>
  <si>
    <t>00981270432</t>
  </si>
  <si>
    <t>SIGNORIN ILARIO S.R.L.</t>
  </si>
  <si>
    <t>02066310240</t>
  </si>
  <si>
    <t>PELLETTERIA FUSELLA S.R.L.</t>
  </si>
  <si>
    <t>02734870120</t>
  </si>
  <si>
    <t>Varese</t>
  </si>
  <si>
    <t>GAFFE - SOCIETA' A RESPONSABILITA' LIMITATA</t>
  </si>
  <si>
    <t>00986130342</t>
  </si>
  <si>
    <t>Parma</t>
  </si>
  <si>
    <t>Emilia-Romagna</t>
  </si>
  <si>
    <t>ARCHIVIO SRL</t>
  </si>
  <si>
    <t>04083610248</t>
  </si>
  <si>
    <t>CALZATURIFICIO FRANCESCHETTI S.R.L.</t>
  </si>
  <si>
    <t>00985770445</t>
  </si>
  <si>
    <t>GY-TAL SHOES S.R.L.</t>
  </si>
  <si>
    <t>00437920507</t>
  </si>
  <si>
    <t>152010</t>
  </si>
  <si>
    <t>Pisa</t>
  </si>
  <si>
    <t>Toscana</t>
  </si>
  <si>
    <t>Fermo</t>
  </si>
  <si>
    <t>Marche</t>
  </si>
  <si>
    <t>LA MANUELITA S.R.L.</t>
  </si>
  <si>
    <t>01597530433</t>
  </si>
  <si>
    <t>2ME LAB. S.R.L.</t>
  </si>
  <si>
    <t>06479570969</t>
  </si>
  <si>
    <t>151209</t>
  </si>
  <si>
    <t>Milano</t>
  </si>
  <si>
    <t>Lombardia</t>
  </si>
  <si>
    <t>Padova</t>
  </si>
  <si>
    <t>Veneto</t>
  </si>
  <si>
    <t>BLUE STAR SRL</t>
  </si>
  <si>
    <t>01936510443</t>
  </si>
  <si>
    <t>F.A.P. ITALIA S.R.L.</t>
  </si>
  <si>
    <t>02411480169</t>
  </si>
  <si>
    <t>PER-PEL S.R.L.</t>
  </si>
  <si>
    <t>01507340246</t>
  </si>
  <si>
    <t>151100</t>
  </si>
  <si>
    <t>Vicenza</t>
  </si>
  <si>
    <t>B 2 - S.R.L.</t>
  </si>
  <si>
    <t>01053850465</t>
  </si>
  <si>
    <t>152000</t>
  </si>
  <si>
    <t>Lucca</t>
  </si>
  <si>
    <t>LADY SHOES S.R.L.</t>
  </si>
  <si>
    <t>04047040615</t>
  </si>
  <si>
    <t>Caserta</t>
  </si>
  <si>
    <t>Campania</t>
  </si>
  <si>
    <t>DUPELCO DI DUSINI NICOLA S.R.L.</t>
  </si>
  <si>
    <t>00334440229</t>
  </si>
  <si>
    <t>Trento</t>
  </si>
  <si>
    <t>Trentino-Alto Adige</t>
  </si>
  <si>
    <t>ZETAPELLI S.R.L.</t>
  </si>
  <si>
    <t>01320810243</t>
  </si>
  <si>
    <t>EGO S.R.L.</t>
  </si>
  <si>
    <t>02080790542</t>
  </si>
  <si>
    <t>Perugia</t>
  </si>
  <si>
    <t>Umbria</t>
  </si>
  <si>
    <t>CONCERIA MA.BO.PELL SRL</t>
  </si>
  <si>
    <t>02795460241</t>
  </si>
  <si>
    <t>FLECS S.R.L.</t>
  </si>
  <si>
    <t>02444590612</t>
  </si>
  <si>
    <t>MEDITERRANEO S.R.L. UNIPERSONALE</t>
  </si>
  <si>
    <t>01698410675</t>
  </si>
  <si>
    <t>Pescara</t>
  </si>
  <si>
    <t>Abruzzo</t>
  </si>
  <si>
    <t>ANDREA DEL VECCHIO SOLUZIONI ESCLUSIVE S.R.L.</t>
  </si>
  <si>
    <t>04004060283</t>
  </si>
  <si>
    <t>SCHEDONI S.R.L.</t>
  </si>
  <si>
    <t>02797190366</t>
  </si>
  <si>
    <t>Modena</t>
  </si>
  <si>
    <t>Emilia-Romagna</t>
  </si>
  <si>
    <t>CALZATURIFICIO ARTIGIANA SCARPE S.R.L.</t>
  </si>
  <si>
    <t>05341741212</t>
  </si>
  <si>
    <t>Napoli</t>
  </si>
  <si>
    <t>MAGICA - S.R.L.</t>
  </si>
  <si>
    <t>00718720121</t>
  </si>
  <si>
    <t>Varese</t>
  </si>
  <si>
    <t>CALZATURIFICIO SPINNAKER S.R.L.</t>
  </si>
  <si>
    <t>02138720509</t>
  </si>
  <si>
    <t>BLUBOX S.R.L.</t>
  </si>
  <si>
    <t>08036690967</t>
  </si>
  <si>
    <t>Bologna</t>
  </si>
  <si>
    <t>152010</t>
  </si>
  <si>
    <t>152020</t>
  </si>
  <si>
    <t>Napoli</t>
  </si>
  <si>
    <t>Campania</t>
  </si>
  <si>
    <t>ROTTA S.R.L.</t>
  </si>
  <si>
    <t>02278170234</t>
  </si>
  <si>
    <t>Verona</t>
  </si>
  <si>
    <t>Veneto</t>
  </si>
  <si>
    <t>DONNA SOFT S.R.L.</t>
  </si>
  <si>
    <t>01124830439</t>
  </si>
  <si>
    <t>Macerata</t>
  </si>
  <si>
    <t>Marche</t>
  </si>
  <si>
    <t>152000</t>
  </si>
  <si>
    <t>ACCOPPIATURA RICCARDO S.R.L.</t>
  </si>
  <si>
    <t>01736560440</t>
  </si>
  <si>
    <t>Fermo</t>
  </si>
  <si>
    <t>BENERICETTI S.R.L.</t>
  </si>
  <si>
    <t>01561830504</t>
  </si>
  <si>
    <t>151100</t>
  </si>
  <si>
    <t>Pisa</t>
  </si>
  <si>
    <t>Toscana</t>
  </si>
  <si>
    <t>PANTANETTI SOCIETA' A RESPONSABILITA' LIMITATA</t>
  </si>
  <si>
    <t>02008540441</t>
  </si>
  <si>
    <t>151209</t>
  </si>
  <si>
    <t>Firenze</t>
  </si>
  <si>
    <t>GREEN LEATHER S.R.L.</t>
  </si>
  <si>
    <t>03108070248</t>
  </si>
  <si>
    <t>ROSIS SRL</t>
  </si>
  <si>
    <t>01094290432</t>
  </si>
  <si>
    <t>CONCERIA DALLA BARBA S.R.L.</t>
  </si>
  <si>
    <t>01777000249</t>
  </si>
  <si>
    <t>Vicenza</t>
  </si>
  <si>
    <t>ARTE PELLETTIERI S.R.L.</t>
  </si>
  <si>
    <t>06108350486</t>
  </si>
  <si>
    <t>SAINT FERRY S.R.L.</t>
  </si>
  <si>
    <t>00339810442</t>
  </si>
  <si>
    <t>CALZATURIFICIO GAL.MEN S.R.L.</t>
  </si>
  <si>
    <t>01039880446</t>
  </si>
  <si>
    <t>MASCA PROGETTO BORSA S.R.L.</t>
  </si>
  <si>
    <t>03809800166</t>
  </si>
  <si>
    <t>Bergamo</t>
  </si>
  <si>
    <t>Lombardia</t>
  </si>
  <si>
    <t>Avellino</t>
  </si>
  <si>
    <t>CASLAM SRL</t>
  </si>
  <si>
    <t>02712770649</t>
  </si>
  <si>
    <t>SUTORIUS S.R.L.</t>
  </si>
  <si>
    <t>06495280486</t>
  </si>
  <si>
    <t>GEMAX GROUP S.R.L.</t>
  </si>
  <si>
    <t>06966571215</t>
  </si>
  <si>
    <t>GOLDENFIT S.R.L.</t>
  </si>
  <si>
    <t>05368250725</t>
  </si>
  <si>
    <t>Barletta-Andria-Trani</t>
  </si>
  <si>
    <t>Puglia</t>
  </si>
  <si>
    <t>ELATA SALVATORE NICOLAZZO S.R.L.</t>
  </si>
  <si>
    <t>00039690755</t>
  </si>
  <si>
    <t>Lecce</t>
  </si>
  <si>
    <t>ANDREW S.R.L.</t>
  </si>
  <si>
    <t>03138390269</t>
  </si>
  <si>
    <t>Treviso</t>
  </si>
  <si>
    <t>MY LADY S.R.L.</t>
  </si>
  <si>
    <t>00906720446</t>
  </si>
  <si>
    <t>FA.BO.SS. S.R.L.</t>
  </si>
  <si>
    <t>12342130155</t>
  </si>
  <si>
    <t>Milano</t>
  </si>
  <si>
    <t>CALZATURIFICIO LORENZI SRL</t>
  </si>
  <si>
    <t>00985170448</t>
  </si>
  <si>
    <t>151100</t>
  </si>
  <si>
    <t>Vicenza</t>
  </si>
  <si>
    <t>Veneto</t>
  </si>
  <si>
    <t>151209</t>
  </si>
  <si>
    <t>Campania</t>
  </si>
  <si>
    <t>CALZATURIFICIO TOGI S.R.L.</t>
  </si>
  <si>
    <t>04297300610</t>
  </si>
  <si>
    <t>152010</t>
  </si>
  <si>
    <t>Caserta</t>
  </si>
  <si>
    <t>BELLO S.P.A.</t>
  </si>
  <si>
    <t>04593730650</t>
  </si>
  <si>
    <t>Salerno</t>
  </si>
  <si>
    <t>CONCERIA MARCA TORO S.R.L.</t>
  </si>
  <si>
    <t>00245760509</t>
  </si>
  <si>
    <t>Pisa</t>
  </si>
  <si>
    <t>Toscana</t>
  </si>
  <si>
    <t>DUCA S.R.L. - UNIPERSONALE</t>
  </si>
  <si>
    <t>02406800249</t>
  </si>
  <si>
    <t>Venezia</t>
  </si>
  <si>
    <t>M.P.E. S.R.L.</t>
  </si>
  <si>
    <t>00230000507</t>
  </si>
  <si>
    <t>GALLETTI &amp; CARLINI S.R.L.</t>
  </si>
  <si>
    <t>01415780483</t>
  </si>
  <si>
    <t>Firenze</t>
  </si>
  <si>
    <t>STIRATRICE M.C. DI RICCI DONATELLA S.R.L.</t>
  </si>
  <si>
    <t>00905990503</t>
  </si>
  <si>
    <t>Varese</t>
  </si>
  <si>
    <t>Lombardia</t>
  </si>
  <si>
    <t>PERA CARLO SHOES - S.R.L.</t>
  </si>
  <si>
    <t>01276670468</t>
  </si>
  <si>
    <t>Lucca</t>
  </si>
  <si>
    <t>GABRIEL S.R.L.</t>
  </si>
  <si>
    <t>06743680487</t>
  </si>
  <si>
    <t>ATLANTE FINISH - S.R.L.</t>
  </si>
  <si>
    <t>00940160500</t>
  </si>
  <si>
    <t>CALZATURIFICIO CO.RAF. GROUP S.R.L.</t>
  </si>
  <si>
    <t>04253180618</t>
  </si>
  <si>
    <t>BE SNEAKERS SOCIETA' A RESPONSABILITA' LIMITATA</t>
  </si>
  <si>
    <t>08415940728</t>
  </si>
  <si>
    <t>Barletta-Andria-Trani</t>
  </si>
  <si>
    <t>Puglia</t>
  </si>
  <si>
    <t>ESOTICA S.R.L.</t>
  </si>
  <si>
    <t>02143910129</t>
  </si>
  <si>
    <t>AB CREATIVE SOCIETA' A RESPONSABILITA' LIMITATA SEMPLIFICATA UNIP ERSONALE</t>
  </si>
  <si>
    <t>06775670489</t>
  </si>
  <si>
    <t>PACIOTTI S.R.L.</t>
  </si>
  <si>
    <t>00220950430</t>
  </si>
  <si>
    <t>Macerata</t>
  </si>
  <si>
    <t>Marche</t>
  </si>
  <si>
    <t>PELLETTERIE DELFINO S.R.L.</t>
  </si>
  <si>
    <t>04345500286</t>
  </si>
  <si>
    <t>Padova</t>
  </si>
  <si>
    <t>CONCERIA ONDA VERDE S.R.L.</t>
  </si>
  <si>
    <t>00157280504</t>
  </si>
  <si>
    <t>LASER TEAM SOCIETA' A RESPONSABILITA' LIMITATA IN SIGLA LASER TEAM S.R.L.</t>
  </si>
  <si>
    <t>03193130402</t>
  </si>
  <si>
    <t>152020</t>
  </si>
  <si>
    <t>Forlì-Cesena</t>
  </si>
  <si>
    <t>Emilia-Romagna</t>
  </si>
  <si>
    <t>CALZATURIFICIO DONNA CAROLINA S.R.L.</t>
  </si>
  <si>
    <t>00423140276</t>
  </si>
  <si>
    <t>CONCERIA ANNA RITA S.R.L.</t>
  </si>
  <si>
    <t>00318950508</t>
  </si>
  <si>
    <t>EUROTOP &amp; BRADOR S.R.L.</t>
  </si>
  <si>
    <t>03826240404</t>
  </si>
  <si>
    <t>152010</t>
  </si>
  <si>
    <t>Pesaro Urbino</t>
  </si>
  <si>
    <t>Marche</t>
  </si>
  <si>
    <t>Macerata</t>
  </si>
  <si>
    <t>GIORGIO LINEA SRL</t>
  </si>
  <si>
    <t>04690810488</t>
  </si>
  <si>
    <t>151209</t>
  </si>
  <si>
    <t>Firenze</t>
  </si>
  <si>
    <t>Toscana</t>
  </si>
  <si>
    <t>152020</t>
  </si>
  <si>
    <t>Milano</t>
  </si>
  <si>
    <t>Lombardia</t>
  </si>
  <si>
    <t>POLYFLEX S.R.L.</t>
  </si>
  <si>
    <t>08232670722</t>
  </si>
  <si>
    <t>Barletta-Andria-Trani</t>
  </si>
  <si>
    <t>Puglia</t>
  </si>
  <si>
    <t>CONFORT S.R.L.</t>
  </si>
  <si>
    <t>01592920431</t>
  </si>
  <si>
    <t>DANKE PELLETTERIA S.R.L.</t>
  </si>
  <si>
    <t>04416120162</t>
  </si>
  <si>
    <t>Bergamo</t>
  </si>
  <si>
    <t>G &amp; G FOOTWEAR S.R.L.</t>
  </si>
  <si>
    <t>00914400346</t>
  </si>
  <si>
    <t>Parma</t>
  </si>
  <si>
    <t>Emilia-Romagna</t>
  </si>
  <si>
    <t>ORIGINAL MOCASSIN S.R.L.</t>
  </si>
  <si>
    <t>02814050643</t>
  </si>
  <si>
    <t>Avellino</t>
  </si>
  <si>
    <t>Campania</t>
  </si>
  <si>
    <t>151100</t>
  </si>
  <si>
    <t>Veneto</t>
  </si>
  <si>
    <t>SIMONE MARTINI S.R.L.</t>
  </si>
  <si>
    <t>05247380487</t>
  </si>
  <si>
    <t>CONCERIA M B 3 S.R.L.</t>
  </si>
  <si>
    <t>01371250505</t>
  </si>
  <si>
    <t>Pisa</t>
  </si>
  <si>
    <t>CONCERIA NUOVA ETRURIA S.R.L.</t>
  </si>
  <si>
    <t>00190660506</t>
  </si>
  <si>
    <t>SA.CU.TEX. S.R.L.</t>
  </si>
  <si>
    <t>03469030286</t>
  </si>
  <si>
    <t>Padova</t>
  </si>
  <si>
    <t>ALTAMODA BELT SRL</t>
  </si>
  <si>
    <t>01678970169</t>
  </si>
  <si>
    <t>151200</t>
  </si>
  <si>
    <t>Napoli</t>
  </si>
  <si>
    <t>DUEDI' SOCIETA' A RESPONSABILITA' LIMITATA</t>
  </si>
  <si>
    <t>03923350619</t>
  </si>
  <si>
    <t>Caserta</t>
  </si>
  <si>
    <t>SESA SHOES SRL</t>
  </si>
  <si>
    <t>02442810442</t>
  </si>
  <si>
    <t>Fermo</t>
  </si>
  <si>
    <t>EGI.FRA. S.R.L.</t>
  </si>
  <si>
    <t>07991330965</t>
  </si>
  <si>
    <t>ACCOPPIATURE GC S.R.L.</t>
  </si>
  <si>
    <t>02209890462</t>
  </si>
  <si>
    <t>Lucca</t>
  </si>
  <si>
    <t>PELLECO S.R.L.</t>
  </si>
  <si>
    <t>00169460805</t>
  </si>
  <si>
    <t>Reggio di Calabria</t>
  </si>
  <si>
    <t>Calabria</t>
  </si>
  <si>
    <t>GIPSY PRODUCTION S.R.L.</t>
  </si>
  <si>
    <t>05159111219</t>
  </si>
  <si>
    <t>CONCERIA DINGO S.R.L.</t>
  </si>
  <si>
    <t>00344250501</t>
  </si>
  <si>
    <t>151100</t>
  </si>
  <si>
    <t>Pisa</t>
  </si>
  <si>
    <t>Toscana</t>
  </si>
  <si>
    <t>SALAR MILANO S.R.L.</t>
  </si>
  <si>
    <t>04520880750</t>
  </si>
  <si>
    <t>151209</t>
  </si>
  <si>
    <t>Lecce</t>
  </si>
  <si>
    <t>Puglia</t>
  </si>
  <si>
    <t>ERNESTO DOLANI SRL</t>
  </si>
  <si>
    <t>01825860446</t>
  </si>
  <si>
    <t>152010</t>
  </si>
  <si>
    <t>Fermo</t>
  </si>
  <si>
    <t>Marche</t>
  </si>
  <si>
    <t>152020</t>
  </si>
  <si>
    <t>Veneto</t>
  </si>
  <si>
    <t>Z INDUSTRIE SRL</t>
  </si>
  <si>
    <t>01693230433</t>
  </si>
  <si>
    <t>Macerata</t>
  </si>
  <si>
    <t>Lucca</t>
  </si>
  <si>
    <t>CONCERIA STELLA S.R.L.</t>
  </si>
  <si>
    <t>00668450489</t>
  </si>
  <si>
    <t>Firenze</t>
  </si>
  <si>
    <t>PISCITELLI FOOTWEAR S.R.L.</t>
  </si>
  <si>
    <t>04308640616</t>
  </si>
  <si>
    <t>Caserta</t>
  </si>
  <si>
    <t>Campania</t>
  </si>
  <si>
    <t>GUARDOLIFICIO DUE ROCCHE S.R.L.</t>
  </si>
  <si>
    <t>02156880268</t>
  </si>
  <si>
    <t>Treviso</t>
  </si>
  <si>
    <t>CONCERIA YANKEE S.R.L.</t>
  </si>
  <si>
    <t>01103500508</t>
  </si>
  <si>
    <t>GALLUCCI S.R.L.</t>
  </si>
  <si>
    <t>01705780441</t>
  </si>
  <si>
    <t>TEOREMA S.R.L.</t>
  </si>
  <si>
    <t>02532630403</t>
  </si>
  <si>
    <t>Forlì-Cesena</t>
  </si>
  <si>
    <t>Emilia-Romagna</t>
  </si>
  <si>
    <t>BOLDRINI SELLERIA S.R.L.</t>
  </si>
  <si>
    <t>01067830479</t>
  </si>
  <si>
    <t>Pistoia</t>
  </si>
  <si>
    <t>DUSY GROUP S.R.L.</t>
  </si>
  <si>
    <t>02157410461</t>
  </si>
  <si>
    <t>BS SRL</t>
  </si>
  <si>
    <t>03993160245</t>
  </si>
  <si>
    <t>Vicenza</t>
  </si>
  <si>
    <t>ANTONY GROUP SRL</t>
  </si>
  <si>
    <t>01051150363</t>
  </si>
  <si>
    <t>151200</t>
  </si>
  <si>
    <t>Modena</t>
  </si>
  <si>
    <t>PELLEGRINI GROUP S.R.L.</t>
  </si>
  <si>
    <t>03758890481</t>
  </si>
  <si>
    <t>M.P.G. INDUSTRIA CONCIARIA SRL</t>
  </si>
  <si>
    <t>00120900501</t>
  </si>
  <si>
    <t>AMBRA AUTOMOTIVE LEATHER SRL</t>
  </si>
  <si>
    <t>03424640245</t>
  </si>
  <si>
    <t>SIM ITALIAN GLOVES SRL</t>
  </si>
  <si>
    <t>03260961218</t>
  </si>
  <si>
    <t>Napoli</t>
  </si>
  <si>
    <t>NEW PEL COMPANY SRL</t>
  </si>
  <si>
    <t>00884830241</t>
  </si>
  <si>
    <t>G.N.V. SRL</t>
  </si>
  <si>
    <t>01338800442</t>
  </si>
  <si>
    <t>152010</t>
  </si>
  <si>
    <t>Fermo</t>
  </si>
  <si>
    <t>Marche</t>
  </si>
  <si>
    <t>152020</t>
  </si>
  <si>
    <t>Veneto</t>
  </si>
  <si>
    <t>CONCERIA CENTOMO S.R.L.</t>
  </si>
  <si>
    <t>01780950240</t>
  </si>
  <si>
    <t>151100</t>
  </si>
  <si>
    <t>Vicenza</t>
  </si>
  <si>
    <t>BERNACCHINI 1905 S.R.L.</t>
  </si>
  <si>
    <t>01635910431</t>
  </si>
  <si>
    <t>Macerata</t>
  </si>
  <si>
    <t>STHART S.R.L.</t>
  </si>
  <si>
    <t>02862890429</t>
  </si>
  <si>
    <t>Ancona</t>
  </si>
  <si>
    <t>EXTRO' STYLE S.R.L.</t>
  </si>
  <si>
    <t>03301190546</t>
  </si>
  <si>
    <t>Perugia</t>
  </si>
  <si>
    <t>Umbria</t>
  </si>
  <si>
    <t>SHOES PROJECT VERONA SRL</t>
  </si>
  <si>
    <t>04683170239</t>
  </si>
  <si>
    <t>Verona</t>
  </si>
  <si>
    <t>PIEMMEGI S.R.L.</t>
  </si>
  <si>
    <t>02485910265</t>
  </si>
  <si>
    <t>Treviso</t>
  </si>
  <si>
    <t>SUOLIFICIO MORROVALLESE SPA</t>
  </si>
  <si>
    <t>00336110432</t>
  </si>
  <si>
    <t>RUBBER ITALY S.R.L.</t>
  </si>
  <si>
    <t>02070350448</t>
  </si>
  <si>
    <t>152000</t>
  </si>
  <si>
    <t>ACCOPPIATURE MISTRAL S.R.L.</t>
  </si>
  <si>
    <t>01718540501</t>
  </si>
  <si>
    <t>Pisa</t>
  </si>
  <si>
    <t>Toscana</t>
  </si>
  <si>
    <t>BONFANTI BORSE SRL</t>
  </si>
  <si>
    <t>00767090152</t>
  </si>
  <si>
    <t>151200</t>
  </si>
  <si>
    <t>Milano</t>
  </si>
  <si>
    <t>Lombardia</t>
  </si>
  <si>
    <t>MARESCA S.R.L.</t>
  </si>
  <si>
    <t>00140690207</t>
  </si>
  <si>
    <t>Mantova</t>
  </si>
  <si>
    <t>LINEA PROJECT LEATHER S.R.L.</t>
  </si>
  <si>
    <t>04232730244</t>
  </si>
  <si>
    <t>Campania</t>
  </si>
  <si>
    <t>M.I.B. - MANIFATTURA ITALIANA DEL BREMBO S.P.A.</t>
  </si>
  <si>
    <t>00917860165</t>
  </si>
  <si>
    <t>Bergamo</t>
  </si>
  <si>
    <t>CALZATURIFICIO EUROPA SOCIETA' A RESPONSABILITA' LIMITATA IN SIGLA: CALZATURIFICIO EUROPA S.R.L.</t>
  </si>
  <si>
    <t>02655700611</t>
  </si>
  <si>
    <t>Caserta</t>
  </si>
  <si>
    <t>MISSOURI S.R.L.</t>
  </si>
  <si>
    <t>01064680448</t>
  </si>
  <si>
    <t>RIPANI ITALIANA PELLETTERIE SOCIETA' BENEFIT A RESPONSABILITA' LIMITATA OVVERO IN FORMA ABBREVIATA RIPANI ITALIANA PELLETTERIE S.B. SRL OPPUR E RIPANI ITALIANA PELLETTERIE S.B. R.L. OPPURE RIPANI ITALIANA PELLETTERIE S.R .L. S.B.</t>
  </si>
  <si>
    <t>00768000671</t>
  </si>
  <si>
    <t>Teramo</t>
  </si>
  <si>
    <t>Abruzzo</t>
  </si>
  <si>
    <t>SUOLIFICIO MAYA S.R.L.</t>
  </si>
  <si>
    <t>01486940503</t>
  </si>
  <si>
    <t>ETTORE MASOTTI S.R.L.</t>
  </si>
  <si>
    <t>03303930485</t>
  </si>
  <si>
    <t>Firenze</t>
  </si>
  <si>
    <t>CALZATURIFICIO ROSSI S.R.L.</t>
  </si>
  <si>
    <t>01128030440</t>
  </si>
  <si>
    <t>152010</t>
  </si>
  <si>
    <t>Fermo</t>
  </si>
  <si>
    <t>Marche</t>
  </si>
  <si>
    <t>151209</t>
  </si>
  <si>
    <t>Toscana</t>
  </si>
  <si>
    <t>COMET PELLI S.R.L.</t>
  </si>
  <si>
    <t>01973120247</t>
  </si>
  <si>
    <t>151100</t>
  </si>
  <si>
    <t>Vicenza</t>
  </si>
  <si>
    <t>Veneto</t>
  </si>
  <si>
    <t>CALZATURIFICIO MELIN S.R.L.</t>
  </si>
  <si>
    <t>01026620441</t>
  </si>
  <si>
    <t>MASIERO LORENZO S.R.L.</t>
  </si>
  <si>
    <t>03727890273</t>
  </si>
  <si>
    <t>Venezia</t>
  </si>
  <si>
    <t>152020</t>
  </si>
  <si>
    <t>Padova</t>
  </si>
  <si>
    <t>M.A. ASCIUGATURA PELLI SRL</t>
  </si>
  <si>
    <t>04121660247</t>
  </si>
  <si>
    <t>M3 SRL</t>
  </si>
  <si>
    <t>04243050244</t>
  </si>
  <si>
    <t>FAST S.R.L.</t>
  </si>
  <si>
    <t>01648440442</t>
  </si>
  <si>
    <t>SUOLIFICIO GLORIA S.R.L.</t>
  </si>
  <si>
    <t>00178530408</t>
  </si>
  <si>
    <t>Forlì-Cesena</t>
  </si>
  <si>
    <t>Emilia-Romagna</t>
  </si>
  <si>
    <t>THULE ITALIA SRL</t>
  </si>
  <si>
    <t>02230550507</t>
  </si>
  <si>
    <t>Pisa</t>
  </si>
  <si>
    <t>CONCERIA LA BRETAGNA S.R.L.</t>
  </si>
  <si>
    <t>00970850509</t>
  </si>
  <si>
    <t>TIEMMEGI S.R.L.</t>
  </si>
  <si>
    <t>01505260446</t>
  </si>
  <si>
    <t>GROUP ROCHEL S.R.L.</t>
  </si>
  <si>
    <t>02407840970</t>
  </si>
  <si>
    <t>Prato</t>
  </si>
  <si>
    <t>GORDON 1956 S.R.L.</t>
  </si>
  <si>
    <t>02399000443</t>
  </si>
  <si>
    <t>SHOE MANUFACTURE S.R.L.</t>
  </si>
  <si>
    <t>04294170271</t>
  </si>
  <si>
    <t>152020</t>
  </si>
  <si>
    <t>151209</t>
  </si>
  <si>
    <t>Venezia</t>
  </si>
  <si>
    <t>Veneto</t>
  </si>
  <si>
    <t>Marche</t>
  </si>
  <si>
    <t>S.C. TANNERY S.R.L.</t>
  </si>
  <si>
    <t>01915710501</t>
  </si>
  <si>
    <t>151100</t>
  </si>
  <si>
    <t>Pisa</t>
  </si>
  <si>
    <t>Toscana</t>
  </si>
  <si>
    <t>152010</t>
  </si>
  <si>
    <t>Vicenza</t>
  </si>
  <si>
    <t>F.LLI STANGHELLINI S.R.L.</t>
  </si>
  <si>
    <t>02624260242</t>
  </si>
  <si>
    <t>Firenze</t>
  </si>
  <si>
    <t>CERTALDESE S.R.L.</t>
  </si>
  <si>
    <t>03396560488</t>
  </si>
  <si>
    <t>COBA S.R.L.</t>
  </si>
  <si>
    <t>00843340449</t>
  </si>
  <si>
    <t>Fermo</t>
  </si>
  <si>
    <t>HF 2000 - S.R.L.</t>
  </si>
  <si>
    <t>03993460728</t>
  </si>
  <si>
    <t>Barletta-Andria-Trani</t>
  </si>
  <si>
    <t>Puglia</t>
  </si>
  <si>
    <t>TOP SYSTEM S.R.L.</t>
  </si>
  <si>
    <t>03265210280</t>
  </si>
  <si>
    <t>Padova</t>
  </si>
  <si>
    <t>INDIOS SHOES S.R.L.</t>
  </si>
  <si>
    <t>01376220479</t>
  </si>
  <si>
    <t>Pistoia</t>
  </si>
  <si>
    <t>DEAPEL S.R.L.</t>
  </si>
  <si>
    <t>02814330243</t>
  </si>
  <si>
    <t>FA.PEL S.R.L.</t>
  </si>
  <si>
    <t>01852810249</t>
  </si>
  <si>
    <t>Lombardia</t>
  </si>
  <si>
    <t>ALBA MODA S.R.L.</t>
  </si>
  <si>
    <t>02239830488</t>
  </si>
  <si>
    <t>DOL CAST - S.R.L.</t>
  </si>
  <si>
    <t>01161320468</t>
  </si>
  <si>
    <t>Lucca</t>
  </si>
  <si>
    <t>DONI FASHION LAB SRL</t>
  </si>
  <si>
    <t>04979430289</t>
  </si>
  <si>
    <t>CONCERIA CORRADI S.R.L.</t>
  </si>
  <si>
    <t>00876890245</t>
  </si>
  <si>
    <t>EVOL FASHION GROUP S.R.L.</t>
  </si>
  <si>
    <t>04822820280</t>
  </si>
  <si>
    <t>VALIGERIA BERTONI S.R.L.</t>
  </si>
  <si>
    <t>01408250122</t>
  </si>
  <si>
    <t>Varese</t>
  </si>
  <si>
    <t>POKER S.R.L.</t>
  </si>
  <si>
    <t>00340700509</t>
  </si>
  <si>
    <t>151100</t>
  </si>
  <si>
    <t>Campania</t>
  </si>
  <si>
    <t>152010</t>
  </si>
  <si>
    <t>Fermo</t>
  </si>
  <si>
    <t>Marche</t>
  </si>
  <si>
    <t>NUOVA RIVIERA S.R.L.</t>
  </si>
  <si>
    <t>04632301216</t>
  </si>
  <si>
    <t>Napoli</t>
  </si>
  <si>
    <t>CIVICO 93 S.R.L.</t>
  </si>
  <si>
    <t>09200151216</t>
  </si>
  <si>
    <t>151209</t>
  </si>
  <si>
    <t>DABO' PELLETTERIA S.R.L.</t>
  </si>
  <si>
    <t>08226880964</t>
  </si>
  <si>
    <t>Milano</t>
  </si>
  <si>
    <t>Lombardia</t>
  </si>
  <si>
    <t>152020</t>
  </si>
  <si>
    <t>BENVENUTI S.R.L.</t>
  </si>
  <si>
    <t>01188360489</t>
  </si>
  <si>
    <t>Firenze</t>
  </si>
  <si>
    <t>Toscana</t>
  </si>
  <si>
    <t>Vicenza</t>
  </si>
  <si>
    <t>Veneto</t>
  </si>
  <si>
    <t>CALZATURIFICIO VOLTAN S.R.L.</t>
  </si>
  <si>
    <t>01601570276</t>
  </si>
  <si>
    <t>Venezia</t>
  </si>
  <si>
    <t>Pisa</t>
  </si>
  <si>
    <t>CALZATURIFICIO TREEMME S.R.L.</t>
  </si>
  <si>
    <t>05059570266</t>
  </si>
  <si>
    <t>Treviso</t>
  </si>
  <si>
    <t>BONTONI SRL</t>
  </si>
  <si>
    <t>01884950443</t>
  </si>
  <si>
    <t>I.G.G. S.R.L.</t>
  </si>
  <si>
    <t>03409930249</t>
  </si>
  <si>
    <t>CALZATURIFICIO PELLICO - S.R.L.</t>
  </si>
  <si>
    <t>01525350276</t>
  </si>
  <si>
    <t>TOMAIFICIO-GUARDOLIFICIO CINDERELLA'S SHOES S.R.L.</t>
  </si>
  <si>
    <t>02501540468</t>
  </si>
  <si>
    <t>Lucca</t>
  </si>
  <si>
    <t>CALZATURIFICIO BALLERINA S.R.L.</t>
  </si>
  <si>
    <t>01812660502</t>
  </si>
  <si>
    <t>GUARDOLIFICIO BIEFFE S.R.L.</t>
  </si>
  <si>
    <t>01679660504</t>
  </si>
  <si>
    <t>ALBERTO FASCIANI GROUP SRL</t>
  </si>
  <si>
    <t>02400050445</t>
  </si>
  <si>
    <t>ESSEDONNA S.R.L.</t>
  </si>
  <si>
    <t>06019141214</t>
  </si>
  <si>
    <t>CALZATURIFICIO GRITTI S.R.L.</t>
  </si>
  <si>
    <t>02167820287</t>
  </si>
  <si>
    <t>Padova</t>
  </si>
  <si>
    <t>MAROS SRL</t>
  </si>
  <si>
    <t>03095790485</t>
  </si>
  <si>
    <t>ANGIE S.R.L.</t>
  </si>
  <si>
    <t>02241420971</t>
  </si>
  <si>
    <t>151209</t>
  </si>
  <si>
    <t>Napoli</t>
  </si>
  <si>
    <t>Campania</t>
  </si>
  <si>
    <t>AL-FA S.R.L.</t>
  </si>
  <si>
    <t>02097950501</t>
  </si>
  <si>
    <t>151100</t>
  </si>
  <si>
    <t>Pisa</t>
  </si>
  <si>
    <t>Toscana</t>
  </si>
  <si>
    <t>Emilia-Romagna</t>
  </si>
  <si>
    <t>PAOLO SCAFORA S.R.L.</t>
  </si>
  <si>
    <t>05051861218</t>
  </si>
  <si>
    <t>152010</t>
  </si>
  <si>
    <t>Milano</t>
  </si>
  <si>
    <t>Lombardia</t>
  </si>
  <si>
    <t>Fermo</t>
  </si>
  <si>
    <t>Marche</t>
  </si>
  <si>
    <t>SELOR GROUP S.R.L.</t>
  </si>
  <si>
    <t>03098130366</t>
  </si>
  <si>
    <t>Modena</t>
  </si>
  <si>
    <t>SARA SRL</t>
  </si>
  <si>
    <t>01460200676</t>
  </si>
  <si>
    <t>Teramo</t>
  </si>
  <si>
    <t>Abruzzo</t>
  </si>
  <si>
    <t>Firenze</t>
  </si>
  <si>
    <t>CONCERIA IL GABBIANO S.R.L.</t>
  </si>
  <si>
    <t>00181400508</t>
  </si>
  <si>
    <t>SCHEGGI BEATRICE S.R.L.</t>
  </si>
  <si>
    <t>06384650484</t>
  </si>
  <si>
    <t>TERZIPEL S.R.L.</t>
  </si>
  <si>
    <t>02347720241</t>
  </si>
  <si>
    <t>Vicenza</t>
  </si>
  <si>
    <t>Veneto</t>
  </si>
  <si>
    <t>CALZATURIFICIO NOE S.R.L.</t>
  </si>
  <si>
    <t>07342910721</t>
  </si>
  <si>
    <t>Barletta-Andria-Trani</t>
  </si>
  <si>
    <t>Puglia</t>
  </si>
  <si>
    <t>SAB SHOES S.R.L.</t>
  </si>
  <si>
    <t>02101080469</t>
  </si>
  <si>
    <t>Lucca</t>
  </si>
  <si>
    <t>SUPERFLEX - S.R.L.</t>
  </si>
  <si>
    <t>00753170158</t>
  </si>
  <si>
    <t>152000</t>
  </si>
  <si>
    <t>PELLETTERIE CLAUDIA-S.R.L.</t>
  </si>
  <si>
    <t>00441810488</t>
  </si>
  <si>
    <t>151200</t>
  </si>
  <si>
    <t>VENETA S.R.L.</t>
  </si>
  <si>
    <t>04200350272</t>
  </si>
  <si>
    <t>Venezia</t>
  </si>
  <si>
    <t>FRANCO TUCCI S.R.L.</t>
  </si>
  <si>
    <t>04822730265</t>
  </si>
  <si>
    <t>Treviso</t>
  </si>
  <si>
    <t>BRC S.R.L.</t>
  </si>
  <si>
    <t>06640980485</t>
  </si>
  <si>
    <t>CONCERIA ORSA MAGGIORE S.R.L.</t>
  </si>
  <si>
    <t>00115450504</t>
  </si>
  <si>
    <t>CALZATURIFICIO ELGAM SRL</t>
  </si>
  <si>
    <t>01703260446</t>
  </si>
  <si>
    <t>BEST S.R.L.</t>
  </si>
  <si>
    <t>01461300509</t>
  </si>
  <si>
    <t>ROMY PELLETTERIE SRL</t>
  </si>
  <si>
    <t>01819370519</t>
  </si>
  <si>
    <t>Arezzo</t>
  </si>
  <si>
    <t>BIHOS S.R.L.</t>
  </si>
  <si>
    <t>01865630287</t>
  </si>
  <si>
    <t>Padova</t>
  </si>
  <si>
    <t>BETTEGA CONDIZIONATURA PELLI S.R.L.</t>
  </si>
  <si>
    <t>03722920240</t>
  </si>
  <si>
    <t>151100</t>
  </si>
  <si>
    <t>Vicenza</t>
  </si>
  <si>
    <t>Veneto</t>
  </si>
  <si>
    <t>151209</t>
  </si>
  <si>
    <t>Milano</t>
  </si>
  <si>
    <t>Lombardia</t>
  </si>
  <si>
    <t>CALZATURIFICIO CINZIA VALLE S.R.L.</t>
  </si>
  <si>
    <t>01513000446</t>
  </si>
  <si>
    <t>152010</t>
  </si>
  <si>
    <t>Fermo</t>
  </si>
  <si>
    <t>Marche</t>
  </si>
  <si>
    <t>Toscana</t>
  </si>
  <si>
    <t>B.V.M. SHOES S.R.L.</t>
  </si>
  <si>
    <t>01663020434</t>
  </si>
  <si>
    <t>Macerata</t>
  </si>
  <si>
    <t>GABRY S.R.L.</t>
  </si>
  <si>
    <t>01361650524</t>
  </si>
  <si>
    <t>Siena</t>
  </si>
  <si>
    <t>GKS SRL</t>
  </si>
  <si>
    <t>01189130444</t>
  </si>
  <si>
    <t>ITALVEN CONCERIA S.R.L.</t>
  </si>
  <si>
    <t>01786520500</t>
  </si>
  <si>
    <t>Pisa</t>
  </si>
  <si>
    <t>GOLD FREEDOM S.R.L.</t>
  </si>
  <si>
    <t>04803730268</t>
  </si>
  <si>
    <t>Treviso</t>
  </si>
  <si>
    <t>NIPMAR S.R.L.</t>
  </si>
  <si>
    <t>00128830288</t>
  </si>
  <si>
    <t>Padova</t>
  </si>
  <si>
    <t>Campania</t>
  </si>
  <si>
    <t>152000</t>
  </si>
  <si>
    <t>CALZATURIFICIO BROKER S.R.L.</t>
  </si>
  <si>
    <t>01254510298</t>
  </si>
  <si>
    <t>Rovigo</t>
  </si>
  <si>
    <t>CO.TI.NA. S.R.L.</t>
  </si>
  <si>
    <t>01886520640</t>
  </si>
  <si>
    <t>Avellino</t>
  </si>
  <si>
    <t>CALZATURIFICIO CONFORT SHOES - S.R.L.</t>
  </si>
  <si>
    <t>02917290658</t>
  </si>
  <si>
    <t>Salerno</t>
  </si>
  <si>
    <t>FINISSAGGIO COMPAGNONE 2 S.R.L.</t>
  </si>
  <si>
    <t>07851770151</t>
  </si>
  <si>
    <t>152020</t>
  </si>
  <si>
    <t>BEST WALLET &amp; CO S.R.L.</t>
  </si>
  <si>
    <t>12014920156</t>
  </si>
  <si>
    <t>Monza e della Brianza</t>
  </si>
  <si>
    <t>GRAMAR SHOES S.R.L.</t>
  </si>
  <si>
    <t>03113330611</t>
  </si>
  <si>
    <t>Caserta</t>
  </si>
  <si>
    <t>CONCERIA CAPITAL S.R.L.</t>
  </si>
  <si>
    <t>01877140507</t>
  </si>
  <si>
    <t>SERGIO GRASSO INDUSTRIES S.R.L.</t>
  </si>
  <si>
    <t>04861030239</t>
  </si>
  <si>
    <t>152010</t>
  </si>
  <si>
    <t>Verona</t>
  </si>
  <si>
    <t>Veneto</t>
  </si>
  <si>
    <t>151100</t>
  </si>
  <si>
    <t>PE' PE' S.R.L.</t>
  </si>
  <si>
    <t>00283040186</t>
  </si>
  <si>
    <t>Pavia</t>
  </si>
  <si>
    <t>Lombardia</t>
  </si>
  <si>
    <t>151209</t>
  </si>
  <si>
    <t>Firenze</t>
  </si>
  <si>
    <t>Toscana</t>
  </si>
  <si>
    <t>ENEA S.R.L.</t>
  </si>
  <si>
    <t>01318750443</t>
  </si>
  <si>
    <t>152020</t>
  </si>
  <si>
    <t>Fermo</t>
  </si>
  <si>
    <t>Marche</t>
  </si>
  <si>
    <t>CORVARI SHOES S.R.L.</t>
  </si>
  <si>
    <t>01874340449</t>
  </si>
  <si>
    <t>Pisa</t>
  </si>
  <si>
    <t>PELLETTERIE DOVICO S.R.L. - IN SIGLA P.D. S.R.L.</t>
  </si>
  <si>
    <t>06749140486</t>
  </si>
  <si>
    <t>SNEAKNIT SRL</t>
  </si>
  <si>
    <t>02396880441</t>
  </si>
  <si>
    <t>SUOLIFICIO D'ANGELO S.R.L.</t>
  </si>
  <si>
    <t>05970511217</t>
  </si>
  <si>
    <t>Caserta</t>
  </si>
  <si>
    <t>Campania</t>
  </si>
  <si>
    <t>KIMOCO S.R.L.</t>
  </si>
  <si>
    <t>00382610509</t>
  </si>
  <si>
    <t>SOL.E.A SRL</t>
  </si>
  <si>
    <t>01943640449</t>
  </si>
  <si>
    <t>VIGENS SRL</t>
  </si>
  <si>
    <t>02259480065</t>
  </si>
  <si>
    <t>Alessandria</t>
  </si>
  <si>
    <t>Piemonte</t>
  </si>
  <si>
    <t>ARCIER S.R.L.</t>
  </si>
  <si>
    <t>06578960152</t>
  </si>
  <si>
    <t>151200</t>
  </si>
  <si>
    <t>Milano</t>
  </si>
  <si>
    <t>GIMEZ COLLECTION S.R.L.</t>
  </si>
  <si>
    <t>01991730449</t>
  </si>
  <si>
    <t>SKYLINE S.R.L. - SOCIETA' BENEFIT</t>
  </si>
  <si>
    <t>03485100261</t>
  </si>
  <si>
    <t>Treviso</t>
  </si>
  <si>
    <t>DI&amp;DI COMPANY S.R.L.</t>
  </si>
  <si>
    <t>09379801211</t>
  </si>
  <si>
    <t>Napoli</t>
  </si>
  <si>
    <t>F.B.L. S.R.L.</t>
  </si>
  <si>
    <t>01777730241</t>
  </si>
  <si>
    <t>Vicenza</t>
  </si>
  <si>
    <t>CARBIPEL GROUP S.R.L.</t>
  </si>
  <si>
    <t>03407930241</t>
  </si>
  <si>
    <t>ODEON PELLAMI SRL</t>
  </si>
  <si>
    <t>02279080507</t>
  </si>
  <si>
    <t>NEMESI S.R.L.</t>
  </si>
  <si>
    <t>04399080284</t>
  </si>
  <si>
    <t>Venezia</t>
  </si>
  <si>
    <t>GIANNONI GROUP S.R.L.</t>
  </si>
  <si>
    <t>05516150488</t>
  </si>
  <si>
    <t>AGOSTINI SHOES SRL</t>
  </si>
  <si>
    <t>04271340277</t>
  </si>
  <si>
    <t>152010</t>
  </si>
  <si>
    <t>NEW LORIMA S.R.L.</t>
  </si>
  <si>
    <t>01475130504</t>
  </si>
  <si>
    <t>151100</t>
  </si>
  <si>
    <t>Pisa</t>
  </si>
  <si>
    <t>Toscana</t>
  </si>
  <si>
    <t>Teramo</t>
  </si>
  <si>
    <t>Abruzzo</t>
  </si>
  <si>
    <t>CALZATURIFICIO R.G. DI ROSSI &amp; GALIE' S.R.L.</t>
  </si>
  <si>
    <t>01008400440</t>
  </si>
  <si>
    <t>Fermo</t>
  </si>
  <si>
    <t>Marche</t>
  </si>
  <si>
    <t>152020</t>
  </si>
  <si>
    <t>Lombardia</t>
  </si>
  <si>
    <t>BETTI'S SRL</t>
  </si>
  <si>
    <t>01541110431</t>
  </si>
  <si>
    <t>Macerata</t>
  </si>
  <si>
    <t>Vicenza</t>
  </si>
  <si>
    <t>Veneto</t>
  </si>
  <si>
    <t>LO STILE SRL</t>
  </si>
  <si>
    <t>06840390485</t>
  </si>
  <si>
    <t>151209</t>
  </si>
  <si>
    <t>Firenze</t>
  </si>
  <si>
    <t>SOLETTIFICIO FONTANETO S.R.L.</t>
  </si>
  <si>
    <t>02406570032</t>
  </si>
  <si>
    <t>Novara</t>
  </si>
  <si>
    <t>Piemonte</t>
  </si>
  <si>
    <t>ART MODA - S.R.L.</t>
  </si>
  <si>
    <t>04477740486</t>
  </si>
  <si>
    <t>CHIARUGI FIRENZE PELLETTERIA S.R.L.</t>
  </si>
  <si>
    <t>00961350485</t>
  </si>
  <si>
    <t>BERDINI S.R.L.</t>
  </si>
  <si>
    <t>00197350440</t>
  </si>
  <si>
    <t>CONCERIA ZERMEPEL S.R.L.</t>
  </si>
  <si>
    <t>00622880243</t>
  </si>
  <si>
    <t>CALZATURIFICIO LEOPAMY S.R.L.</t>
  </si>
  <si>
    <t>01900200443</t>
  </si>
  <si>
    <t>GIUSEPPE CARETTI S.R.L.</t>
  </si>
  <si>
    <t>01212850125</t>
  </si>
  <si>
    <t>Varese</t>
  </si>
  <si>
    <t>ARCADIA S.R.L.</t>
  </si>
  <si>
    <t>00760080671</t>
  </si>
  <si>
    <t>PELLETTERIE D &amp; D S.R.L.</t>
  </si>
  <si>
    <t>06541790488</t>
  </si>
  <si>
    <t>151209</t>
  </si>
  <si>
    <t>Firenze</t>
  </si>
  <si>
    <t>Toscana</t>
  </si>
  <si>
    <t>SCARPEITALIA S.R.L.</t>
  </si>
  <si>
    <t>08292201210</t>
  </si>
  <si>
    <t>152010</t>
  </si>
  <si>
    <t>Napoli</t>
  </si>
  <si>
    <t>Campania</t>
  </si>
  <si>
    <t>151100</t>
  </si>
  <si>
    <t>Veneto</t>
  </si>
  <si>
    <t>LOIPELL S.R.L.</t>
  </si>
  <si>
    <t>06934130482</t>
  </si>
  <si>
    <t>152000</t>
  </si>
  <si>
    <t>Lombardia</t>
  </si>
  <si>
    <t>Pisa</t>
  </si>
  <si>
    <t>Fermo</t>
  </si>
  <si>
    <t>Marche</t>
  </si>
  <si>
    <t>ILARI SRL</t>
  </si>
  <si>
    <t>02011620446</t>
  </si>
  <si>
    <t>ANATRIELLO TARGET S.R.L.</t>
  </si>
  <si>
    <t>04152541217</t>
  </si>
  <si>
    <t>CRISTIAN COPPONI SRL</t>
  </si>
  <si>
    <t>02304100445</t>
  </si>
  <si>
    <t>Macerata</t>
  </si>
  <si>
    <t>CALZATURIFICIO LADY LAURA S.R.L.</t>
  </si>
  <si>
    <t>03707920280</t>
  </si>
  <si>
    <t>Padova</t>
  </si>
  <si>
    <t>CALZATURIFICIO NUOVA P.R. S.R.L.</t>
  </si>
  <si>
    <t>01972460461</t>
  </si>
  <si>
    <t>Lucca</t>
  </si>
  <si>
    <t>SUOLIFICIO SA.FI. SRL</t>
  </si>
  <si>
    <t>05471430487</t>
  </si>
  <si>
    <t>152020</t>
  </si>
  <si>
    <t>CUOIFICIO OTELLO S.R.L.</t>
  </si>
  <si>
    <t>00346870504</t>
  </si>
  <si>
    <t>STAMPE &amp; STAMPE S.R.L</t>
  </si>
  <si>
    <t>01755160502</t>
  </si>
  <si>
    <t>CALZATURIFICIO STAR - S.P.A.</t>
  </si>
  <si>
    <t>00196350128</t>
  </si>
  <si>
    <t>Varese</t>
  </si>
  <si>
    <t>CREATIVE LEATHER S.R.L.</t>
  </si>
  <si>
    <t>06724810483</t>
  </si>
  <si>
    <t>MARETTO S.R.L.</t>
  </si>
  <si>
    <t>01417410287</t>
  </si>
  <si>
    <t>PLANET BAGS S.R.L.</t>
  </si>
  <si>
    <t>00749080677</t>
  </si>
  <si>
    <t>Teramo</t>
  </si>
  <si>
    <t>Abruzzo</t>
  </si>
  <si>
    <t>BRUGLIA S.R.L.</t>
  </si>
  <si>
    <t>01269600431</t>
  </si>
  <si>
    <t>CALZATURIFICIO F.LLI LOBACCARO S.R.L.</t>
  </si>
  <si>
    <t>06244850720</t>
  </si>
  <si>
    <t>Barletta-Andria-Trani</t>
  </si>
  <si>
    <t>Puglia</t>
  </si>
  <si>
    <t>MC QUADRO SOCIETA' A RESPONSABILITA' LIMITATA</t>
  </si>
  <si>
    <t>02492600644</t>
  </si>
  <si>
    <t>Avellino</t>
  </si>
  <si>
    <t>FALCA S.R.L.</t>
  </si>
  <si>
    <t>02051640205</t>
  </si>
  <si>
    <t>152000</t>
  </si>
  <si>
    <t>Mantova</t>
  </si>
  <si>
    <t>Lombardia</t>
  </si>
  <si>
    <t>151209</t>
  </si>
  <si>
    <t>Emilia-Romagna</t>
  </si>
  <si>
    <t>Toscana</t>
  </si>
  <si>
    <t>152010</t>
  </si>
  <si>
    <t>Napoli</t>
  </si>
  <si>
    <t>Campania</t>
  </si>
  <si>
    <t>MAXWAY SRL</t>
  </si>
  <si>
    <t>02001490438</t>
  </si>
  <si>
    <t>Macerata</t>
  </si>
  <si>
    <t>Marche</t>
  </si>
  <si>
    <t>151100</t>
  </si>
  <si>
    <t>Pisa</t>
  </si>
  <si>
    <t>Firenze</t>
  </si>
  <si>
    <t>CLUXTER SRL SOCIETA' BENEFIT</t>
  </si>
  <si>
    <t>07101590482</t>
  </si>
  <si>
    <t>BELLABARBA SRL</t>
  </si>
  <si>
    <t>01853300448</t>
  </si>
  <si>
    <t>152020</t>
  </si>
  <si>
    <t>Fermo</t>
  </si>
  <si>
    <t>FABIO GUIDI PELLETTERIE - S.R.L.</t>
  </si>
  <si>
    <t>06237640484</t>
  </si>
  <si>
    <t>MARTINA S.R.L.</t>
  </si>
  <si>
    <t>01024770446</t>
  </si>
  <si>
    <t>CALZATURIFICIO FRATELLI GRAVINO SOCIETA' A RESPONSABILITA' LIMITA TA IN SIGLA CALZATURIFICIO F.LLI GRAVINO S.R.L.</t>
  </si>
  <si>
    <t>02691240614</t>
  </si>
  <si>
    <t>Caserta</t>
  </si>
  <si>
    <t>MIMANERA S.R.L.</t>
  </si>
  <si>
    <t>04558070407</t>
  </si>
  <si>
    <t>Rimini</t>
  </si>
  <si>
    <t>AXEL S.R.L.</t>
  </si>
  <si>
    <t>01683010647</t>
  </si>
  <si>
    <t>Avellino</t>
  </si>
  <si>
    <t>NUCCI ACCESSORI SRL</t>
  </si>
  <si>
    <t>03993190408</t>
  </si>
  <si>
    <t>Forlì-Cesena</t>
  </si>
  <si>
    <t>LE PANIER S.R.L.</t>
  </si>
  <si>
    <t>05256200873</t>
  </si>
  <si>
    <t>Catania</t>
  </si>
  <si>
    <t>Sicilia</t>
  </si>
  <si>
    <t>FOX PELLETTERIE S.R.L.</t>
  </si>
  <si>
    <t>04090261217</t>
  </si>
  <si>
    <t>151200</t>
  </si>
  <si>
    <t>Treviso</t>
  </si>
  <si>
    <t>Veneto</t>
  </si>
  <si>
    <t>NEWPORT S.R.L.</t>
  </si>
  <si>
    <t>01504370501</t>
  </si>
  <si>
    <t>BE GREEN TANNERY INNOVAZIONE CONCIARIA ITALIANA S.R.L.</t>
  </si>
  <si>
    <t>08972951217</t>
  </si>
  <si>
    <t>MONTE SPORT - S.R.L.</t>
  </si>
  <si>
    <t>01859400267</t>
  </si>
  <si>
    <t>Puglia</t>
  </si>
  <si>
    <t>151100</t>
  </si>
  <si>
    <t>Pisa</t>
  </si>
  <si>
    <t>Toscana</t>
  </si>
  <si>
    <t>FIPEL S.R.L. - UNICO SOCIO</t>
  </si>
  <si>
    <t>02645630241</t>
  </si>
  <si>
    <t>Vicenza</t>
  </si>
  <si>
    <t>Veneto</t>
  </si>
  <si>
    <t>ASIA SOCIETA' A RESPONSABILITA' LIMITATA</t>
  </si>
  <si>
    <t>14789041002</t>
  </si>
  <si>
    <t>151209</t>
  </si>
  <si>
    <t>Teramo</t>
  </si>
  <si>
    <t>Abruzzo</t>
  </si>
  <si>
    <t>FALERIA S.R.L.</t>
  </si>
  <si>
    <t>01448150449</t>
  </si>
  <si>
    <t>152020</t>
  </si>
  <si>
    <t>Fermo</t>
  </si>
  <si>
    <t>Marche</t>
  </si>
  <si>
    <t>ARGOPEL S.R.L.</t>
  </si>
  <si>
    <t>01563040128</t>
  </si>
  <si>
    <t>151200</t>
  </si>
  <si>
    <t>Varese</t>
  </si>
  <si>
    <t>Lombardia</t>
  </si>
  <si>
    <t>152010</t>
  </si>
  <si>
    <t>Napoli</t>
  </si>
  <si>
    <t>Campania</t>
  </si>
  <si>
    <t>DE.VI.L. SHOES S.R.L.</t>
  </si>
  <si>
    <t>06539630720</t>
  </si>
  <si>
    <t>Barletta-Andria-Trani</t>
  </si>
  <si>
    <t>BRUNO ROSSI BAGS S.R.L.</t>
  </si>
  <si>
    <t>05350900485</t>
  </si>
  <si>
    <t>Firenze</t>
  </si>
  <si>
    <t>TRE-EMME SRL</t>
  </si>
  <si>
    <t>03455080121</t>
  </si>
  <si>
    <t>Milano</t>
  </si>
  <si>
    <t>STUCCATURA PELLI DORINA SRL</t>
  </si>
  <si>
    <t>03861840241</t>
  </si>
  <si>
    <t>SPERNANZONI S.R.L.</t>
  </si>
  <si>
    <t>01581820436</t>
  </si>
  <si>
    <t>Macerata</t>
  </si>
  <si>
    <t>GREEN POINT S.R.L.</t>
  </si>
  <si>
    <t>02589170246</t>
  </si>
  <si>
    <t>BIMAC S.R.L.</t>
  </si>
  <si>
    <t>01553870039</t>
  </si>
  <si>
    <t>Novara</t>
  </si>
  <si>
    <t>Piemonte</t>
  </si>
  <si>
    <t>NEMEA S.R.L</t>
  </si>
  <si>
    <t>04323040263</t>
  </si>
  <si>
    <t>Treviso</t>
  </si>
  <si>
    <t>PRATESI 1948 S.R.L.</t>
  </si>
  <si>
    <t>02281310488</t>
  </si>
  <si>
    <t>FILIPPI S.R.L.</t>
  </si>
  <si>
    <t>03553180286</t>
  </si>
  <si>
    <t>Padova</t>
  </si>
  <si>
    <t>NONSOLOSTUDIO S.R.L.</t>
  </si>
  <si>
    <t>05443111215</t>
  </si>
  <si>
    <t>DEJAVU' FACTORY S.R.L.</t>
  </si>
  <si>
    <t>07634711217</t>
  </si>
  <si>
    <t>FASHION S.R.L.</t>
  </si>
  <si>
    <t>01971960503</t>
  </si>
  <si>
    <t>152010</t>
  </si>
  <si>
    <t>Lombardia</t>
  </si>
  <si>
    <t>151209</t>
  </si>
  <si>
    <t>Macerata</t>
  </si>
  <si>
    <t>Marche</t>
  </si>
  <si>
    <t>ALES PELLETTERIE S.R.L.</t>
  </si>
  <si>
    <t>01157750439</t>
  </si>
  <si>
    <t>151200</t>
  </si>
  <si>
    <t>LA FIBBIA S.R.L.</t>
  </si>
  <si>
    <t>02272440500</t>
  </si>
  <si>
    <t>Pisa</t>
  </si>
  <si>
    <t>Toscana</t>
  </si>
  <si>
    <t>RIFINCUOIO GROUP SOCIETA' A RESPONSABILITA' LIMITATA (IN SIGLA RI FINCUOIO GROUP S.R.L.)</t>
  </si>
  <si>
    <t>01878250503</t>
  </si>
  <si>
    <t>151100</t>
  </si>
  <si>
    <t>VELA SPORT ITALIA S.R.L.</t>
  </si>
  <si>
    <t>03463420616</t>
  </si>
  <si>
    <t>Caserta</t>
  </si>
  <si>
    <t>Campania</t>
  </si>
  <si>
    <t>STIL SUOLA SRL</t>
  </si>
  <si>
    <t>01289640508</t>
  </si>
  <si>
    <t>152020</t>
  </si>
  <si>
    <t>ANTONIO ARNESANO FURS &amp; LEATHER S.R.L.</t>
  </si>
  <si>
    <t>04417650753</t>
  </si>
  <si>
    <t>Lecce</t>
  </si>
  <si>
    <t>Puglia</t>
  </si>
  <si>
    <t>Fermo</t>
  </si>
  <si>
    <t>FLORENS LTD SRL</t>
  </si>
  <si>
    <t>02420180446</t>
  </si>
  <si>
    <t>MARTIRE S.R.L.</t>
  </si>
  <si>
    <t>06116901213</t>
  </si>
  <si>
    <t>Firenze</t>
  </si>
  <si>
    <t>FAVARO MANIFATTURA CALZATURIERA S.R.L.</t>
  </si>
  <si>
    <t>03420530275</t>
  </si>
  <si>
    <t>Milano</t>
  </si>
  <si>
    <t>Napoli</t>
  </si>
  <si>
    <t>A. TESTONI S.P.A.</t>
  </si>
  <si>
    <t>00300560372</t>
  </si>
  <si>
    <t>Bologna</t>
  </si>
  <si>
    <t>Emilia-Romagna</t>
  </si>
  <si>
    <t>RAMONES S.R.L.</t>
  </si>
  <si>
    <t>04279590402</t>
  </si>
  <si>
    <t>Forlì-Cesena</t>
  </si>
  <si>
    <t>GOLD S.R.L.S. - SOCIETA' A RESPONSABILITA' LIMITATA SEMPLIFICATA</t>
  </si>
  <si>
    <t>08581471219</t>
  </si>
  <si>
    <t>SORELLE FIORENTINE S.R.L.</t>
  </si>
  <si>
    <t>06495940485</t>
  </si>
  <si>
    <t>SOLETTIFICIO ROMAS DEI F.LLI STOPPO M.R. S.R.L.</t>
  </si>
  <si>
    <t>01494040445</t>
  </si>
  <si>
    <t>OXMOX ITALY S.R.L.</t>
  </si>
  <si>
    <t>06095600638</t>
  </si>
  <si>
    <t>FACIT S.R.L.</t>
  </si>
  <si>
    <t>01687361202</t>
  </si>
  <si>
    <t>THAI'S S.R.L.</t>
  </si>
  <si>
    <t>01914330442</t>
  </si>
  <si>
    <t>FASHION GROUP SOCIETA' A RESPONSABILITA' LIMITATA IN FORMA ABBREVIATA FASHION GROUP S.R.L.</t>
  </si>
  <si>
    <t>06511151216</t>
  </si>
  <si>
    <t>FGR S.R.L.</t>
  </si>
  <si>
    <t>06283101217</t>
  </si>
  <si>
    <t>152010</t>
  </si>
  <si>
    <t>Napoli</t>
  </si>
  <si>
    <t>Campania</t>
  </si>
  <si>
    <t>CALZATURIFICIO MARINO FABIANI S.R.L.</t>
  </si>
  <si>
    <t>00436380448</t>
  </si>
  <si>
    <t>Fermo</t>
  </si>
  <si>
    <t>Marche</t>
  </si>
  <si>
    <t>EMME ELLE S.R.L.</t>
  </si>
  <si>
    <t>02170480517</t>
  </si>
  <si>
    <t>151209</t>
  </si>
  <si>
    <t>Arezzo</t>
  </si>
  <si>
    <t>Toscana</t>
  </si>
  <si>
    <t>151100</t>
  </si>
  <si>
    <t>Firenze</t>
  </si>
  <si>
    <t>Pisa</t>
  </si>
  <si>
    <t>MANIFATTURE TOSCANA S.R.L.</t>
  </si>
  <si>
    <t>01735340505</t>
  </si>
  <si>
    <t>Veneto</t>
  </si>
  <si>
    <t>S - TEAM S. R. L.</t>
  </si>
  <si>
    <t>04792750269</t>
  </si>
  <si>
    <t>Treviso</t>
  </si>
  <si>
    <t>ARCOBALENO S.R.L.</t>
  </si>
  <si>
    <t>00461870503</t>
  </si>
  <si>
    <t>NOVA GEA S.R.L.</t>
  </si>
  <si>
    <t>01745870434</t>
  </si>
  <si>
    <t>152020</t>
  </si>
  <si>
    <t>Macerata</t>
  </si>
  <si>
    <t>EMMETRE S.R.L.</t>
  </si>
  <si>
    <t>02176570501</t>
  </si>
  <si>
    <t>OFFICINE MODELLI S.R.L.</t>
  </si>
  <si>
    <t>01480930443</t>
  </si>
  <si>
    <t>FLAMINIA PUBBLICITA' S.R.L.</t>
  </si>
  <si>
    <t>02366860415</t>
  </si>
  <si>
    <t>Pesaro Urbino</t>
  </si>
  <si>
    <t>ITALCONCIA 1973 SRL</t>
  </si>
  <si>
    <t>00138820501</t>
  </si>
  <si>
    <t>KELTON S.R.L.</t>
  </si>
  <si>
    <t>01380420446</t>
  </si>
  <si>
    <t>ITALRETTILI S.R.L.</t>
  </si>
  <si>
    <t>01824410508</t>
  </si>
  <si>
    <t>CALZATURIFICIO LASSI S.R.L.</t>
  </si>
  <si>
    <t>01820260477</t>
  </si>
  <si>
    <t>Pistoia</t>
  </si>
  <si>
    <t>TRESSE' SRL</t>
  </si>
  <si>
    <t>03302340249</t>
  </si>
  <si>
    <t>Vicenza</t>
  </si>
  <si>
    <t>PELLETTERIA LUISANNA S.R.L.</t>
  </si>
  <si>
    <t>06132350486</t>
  </si>
  <si>
    <t>TOMAIFICIO LEONARDO S.R.L.</t>
  </si>
  <si>
    <t>06343170483</t>
  </si>
  <si>
    <t>SOLETTIFICIO STYLFLEX S.R.L.</t>
  </si>
  <si>
    <t>01706540471</t>
  </si>
  <si>
    <t>152010</t>
  </si>
  <si>
    <t>Toscana</t>
  </si>
  <si>
    <t>STEP SRL</t>
  </si>
  <si>
    <t>10767370967</t>
  </si>
  <si>
    <t>152020</t>
  </si>
  <si>
    <t>Milano</t>
  </si>
  <si>
    <t>Lombardia</t>
  </si>
  <si>
    <t>151100</t>
  </si>
  <si>
    <t>Pisa</t>
  </si>
  <si>
    <t>Fermo</t>
  </si>
  <si>
    <t>Marche</t>
  </si>
  <si>
    <t>151209</t>
  </si>
  <si>
    <t>Napoli</t>
  </si>
  <si>
    <t>Campania</t>
  </si>
  <si>
    <t>CALZATURIFICIO VICTOR S.R.L.</t>
  </si>
  <si>
    <t>01686940469</t>
  </si>
  <si>
    <t>Lucca</t>
  </si>
  <si>
    <t>FASHION CLOUD S.R.L.</t>
  </si>
  <si>
    <t>07127010960</t>
  </si>
  <si>
    <t>Teramo</t>
  </si>
  <si>
    <t>Abruzzo</t>
  </si>
  <si>
    <t>152000</t>
  </si>
  <si>
    <t>SUOLIFICIO MONTERISI S.R.L.</t>
  </si>
  <si>
    <t>07281600721</t>
  </si>
  <si>
    <t>Barletta-Andria-Trani</t>
  </si>
  <si>
    <t>Puglia</t>
  </si>
  <si>
    <t>CERRI - S.R.L.</t>
  </si>
  <si>
    <t>00974590507</t>
  </si>
  <si>
    <t>Vicenza</t>
  </si>
  <si>
    <t>Veneto</t>
  </si>
  <si>
    <t>GIDAL S.R.L.</t>
  </si>
  <si>
    <t>04176750240</t>
  </si>
  <si>
    <t>CALZATURIFICIO LUIS SOCIETA' COOPERATIVA P.A. IN SIGLA LUIS</t>
  </si>
  <si>
    <t>01118330420</t>
  </si>
  <si>
    <t>Ancona</t>
  </si>
  <si>
    <t>EVEET S.R.L.</t>
  </si>
  <si>
    <t>03444500759</t>
  </si>
  <si>
    <t>Lecce</t>
  </si>
  <si>
    <t>RICCI S.R.L.</t>
  </si>
  <si>
    <t>01619620444</t>
  </si>
  <si>
    <t>CALZATURIFICIO SPRING -S.R.L.</t>
  </si>
  <si>
    <t>00759680440</t>
  </si>
  <si>
    <t>CRISTIAN DANIEL S.R.L.</t>
  </si>
  <si>
    <t>06773120636</t>
  </si>
  <si>
    <t>LAINO ANGELO BELTS SOCIETA' A RESPONSABILITA' LIMITATA</t>
  </si>
  <si>
    <t>07739341217</t>
  </si>
  <si>
    <t>TM SERVICE S.R.L.</t>
  </si>
  <si>
    <t>02290840426</t>
  </si>
  <si>
    <t>MDA S.R.L.</t>
  </si>
  <si>
    <t>04028420240</t>
  </si>
  <si>
    <t>151100</t>
  </si>
  <si>
    <t>Pisa</t>
  </si>
  <si>
    <t>Toscana</t>
  </si>
  <si>
    <t>Campania</t>
  </si>
  <si>
    <t>IMPRES S.R.L.</t>
  </si>
  <si>
    <t>01550790503</t>
  </si>
  <si>
    <t>LINEA COMODA S.R.L.</t>
  </si>
  <si>
    <t>03003551219</t>
  </si>
  <si>
    <t>152000</t>
  </si>
  <si>
    <t>Napoli</t>
  </si>
  <si>
    <t>152010</t>
  </si>
  <si>
    <t>151209</t>
  </si>
  <si>
    <t>Firenze</t>
  </si>
  <si>
    <t>COOPERATIVA SOCIALE IL SORRISO - SOC. COOP. A R.L. IN BREVE COOPERATIVA SOCIALE IL SORRISO</t>
  </si>
  <si>
    <t>00611131202</t>
  </si>
  <si>
    <t>Bologna</t>
  </si>
  <si>
    <t>Emilia-Romagna</t>
  </si>
  <si>
    <t>Fermo</t>
  </si>
  <si>
    <t>Marche</t>
  </si>
  <si>
    <t>152020</t>
  </si>
  <si>
    <t>TEKNO SYSTEM SG SRL</t>
  </si>
  <si>
    <t>02539930186</t>
  </si>
  <si>
    <t>Pavia</t>
  </si>
  <si>
    <t>Lombardia</t>
  </si>
  <si>
    <t>GREEN GEORGE S.R.L.</t>
  </si>
  <si>
    <t>02170130443</t>
  </si>
  <si>
    <t>CALZATURIFICIO BRASILEN SOCIETA' A RESPONSABILITA' LIMITATA, IN S IGLA CALZATURIFICIO BRASILEN S.R.L.</t>
  </si>
  <si>
    <t>00639860980</t>
  </si>
  <si>
    <t>Brescia</t>
  </si>
  <si>
    <t>DEL DUCA S.R.L.</t>
  </si>
  <si>
    <t>07424240633</t>
  </si>
  <si>
    <t>SAPAF - S.R.L.</t>
  </si>
  <si>
    <t>00408470482</t>
  </si>
  <si>
    <t>PAMAR S.R.L.</t>
  </si>
  <si>
    <t>01707620504</t>
  </si>
  <si>
    <t>DUE EMME SRL</t>
  </si>
  <si>
    <t>01182230431</t>
  </si>
  <si>
    <t>Macerata</t>
  </si>
  <si>
    <t>NIAGARA &amp; CO. SRL</t>
  </si>
  <si>
    <t>04374730168</t>
  </si>
  <si>
    <t>COBRA PELLETTERIE S.R.L.</t>
  </si>
  <si>
    <t>04530530486</t>
  </si>
  <si>
    <t>151209</t>
  </si>
  <si>
    <t>Firenze</t>
  </si>
  <si>
    <t>Toscana</t>
  </si>
  <si>
    <t>151100</t>
  </si>
  <si>
    <t>Vicenza</t>
  </si>
  <si>
    <t>Veneto</t>
  </si>
  <si>
    <t>152010</t>
  </si>
  <si>
    <t>152020</t>
  </si>
  <si>
    <t>Fermo</t>
  </si>
  <si>
    <t>Marche</t>
  </si>
  <si>
    <t>Macerata</t>
  </si>
  <si>
    <t>PLUSPELL SRL</t>
  </si>
  <si>
    <t>03755090242</t>
  </si>
  <si>
    <t>SUOLIFICIO GBC SRL</t>
  </si>
  <si>
    <t>01476640436</t>
  </si>
  <si>
    <t>Padova</t>
  </si>
  <si>
    <t>HOLLY SHOES SRLS</t>
  </si>
  <si>
    <t>02285980443</t>
  </si>
  <si>
    <t>CALZATURIFICIO LUNELLA SRL</t>
  </si>
  <si>
    <t>01815550445</t>
  </si>
  <si>
    <t>CALZATURIFICIO NORTON S.R.L.</t>
  </si>
  <si>
    <t>00262240302</t>
  </si>
  <si>
    <t>Udine</t>
  </si>
  <si>
    <t>Friuli-Venezia Giulia</t>
  </si>
  <si>
    <t>Pisa</t>
  </si>
  <si>
    <t>151200</t>
  </si>
  <si>
    <t>CALZATURIFICIO MEN'S SHOES SRL</t>
  </si>
  <si>
    <t>01575130438</t>
  </si>
  <si>
    <t>FUTURA - S.R.L.</t>
  </si>
  <si>
    <t>00992270504</t>
  </si>
  <si>
    <t>TRANCERIA LA TORRE S.R.L.</t>
  </si>
  <si>
    <t>01465070512</t>
  </si>
  <si>
    <t>Arezzo</t>
  </si>
  <si>
    <t>RICCI ENRICO S.R.L.</t>
  </si>
  <si>
    <t>04268180405</t>
  </si>
  <si>
    <t>Forlì-Cesena</t>
  </si>
  <si>
    <t>Emilia-Romagna</t>
  </si>
  <si>
    <t>LETA SOCIETA' A RESPONSABILITA' LIMITATA IN SIGLA LETA S.R.L.</t>
  </si>
  <si>
    <t>01715730287</t>
  </si>
  <si>
    <t>GAB S.R.L.</t>
  </si>
  <si>
    <t>01649260443</t>
  </si>
  <si>
    <t>CALZATURIFICIO DEL CARLO S.R.L.</t>
  </si>
  <si>
    <t>01633190465</t>
  </si>
  <si>
    <t>Lucca</t>
  </si>
  <si>
    <t>SOLETTIFICIO TRIS SRL</t>
  </si>
  <si>
    <t>00427220447</t>
  </si>
  <si>
    <t>PIERO TUCCI SRL</t>
  </si>
  <si>
    <t>03670890486</t>
  </si>
  <si>
    <t>152020</t>
  </si>
  <si>
    <t>Marche</t>
  </si>
  <si>
    <t>PELLETTERIA LA MELINA S.R.L.</t>
  </si>
  <si>
    <t>05969200483</t>
  </si>
  <si>
    <t>151209</t>
  </si>
  <si>
    <t>Firenze</t>
  </si>
  <si>
    <t>Toscana</t>
  </si>
  <si>
    <t>LUPI GROUP S.R.L.</t>
  </si>
  <si>
    <t>01994830436</t>
  </si>
  <si>
    <t>Macerata</t>
  </si>
  <si>
    <t>EDER SHOES S.R.L.</t>
  </si>
  <si>
    <t>05747450723</t>
  </si>
  <si>
    <t>152010</t>
  </si>
  <si>
    <t>Bari</t>
  </si>
  <si>
    <t>Puglia</t>
  </si>
  <si>
    <t>151100</t>
  </si>
  <si>
    <t>Veneto</t>
  </si>
  <si>
    <t>IO PELLE S.R.L. UNIPERSONALE</t>
  </si>
  <si>
    <t>06789961213</t>
  </si>
  <si>
    <t>Napoli</t>
  </si>
  <si>
    <t>Campania</t>
  </si>
  <si>
    <t>Pisa</t>
  </si>
  <si>
    <t>NEW STEP S.R.L.</t>
  </si>
  <si>
    <t>01628630434</t>
  </si>
  <si>
    <t>GUARDOLIFICIO LUCCHESE SOCIETA' A RESPONSABILITA' LIMITATA OPPURE: GUARDOLIFICIO LUCCHESE S.R.L.</t>
  </si>
  <si>
    <t>01248730465</t>
  </si>
  <si>
    <t>Lucca</t>
  </si>
  <si>
    <t>Verona</t>
  </si>
  <si>
    <t>TACCHIFICIO GIORGIO S.R.L.</t>
  </si>
  <si>
    <t>01432480505</t>
  </si>
  <si>
    <t>VUEFFE SRL</t>
  </si>
  <si>
    <t>01212470445</t>
  </si>
  <si>
    <t>Ascoli Piceno</t>
  </si>
  <si>
    <t>MARTINICA BELTS S.R.L.</t>
  </si>
  <si>
    <t>03777900238</t>
  </si>
  <si>
    <t>TACCHIFICIO PALMA S.R.L.</t>
  </si>
  <si>
    <t>01250441217</t>
  </si>
  <si>
    <t>152000</t>
  </si>
  <si>
    <t>REPTILE'S HOUSE S.R.L.</t>
  </si>
  <si>
    <t>07382480155</t>
  </si>
  <si>
    <t>Milano</t>
  </si>
  <si>
    <t>Lombardia</t>
  </si>
  <si>
    <t>RUSAM - S.R.L.</t>
  </si>
  <si>
    <t>00689730505</t>
  </si>
  <si>
    <t>BACCARO GROUP S.R.L.</t>
  </si>
  <si>
    <t>01481300299</t>
  </si>
  <si>
    <t>Rovigo</t>
  </si>
  <si>
    <t>VIRGILIO CONCERIA ARTIGIANA S.R.L.</t>
  </si>
  <si>
    <t>00218960508</t>
  </si>
  <si>
    <t>8 PROJECT SOCIETA' A RESPONSABILITA' LIMITATA SEMPLIFICATA</t>
  </si>
  <si>
    <t>09075421215</t>
  </si>
  <si>
    <t>FADEL S.R.L.</t>
  </si>
  <si>
    <t>01896310461</t>
  </si>
  <si>
    <t>152020</t>
  </si>
  <si>
    <t>Puglia</t>
  </si>
  <si>
    <t>151100</t>
  </si>
  <si>
    <t>Pisa</t>
  </si>
  <si>
    <t>Toscana</t>
  </si>
  <si>
    <t>ANDREA D'AMICO S.R.L.</t>
  </si>
  <si>
    <t>01817491200</t>
  </si>
  <si>
    <t>151209</t>
  </si>
  <si>
    <t>Bologna</t>
  </si>
  <si>
    <t>Emilia-Romagna</t>
  </si>
  <si>
    <t>OFFICINA DELLA BORSA S.R.L.</t>
  </si>
  <si>
    <t>04003900273</t>
  </si>
  <si>
    <t>Padova</t>
  </si>
  <si>
    <t>Veneto</t>
  </si>
  <si>
    <t>SUOLIFICIO DE CAROLIS S.R.L.</t>
  </si>
  <si>
    <t>01758080442</t>
  </si>
  <si>
    <t>Fermo</t>
  </si>
  <si>
    <t>Marche</t>
  </si>
  <si>
    <t>Vicenza</t>
  </si>
  <si>
    <t>Campania</t>
  </si>
  <si>
    <t>Avellino</t>
  </si>
  <si>
    <t>BOTTEGA QUADRA SRL</t>
  </si>
  <si>
    <t>03783430246</t>
  </si>
  <si>
    <t>152010</t>
  </si>
  <si>
    <t>TONILAB 25 S.R.L.</t>
  </si>
  <si>
    <t>01005800501</t>
  </si>
  <si>
    <t>RI.PELL. S.R.L.</t>
  </si>
  <si>
    <t>01776190645</t>
  </si>
  <si>
    <t>REVOLUTION SHOES S.R.L.</t>
  </si>
  <si>
    <t>06731660723</t>
  </si>
  <si>
    <t>Barletta-Andria-Trani</t>
  </si>
  <si>
    <t>VP VERA PELLAMI SRL</t>
  </si>
  <si>
    <t>03421980248</t>
  </si>
  <si>
    <t>LOTTINI - S.R.L.</t>
  </si>
  <si>
    <t>01250680467</t>
  </si>
  <si>
    <t>Lucca</t>
  </si>
  <si>
    <t>MALAICA SRL</t>
  </si>
  <si>
    <t>04592730263</t>
  </si>
  <si>
    <t>Treviso</t>
  </si>
  <si>
    <t>CALZATURIFICIO LIVERPOOL S.R.L.</t>
  </si>
  <si>
    <t>01583770290</t>
  </si>
  <si>
    <t>Rovigo</t>
  </si>
  <si>
    <t>LANCIO S.R.L.</t>
  </si>
  <si>
    <t>02197420447</t>
  </si>
  <si>
    <t>152010</t>
  </si>
  <si>
    <t>Fermo</t>
  </si>
  <si>
    <t>Marche</t>
  </si>
  <si>
    <t>151100</t>
  </si>
  <si>
    <t>Vicenza</t>
  </si>
  <si>
    <t>Veneto</t>
  </si>
  <si>
    <t>152020</t>
  </si>
  <si>
    <t>Macerata</t>
  </si>
  <si>
    <t>KJR S.R.L.</t>
  </si>
  <si>
    <t>03633270610</t>
  </si>
  <si>
    <t>Caserta</t>
  </si>
  <si>
    <t>Campania</t>
  </si>
  <si>
    <t>VALDARNOPLAST S.R.L.</t>
  </si>
  <si>
    <t>01214710509</t>
  </si>
  <si>
    <t>Pisa</t>
  </si>
  <si>
    <t>Toscana</t>
  </si>
  <si>
    <t>151209</t>
  </si>
  <si>
    <t>Siena</t>
  </si>
  <si>
    <t>SOCEN S.R.L.</t>
  </si>
  <si>
    <t>02119130447</t>
  </si>
  <si>
    <t>ARTIGIANI PELLETTIERI SRL</t>
  </si>
  <si>
    <t>01443600521</t>
  </si>
  <si>
    <t>SUOLIFICIO CA.PRI SRL</t>
  </si>
  <si>
    <t>01138130446</t>
  </si>
  <si>
    <t>BLUE RIBE SRL</t>
  </si>
  <si>
    <t>02673670283</t>
  </si>
  <si>
    <t>Padova</t>
  </si>
  <si>
    <t>Abruzzo</t>
  </si>
  <si>
    <t>BORGOMARINO S.R.L.</t>
  </si>
  <si>
    <t>02064090687</t>
  </si>
  <si>
    <t>Pescara</t>
  </si>
  <si>
    <t>PRINCIPE S.R.L.</t>
  </si>
  <si>
    <t>01233220506</t>
  </si>
  <si>
    <t>S.G.L. SERVICE S.R.L.</t>
  </si>
  <si>
    <t>03784970240</t>
  </si>
  <si>
    <t>CALZATURIFICIO MARINI PAOLO S.R.L.</t>
  </si>
  <si>
    <t>01746390432</t>
  </si>
  <si>
    <t>NUOVA ARUX SOCIETA' A RESPONSABILITA' LIMITATA</t>
  </si>
  <si>
    <t>00960160471</t>
  </si>
  <si>
    <t>Pistoia</t>
  </si>
  <si>
    <t>CERBAI S.R.L.</t>
  </si>
  <si>
    <t>02160090508</t>
  </si>
  <si>
    <t>SUOLIFICIO A.G. S.R.L.</t>
  </si>
  <si>
    <t>01429350430</t>
  </si>
  <si>
    <t>BEST GROUP ACCESSORI S.R.L. - SOCIETA' UNIPERSONALE</t>
  </si>
  <si>
    <t>02253590976</t>
  </si>
  <si>
    <t>Prato</t>
  </si>
  <si>
    <t>CASTELLARI DIFFUSION S.R.L.</t>
  </si>
  <si>
    <t>02541440125</t>
  </si>
  <si>
    <t>151200</t>
  </si>
  <si>
    <t>Varese</t>
  </si>
  <si>
    <t>Lombardia</t>
  </si>
  <si>
    <t>PASQUINI S.R.L.</t>
  </si>
  <si>
    <t>01430200467</t>
  </si>
  <si>
    <t>152010</t>
  </si>
  <si>
    <t>Lucca</t>
  </si>
  <si>
    <t>Toscana</t>
  </si>
  <si>
    <t>151100</t>
  </si>
  <si>
    <t>152020</t>
  </si>
  <si>
    <t>MARTINA LEATHERS S.R.L.</t>
  </si>
  <si>
    <t>03898070242</t>
  </si>
  <si>
    <t>Vicenza</t>
  </si>
  <si>
    <t>Veneto</t>
  </si>
  <si>
    <t>PELLETTERIE FOTI - S.R.L. SOCIETA' A SOCIO UNICO</t>
  </si>
  <si>
    <t>06587480481</t>
  </si>
  <si>
    <t>151209</t>
  </si>
  <si>
    <t>Firenze</t>
  </si>
  <si>
    <t>DUECCI SRL</t>
  </si>
  <si>
    <t>02435210444</t>
  </si>
  <si>
    <t>Ascoli Piceno</t>
  </si>
  <si>
    <t>Marche</t>
  </si>
  <si>
    <t>CIELLEDUE S.R.L.</t>
  </si>
  <si>
    <t>03571800618</t>
  </si>
  <si>
    <t>Caserta</t>
  </si>
  <si>
    <t>Campania</t>
  </si>
  <si>
    <t>STILSUOLE S.R.L.</t>
  </si>
  <si>
    <t>03800710273</t>
  </si>
  <si>
    <t>Venezia</t>
  </si>
  <si>
    <t>Fermo</t>
  </si>
  <si>
    <t>ANGELINI S.R.L.</t>
  </si>
  <si>
    <t>03719200408</t>
  </si>
  <si>
    <t>Forlì-Cesena</t>
  </si>
  <si>
    <t>Emilia-Romagna</t>
  </si>
  <si>
    <t>NUOVA CARPI SRL</t>
  </si>
  <si>
    <t>01398850188</t>
  </si>
  <si>
    <t>Pavia</t>
  </si>
  <si>
    <t>TACCHIFICIO NUOVA VAL DI CHIENTI SOCIETA' A RESPONSABILITA' LIMITATA (IN SIGLA TACCHIFICIO NUOVA VAL DI CHIENTI S.R.L.)</t>
  </si>
  <si>
    <t>01524460431</t>
  </si>
  <si>
    <t>Macerata</t>
  </si>
  <si>
    <t>Napoli</t>
  </si>
  <si>
    <t>CALZATURIFICIO SOCLANI S.R.L.</t>
  </si>
  <si>
    <t>06751221216</t>
  </si>
  <si>
    <t>ITALIAN FLAG S.R.L.</t>
  </si>
  <si>
    <t>04648660266</t>
  </si>
  <si>
    <t>Padova</t>
  </si>
  <si>
    <t>M.E. S.R.L.</t>
  </si>
  <si>
    <t>06557640486</t>
  </si>
  <si>
    <t>PENELOPE SRL</t>
  </si>
  <si>
    <t>02114010446</t>
  </si>
  <si>
    <t>PISTONESI SRL</t>
  </si>
  <si>
    <t>02295560441</t>
  </si>
  <si>
    <t>BALLARINI S.R.L.</t>
  </si>
  <si>
    <t>02551420413</t>
  </si>
  <si>
    <t>Pesaro Urbino</t>
  </si>
  <si>
    <t>ANNIEL S.R.L.</t>
  </si>
  <si>
    <t>04561020266</t>
  </si>
  <si>
    <t>Treviso</t>
  </si>
  <si>
    <t>ALP SRL</t>
  </si>
  <si>
    <t>01997230444</t>
  </si>
  <si>
    <t>152010</t>
  </si>
  <si>
    <t>Fermo</t>
  </si>
  <si>
    <t>Marche</t>
  </si>
  <si>
    <t>RUBEK S.R.L.</t>
  </si>
  <si>
    <t>01789210430</t>
  </si>
  <si>
    <t>152020</t>
  </si>
  <si>
    <t>Macerata</t>
  </si>
  <si>
    <t>151100</t>
  </si>
  <si>
    <t>Vicenza</t>
  </si>
  <si>
    <t>Veneto</t>
  </si>
  <si>
    <t>CALZATURIFICIO PREMIERE S.R.L.</t>
  </si>
  <si>
    <t>03977540750</t>
  </si>
  <si>
    <t>Lecce</t>
  </si>
  <si>
    <t>Puglia</t>
  </si>
  <si>
    <t>L'AUTRE CHOSE S.R.L. - SOCIETA' IN LIQUIDAZIONE</t>
  </si>
  <si>
    <t>01412510446</t>
  </si>
  <si>
    <t>151209</t>
  </si>
  <si>
    <t>Firenze</t>
  </si>
  <si>
    <t>Toscana</t>
  </si>
  <si>
    <t>CONCERIA GIADA S.P.A</t>
  </si>
  <si>
    <t>00529820243</t>
  </si>
  <si>
    <t>MELISSA S.R.L.</t>
  </si>
  <si>
    <t>01940180506</t>
  </si>
  <si>
    <t>Pisa</t>
  </si>
  <si>
    <t>MENERVA S.R.L.</t>
  </si>
  <si>
    <t>01477700528</t>
  </si>
  <si>
    <t>Siena</t>
  </si>
  <si>
    <t>NUOVA IMMAGINE S.R.L.</t>
  </si>
  <si>
    <t>02723930182</t>
  </si>
  <si>
    <t>Pavia</t>
  </si>
  <si>
    <t>Lombardia</t>
  </si>
  <si>
    <t>MONTEVERDI S.R.L.</t>
  </si>
  <si>
    <t>03836850481</t>
  </si>
  <si>
    <t>FESSURA ITALIA S.R.L.</t>
  </si>
  <si>
    <t>02178780447</t>
  </si>
  <si>
    <t>RAF VALIGERIA S.R.L.</t>
  </si>
  <si>
    <t>01627460460</t>
  </si>
  <si>
    <t>151209</t>
  </si>
  <si>
    <t>Lucca</t>
  </si>
  <si>
    <t>Toscana</t>
  </si>
  <si>
    <t>CONCERIA MARIO STEFANELLI &amp; FIGLI S.R.L.</t>
  </si>
  <si>
    <t>00652590506</t>
  </si>
  <si>
    <t>151100</t>
  </si>
  <si>
    <t>Pisa</t>
  </si>
  <si>
    <t>Avellino</t>
  </si>
  <si>
    <t>Campania</t>
  </si>
  <si>
    <t>LE SOFT S.R.L.</t>
  </si>
  <si>
    <t>04598300723</t>
  </si>
  <si>
    <t>152000</t>
  </si>
  <si>
    <t>Barletta-Andria-Trani</t>
  </si>
  <si>
    <t>Puglia</t>
  </si>
  <si>
    <t>152020</t>
  </si>
  <si>
    <t>Macerata</t>
  </si>
  <si>
    <t>Marche</t>
  </si>
  <si>
    <t>Vicenza</t>
  </si>
  <si>
    <t>Veneto</t>
  </si>
  <si>
    <t>CALZATURIFICIO DORIA MARIO SRL</t>
  </si>
  <si>
    <t>00140560434</t>
  </si>
  <si>
    <t>152010</t>
  </si>
  <si>
    <t>GASTALDI AUTOMOTIVE S.R.L.</t>
  </si>
  <si>
    <t>03247800042</t>
  </si>
  <si>
    <t>Cuneo</t>
  </si>
  <si>
    <t>Piemonte</t>
  </si>
  <si>
    <t>Firenze</t>
  </si>
  <si>
    <t>TOMAIFICIO SL S.R.L.</t>
  </si>
  <si>
    <t>02286680448</t>
  </si>
  <si>
    <t>Fermo</t>
  </si>
  <si>
    <t>NEXT BAG S.R.L.S.</t>
  </si>
  <si>
    <t>06532150486</t>
  </si>
  <si>
    <t>PELLETTERIE ABL - SOCIETA' A RESPONSABILITA' LIMITATA</t>
  </si>
  <si>
    <t>02421330271</t>
  </si>
  <si>
    <t>Venezia</t>
  </si>
  <si>
    <t>GIRONACCI PELLETTERIE SOCIETA' A RESPONSABILITA' LIMITATA IN BREVE GIRONACCI PELLETTERIE S.R.L.</t>
  </si>
  <si>
    <t>01805200449</t>
  </si>
  <si>
    <t>GAMMA 3 S.R.L.</t>
  </si>
  <si>
    <t>01813520978</t>
  </si>
  <si>
    <t>151200</t>
  </si>
  <si>
    <t>Prato</t>
  </si>
  <si>
    <t>ARMETTA NICOLETTA SRL</t>
  </si>
  <si>
    <t>04024080246</t>
  </si>
  <si>
    <t>MOON FLOWER S.R.L.</t>
  </si>
  <si>
    <t>05379740631</t>
  </si>
  <si>
    <t>Napoli</t>
  </si>
  <si>
    <t>MG ETRUSCO S.R.L.</t>
  </si>
  <si>
    <t>05871970488</t>
  </si>
  <si>
    <t>LASER FASHION S.R.L.</t>
  </si>
  <si>
    <t>02398080644</t>
  </si>
  <si>
    <t>PELLETTERIA PORTONE S.R.L.</t>
  </si>
  <si>
    <t>01801650126</t>
  </si>
  <si>
    <t>Varese</t>
  </si>
  <si>
    <t>Lombardia</t>
  </si>
  <si>
    <t>STUDIO DESIGN - S.R.L.</t>
  </si>
  <si>
    <t>01836970481</t>
  </si>
  <si>
    <t>DUCANERO S.R.L.</t>
  </si>
  <si>
    <t>01765770431</t>
  </si>
  <si>
    <t>MAXIMA SRL</t>
  </si>
  <si>
    <t>10563310159</t>
  </si>
  <si>
    <t>151209</t>
  </si>
  <si>
    <t>Milano</t>
  </si>
  <si>
    <t>Lombardia</t>
  </si>
  <si>
    <t>BRANDINA S.R.L.</t>
  </si>
  <si>
    <t>04107010409</t>
  </si>
  <si>
    <t>Rimini</t>
  </si>
  <si>
    <t>Emilia-Romagna</t>
  </si>
  <si>
    <t>DULIO ACCESSORI DI DULIO ALBERTO E C. S.R.L.</t>
  </si>
  <si>
    <t>00274450188</t>
  </si>
  <si>
    <t>152020</t>
  </si>
  <si>
    <t>Pavia</t>
  </si>
  <si>
    <t>VALPEL DI LAMBERTO &amp; UGO MOROZZI S.R.L.</t>
  </si>
  <si>
    <t>00839530474</t>
  </si>
  <si>
    <t>151100</t>
  </si>
  <si>
    <t>Pistoia</t>
  </si>
  <si>
    <t>Toscana</t>
  </si>
  <si>
    <t>IL PUMA S.R.L.</t>
  </si>
  <si>
    <t>01760230506</t>
  </si>
  <si>
    <t>Pisa</t>
  </si>
  <si>
    <t>AERRE GROUP S.R.L.</t>
  </si>
  <si>
    <t>09144001212</t>
  </si>
  <si>
    <t>152010</t>
  </si>
  <si>
    <t>Napoli</t>
  </si>
  <si>
    <t>Campania</t>
  </si>
  <si>
    <t>Marche</t>
  </si>
  <si>
    <t>Vicenza</t>
  </si>
  <si>
    <t>Veneto</t>
  </si>
  <si>
    <t>NUOVA VEREGRA SOCIETA' A RESPONSABILITA 'LIMITATA</t>
  </si>
  <si>
    <t>01510970443</t>
  </si>
  <si>
    <t>Fermo</t>
  </si>
  <si>
    <t>VALERIO GIUNTOLI CORPORATION SRL</t>
  </si>
  <si>
    <t>01798100473</t>
  </si>
  <si>
    <t>MAX DI PARMA S.R.L.</t>
  </si>
  <si>
    <t>01934190347</t>
  </si>
  <si>
    <t>Parma</t>
  </si>
  <si>
    <t>CALZATURIFICIO ALDO'S S.R.L.</t>
  </si>
  <si>
    <t>01068130473</t>
  </si>
  <si>
    <t>151200</t>
  </si>
  <si>
    <t>MAURI SHOES S.R.L.</t>
  </si>
  <si>
    <t>05094780961</t>
  </si>
  <si>
    <t>Monza e della Brianza</t>
  </si>
  <si>
    <t>STAR PLAST SRL</t>
  </si>
  <si>
    <t>02000890448</t>
  </si>
  <si>
    <t>MARIGROUP &amp; CO. S.R.L.</t>
  </si>
  <si>
    <t>01900940501</t>
  </si>
  <si>
    <t>TOMAIFICIO LIDIS SOCIETA' A RESPONSABILITA' LIMITATA</t>
  </si>
  <si>
    <t>01702440478</t>
  </si>
  <si>
    <t>CONCERIA DANIELA S.R.L.</t>
  </si>
  <si>
    <t>03948180249</t>
  </si>
  <si>
    <t>CARBOTTI S.R.L.</t>
  </si>
  <si>
    <t>01076090735</t>
  </si>
  <si>
    <t>Taranto</t>
  </si>
  <si>
    <t>Puglia</t>
  </si>
  <si>
    <t>TERRIDA S.R.L.</t>
  </si>
  <si>
    <t>02058000270</t>
  </si>
  <si>
    <t>Venezia</t>
  </si>
  <si>
    <t>BENI' S.R.L.</t>
  </si>
  <si>
    <t>00407510445</t>
  </si>
  <si>
    <t>PRODITAL ITALIA S.R.L.</t>
  </si>
  <si>
    <t>02559350240</t>
  </si>
  <si>
    <t>L'ARIANNA S.R.L.</t>
  </si>
  <si>
    <t>04357491218</t>
  </si>
  <si>
    <t>151100</t>
  </si>
  <si>
    <t>Avellino</t>
  </si>
  <si>
    <t>Campania</t>
  </si>
  <si>
    <t>MARANT SOCIETA' A RESPONSABILITA' LIMITATA IN ABBREVIAZIONE MARANT S.R.L.</t>
  </si>
  <si>
    <t>02557240641</t>
  </si>
  <si>
    <t>151209</t>
  </si>
  <si>
    <t>Napoli</t>
  </si>
  <si>
    <t>FIMAR SRL</t>
  </si>
  <si>
    <t>08978001215</t>
  </si>
  <si>
    <t>152020</t>
  </si>
  <si>
    <t>RENZONI ILASIO SOCIETA' A RESPONSABILITA' LIMITATA ENUNCIABILE ANCHE RENZONI ILASIO S.R.L.</t>
  </si>
  <si>
    <t>01887240446</t>
  </si>
  <si>
    <t>152010</t>
  </si>
  <si>
    <t>Fermo</t>
  </si>
  <si>
    <t>Marche</t>
  </si>
  <si>
    <t>EXA SRL</t>
  </si>
  <si>
    <t>01729410447</t>
  </si>
  <si>
    <t>ROBERTO MORELLI S.R.L.</t>
  </si>
  <si>
    <t>02076040449</t>
  </si>
  <si>
    <t>Veneto</t>
  </si>
  <si>
    <t>POMME MANIFATTURE S.R.L.</t>
  </si>
  <si>
    <t>00547760678</t>
  </si>
  <si>
    <t>Teramo</t>
  </si>
  <si>
    <t>Abruzzo</t>
  </si>
  <si>
    <t>CONCERIA BERTOLDI AL GIORIO S.R.L.</t>
  </si>
  <si>
    <t>00142130244</t>
  </si>
  <si>
    <t>Vicenza</t>
  </si>
  <si>
    <t>G &amp; G CONFEZIONI SRL</t>
  </si>
  <si>
    <t>06771480966</t>
  </si>
  <si>
    <t>Milano</t>
  </si>
  <si>
    <t>Lombardia</t>
  </si>
  <si>
    <t>IN LINE S.R.L.</t>
  </si>
  <si>
    <t>01586920447</t>
  </si>
  <si>
    <t>Toscana</t>
  </si>
  <si>
    <t>ALPACA S.R.L.</t>
  </si>
  <si>
    <t>02304610500</t>
  </si>
  <si>
    <t>Pisa</t>
  </si>
  <si>
    <t>C.L. CALZATURIFICIO SOCIETA' COOPERATIVA</t>
  </si>
  <si>
    <t>04203940616</t>
  </si>
  <si>
    <t>Caserta</t>
  </si>
  <si>
    <t>SABOR SHOES S.R.L.</t>
  </si>
  <si>
    <t>02482460462</t>
  </si>
  <si>
    <t>Lucca</t>
  </si>
  <si>
    <t>SUOLIFICIO GALLETTI S.R.L.</t>
  </si>
  <si>
    <t>02292460447</t>
  </si>
  <si>
    <t>LABOR SRL</t>
  </si>
  <si>
    <t>00485820500</t>
  </si>
  <si>
    <t>MAF SRL</t>
  </si>
  <si>
    <t>01746110442</t>
  </si>
  <si>
    <t>ALDO CASTAGNA S.R.L.</t>
  </si>
  <si>
    <t>04004421212</t>
  </si>
  <si>
    <t>152000</t>
  </si>
  <si>
    <t>CONSULT LINE S.R.L.</t>
  </si>
  <si>
    <t>01728280262</t>
  </si>
  <si>
    <t>Treviso</t>
  </si>
  <si>
    <t>151100</t>
  </si>
  <si>
    <t>Veneto</t>
  </si>
  <si>
    <t>152010</t>
  </si>
  <si>
    <t>Caserta</t>
  </si>
  <si>
    <t>Campania</t>
  </si>
  <si>
    <t>LE PEPE' SRL UNIPERSONALE</t>
  </si>
  <si>
    <t>03520550272</t>
  </si>
  <si>
    <t>152000</t>
  </si>
  <si>
    <t>Venezia</t>
  </si>
  <si>
    <t>CALZATURIFICIO ROMANO MARTEGANI S.R.L.</t>
  </si>
  <si>
    <t>00196340129</t>
  </si>
  <si>
    <t>Monza e della Brianza</t>
  </si>
  <si>
    <t>Lombardia</t>
  </si>
  <si>
    <t>152020</t>
  </si>
  <si>
    <t>Napoli</t>
  </si>
  <si>
    <t>START SRL</t>
  </si>
  <si>
    <t>02236470502</t>
  </si>
  <si>
    <t>Pisa</t>
  </si>
  <si>
    <t>Toscana</t>
  </si>
  <si>
    <t>FASHION MARKET S.R.L.</t>
  </si>
  <si>
    <t>01836380434</t>
  </si>
  <si>
    <t>Macerata</t>
  </si>
  <si>
    <t>Marche</t>
  </si>
  <si>
    <t>Fermo</t>
  </si>
  <si>
    <t>CO.PE.CA. S.R.L.</t>
  </si>
  <si>
    <t>06145421217</t>
  </si>
  <si>
    <t>S.L.K. VERDECCHIA S.R.L.</t>
  </si>
  <si>
    <t>01083860435</t>
  </si>
  <si>
    <t>ITALSUOLE SRL</t>
  </si>
  <si>
    <t>07140530630</t>
  </si>
  <si>
    <t>PREZIOSO GROUP S.R.L.</t>
  </si>
  <si>
    <t>08138791218</t>
  </si>
  <si>
    <t>ELLE S.R.L.</t>
  </si>
  <si>
    <t>03943150163</t>
  </si>
  <si>
    <t>Bergamo</t>
  </si>
  <si>
    <t>PALMADORO SRL</t>
  </si>
  <si>
    <t>03071830123</t>
  </si>
  <si>
    <t>Varese</t>
  </si>
  <si>
    <t>FRADA S.R.L.</t>
  </si>
  <si>
    <t>03216840268</t>
  </si>
  <si>
    <t>Treviso</t>
  </si>
  <si>
    <t>GUARDOLIFICIO DIOMEDI S.R.L.</t>
  </si>
  <si>
    <t>02106310440</t>
  </si>
  <si>
    <t>EUROPEAN COMFORT S.R.L.</t>
  </si>
  <si>
    <t>03887590234</t>
  </si>
  <si>
    <t>Verona</t>
  </si>
  <si>
    <t>PELLETTERIA Z3 SRL</t>
  </si>
  <si>
    <t>13177730150</t>
  </si>
  <si>
    <t>151200</t>
  </si>
  <si>
    <t>Milano</t>
  </si>
  <si>
    <t>CALZATURIFICIO RI.ST. S.R.L. UNIPERSONALE</t>
  </si>
  <si>
    <t>01841220443</t>
  </si>
  <si>
    <t>PRES S.R.L.</t>
  </si>
  <si>
    <t>01478870445</t>
  </si>
  <si>
    <t>151100</t>
  </si>
  <si>
    <t>Fermo</t>
  </si>
  <si>
    <t>Marche</t>
  </si>
  <si>
    <t>151209</t>
  </si>
  <si>
    <t>Toscana</t>
  </si>
  <si>
    <t>Macerata</t>
  </si>
  <si>
    <t>SUOLIFICIO G.L. S.R.L.</t>
  </si>
  <si>
    <t>01604350445</t>
  </si>
  <si>
    <t>152020</t>
  </si>
  <si>
    <t>Pisa</t>
  </si>
  <si>
    <t>LGN ITALIA S.R.L.</t>
  </si>
  <si>
    <t>02345300442</t>
  </si>
  <si>
    <t>152010</t>
  </si>
  <si>
    <t>BASIC S.R.L.</t>
  </si>
  <si>
    <t>03929100612</t>
  </si>
  <si>
    <t>Caserta</t>
  </si>
  <si>
    <t>Campania</t>
  </si>
  <si>
    <t>CONCERIA ITALPELLI S.R.L.</t>
  </si>
  <si>
    <t>02772810640</t>
  </si>
  <si>
    <t>Avellino</t>
  </si>
  <si>
    <t>CALZATURIFICIO OSCAR SPORT S.R.L</t>
  </si>
  <si>
    <t>04316980269</t>
  </si>
  <si>
    <t>Treviso</t>
  </si>
  <si>
    <t>Veneto</t>
  </si>
  <si>
    <t>C3 GROUP SRL</t>
  </si>
  <si>
    <t>01138140445</t>
  </si>
  <si>
    <t>ASCOT S.P.A.</t>
  </si>
  <si>
    <t>00707110508</t>
  </si>
  <si>
    <t>ALEVI' SRL</t>
  </si>
  <si>
    <t>04351360401</t>
  </si>
  <si>
    <t>Forlì-Cesena</t>
  </si>
  <si>
    <t>Emilia-Romagna</t>
  </si>
  <si>
    <t>SEVEN PELLETTERIA S.R.L.</t>
  </si>
  <si>
    <t>08114251211</t>
  </si>
  <si>
    <t>Napoli</t>
  </si>
  <si>
    <t>BOTTEGA DEL CUOIO S.R.L.</t>
  </si>
  <si>
    <t>08232611213</t>
  </si>
  <si>
    <t>NOVES S.R.L.</t>
  </si>
  <si>
    <t>00430910505</t>
  </si>
  <si>
    <t>SPACCATRICE PIAVE S.R.L.</t>
  </si>
  <si>
    <t>00709520506</t>
  </si>
  <si>
    <t>SANDROROSSI SRL</t>
  </si>
  <si>
    <t>01447670439</t>
  </si>
  <si>
    <t>CALZATURIFICIO RINASCITA S.R.L.</t>
  </si>
  <si>
    <t>00191220698</t>
  </si>
  <si>
    <t>152010</t>
  </si>
  <si>
    <t>Chieti</t>
  </si>
  <si>
    <t>Abruzzo</t>
  </si>
  <si>
    <t>ER.CAN S.R.L.</t>
  </si>
  <si>
    <t>00881570436</t>
  </si>
  <si>
    <t>152020</t>
  </si>
  <si>
    <t>Macerata</t>
  </si>
  <si>
    <t>Marche</t>
  </si>
  <si>
    <t>MAURO GOVERNA S.R.L.</t>
  </si>
  <si>
    <t>01501520348</t>
  </si>
  <si>
    <t>151200</t>
  </si>
  <si>
    <t>Parma</t>
  </si>
  <si>
    <t>Emilia-Romagna</t>
  </si>
  <si>
    <t>ETRUSCA PELLI S.R.L.</t>
  </si>
  <si>
    <t>02185230501</t>
  </si>
  <si>
    <t>151100</t>
  </si>
  <si>
    <t>Firenze</t>
  </si>
  <si>
    <t>Toscana</t>
  </si>
  <si>
    <t>Napoli</t>
  </si>
  <si>
    <t>Campania</t>
  </si>
  <si>
    <t>Veneto</t>
  </si>
  <si>
    <t>Fermo</t>
  </si>
  <si>
    <t>152000</t>
  </si>
  <si>
    <t>LUZZI S.R.L.</t>
  </si>
  <si>
    <t>01178040513</t>
  </si>
  <si>
    <t>Arezzo</t>
  </si>
  <si>
    <t>151209</t>
  </si>
  <si>
    <t>Pisa</t>
  </si>
  <si>
    <t>BELLA SHOES SRL</t>
  </si>
  <si>
    <t>02219330442</t>
  </si>
  <si>
    <t>TACCHIFICIO CRISTINA S.R.L.</t>
  </si>
  <si>
    <t>03922220284</t>
  </si>
  <si>
    <t>Padova</t>
  </si>
  <si>
    <t>PELLETTIERI DI PARMA S.R.L.</t>
  </si>
  <si>
    <t>03227800988</t>
  </si>
  <si>
    <t>Bergamo</t>
  </si>
  <si>
    <t>Lombardia</t>
  </si>
  <si>
    <t>ENZO BONAFE' S.R.L.</t>
  </si>
  <si>
    <t>02503291201</t>
  </si>
  <si>
    <t>Bologna</t>
  </si>
  <si>
    <t>CALZATURIFICIO CIASCHI S.R.L.</t>
  </si>
  <si>
    <t>04503290480</t>
  </si>
  <si>
    <t>MANCINI ANGELO S.R.L.</t>
  </si>
  <si>
    <t>01994410502</t>
  </si>
  <si>
    <t>CALZATURIFICIO ARTIGIANI ITALIANI S.R.L.</t>
  </si>
  <si>
    <t>08062511210</t>
  </si>
  <si>
    <t>SOLETTIFICIO TERRY S.R.L.</t>
  </si>
  <si>
    <t>00405470444</t>
  </si>
  <si>
    <t>CALZATURIFICIO MUSELLA S.R.L.</t>
  </si>
  <si>
    <t>05965951212</t>
  </si>
  <si>
    <t>TASSI VANIS SRL</t>
  </si>
  <si>
    <t>03894230360</t>
  </si>
  <si>
    <t>Modena</t>
  </si>
  <si>
    <t>NEW ITALIA SHOES S.R.L.</t>
  </si>
  <si>
    <t>02503100261</t>
  </si>
  <si>
    <t>Treviso</t>
  </si>
  <si>
    <t>FERRADINI BRUNO S.R.L.</t>
  </si>
  <si>
    <t>00827460502</t>
  </si>
  <si>
    <t>CONCERIA GHEPARDO S.R.L.</t>
  </si>
  <si>
    <t>00870480506</t>
  </si>
  <si>
    <t>151100</t>
  </si>
  <si>
    <t>Campania</t>
  </si>
  <si>
    <t>151209</t>
  </si>
  <si>
    <t>Napoli</t>
  </si>
  <si>
    <t>152020</t>
  </si>
  <si>
    <t>Marche</t>
  </si>
  <si>
    <t>Vicenza</t>
  </si>
  <si>
    <t>Veneto</t>
  </si>
  <si>
    <t>152010</t>
  </si>
  <si>
    <t>CERBIATTO S.R.L.</t>
  </si>
  <si>
    <t>01125510501</t>
  </si>
  <si>
    <t>Pisa</t>
  </si>
  <si>
    <t>Toscana</t>
  </si>
  <si>
    <t>Lazio</t>
  </si>
  <si>
    <t>ZENIT SRL</t>
  </si>
  <si>
    <t>02341130447</t>
  </si>
  <si>
    <t>Fermo</t>
  </si>
  <si>
    <t>STEBOR SRL</t>
  </si>
  <si>
    <t>02428210245</t>
  </si>
  <si>
    <t>Padova</t>
  </si>
  <si>
    <t>CALZATURIFICIO EMANUELA S.R.L.</t>
  </si>
  <si>
    <t>00473250413</t>
  </si>
  <si>
    <t>Pesaro Urbino</t>
  </si>
  <si>
    <t>JAMAICA 2020 S.R.L.</t>
  </si>
  <si>
    <t>11083260965</t>
  </si>
  <si>
    <t>Milano</t>
  </si>
  <si>
    <t>Lombardia</t>
  </si>
  <si>
    <t>RACING TACK S.R.L.</t>
  </si>
  <si>
    <t>04967380157</t>
  </si>
  <si>
    <t>151200</t>
  </si>
  <si>
    <t>Varese</t>
  </si>
  <si>
    <t>DIAMFONDI SRL</t>
  </si>
  <si>
    <t>00378590442</t>
  </si>
  <si>
    <t>PELER ITALIA S.R.L.</t>
  </si>
  <si>
    <t>03593000361</t>
  </si>
  <si>
    <t>CALZATURIFICIO LAUDINO CACCIN S.R.L.</t>
  </si>
  <si>
    <t>02273660288</t>
  </si>
  <si>
    <t>152000</t>
  </si>
  <si>
    <t>START UP GROUP S.R.L.</t>
  </si>
  <si>
    <t>08321751219</t>
  </si>
  <si>
    <t>Roma</t>
  </si>
  <si>
    <t>P&amp;P S.R.L.</t>
  </si>
  <si>
    <t>09415611210</t>
  </si>
  <si>
    <t>152010</t>
  </si>
  <si>
    <t>Veneto</t>
  </si>
  <si>
    <t>151209</t>
  </si>
  <si>
    <t>GHIZZANPELLI FRIGO S.R.L.</t>
  </si>
  <si>
    <t>00708270509</t>
  </si>
  <si>
    <t>151100</t>
  </si>
  <si>
    <t>Pisa</t>
  </si>
  <si>
    <t>Toscana</t>
  </si>
  <si>
    <t>CAF S.R.L.</t>
  </si>
  <si>
    <t>00180840449</t>
  </si>
  <si>
    <t>Fermo</t>
  </si>
  <si>
    <t>Marche</t>
  </si>
  <si>
    <t>LE SELLE ITALIANE SRL</t>
  </si>
  <si>
    <t>03055770980</t>
  </si>
  <si>
    <t>151201</t>
  </si>
  <si>
    <t>Brescia</t>
  </si>
  <si>
    <t>Lombardia</t>
  </si>
  <si>
    <t>CONCERIA ACCADEMIA S.R.L.</t>
  </si>
  <si>
    <t>02301930505</t>
  </si>
  <si>
    <t>Napoli</t>
  </si>
  <si>
    <t>Campania</t>
  </si>
  <si>
    <t>152020</t>
  </si>
  <si>
    <t>Vicenza</t>
  </si>
  <si>
    <t>V E R S.R.L.</t>
  </si>
  <si>
    <t>07696201214</t>
  </si>
  <si>
    <t>Macerata</t>
  </si>
  <si>
    <t>CRISTINA MILLOTTI S.R.L.</t>
  </si>
  <si>
    <t>01418160519</t>
  </si>
  <si>
    <t>Arezzo</t>
  </si>
  <si>
    <t>CALZATURIFICIO MONTELLIANA S.R.L</t>
  </si>
  <si>
    <t>04472000266</t>
  </si>
  <si>
    <t>Treviso</t>
  </si>
  <si>
    <t>DUEGI PELLETTERIE SRL</t>
  </si>
  <si>
    <t>03255300240</t>
  </si>
  <si>
    <t>CLARA S.R.L.</t>
  </si>
  <si>
    <t>01291010435</t>
  </si>
  <si>
    <t>VALENTINA BAGS S.R.L.</t>
  </si>
  <si>
    <t>04639840968</t>
  </si>
  <si>
    <t>151200</t>
  </si>
  <si>
    <t>Milano</t>
  </si>
  <si>
    <t>TREGIPELL S.R.L. - SOCIETA' UNIPERSONALE</t>
  </si>
  <si>
    <t>02789620248</t>
  </si>
  <si>
    <t>TRE ESSE S.R.L.</t>
  </si>
  <si>
    <t>01636860437</t>
  </si>
  <si>
    <t>SARA BURGLAR S.R.L.</t>
  </si>
  <si>
    <t>01882070434</t>
  </si>
  <si>
    <t>CONCERIA TURBIGHESE S.R.L.</t>
  </si>
  <si>
    <t>00693580151</t>
  </si>
  <si>
    <t>LORENA PAGGI S.R.L.</t>
  </si>
  <si>
    <t>01633100449</t>
  </si>
  <si>
    <t>TEOX S.R.L.</t>
  </si>
  <si>
    <t>01709280448</t>
  </si>
  <si>
    <t>152020</t>
  </si>
  <si>
    <t>Fermo</t>
  </si>
  <si>
    <t>Marche</t>
  </si>
  <si>
    <t>STELLA MARIS S.R.L.</t>
  </si>
  <si>
    <t>01187860885</t>
  </si>
  <si>
    <t>151209</t>
  </si>
  <si>
    <t>Ragusa</t>
  </si>
  <si>
    <t>Sicilia</t>
  </si>
  <si>
    <t>Pisa</t>
  </si>
  <si>
    <t>Toscana</t>
  </si>
  <si>
    <t>CO.BRI. S.R.L.</t>
  </si>
  <si>
    <t>03993110489</t>
  </si>
  <si>
    <t>151200</t>
  </si>
  <si>
    <t>Firenze</t>
  </si>
  <si>
    <t>152010</t>
  </si>
  <si>
    <t>IM ITALIANA MANIFATTURE SRL</t>
  </si>
  <si>
    <t>02438370443</t>
  </si>
  <si>
    <t>BUTI SRL</t>
  </si>
  <si>
    <t>01723370506</t>
  </si>
  <si>
    <t>TOMAIFICIO TARGA S.R.L.</t>
  </si>
  <si>
    <t>01451670291</t>
  </si>
  <si>
    <t>Rovigo</t>
  </si>
  <si>
    <t>Veneto</t>
  </si>
  <si>
    <t>GIORI S.R.L.</t>
  </si>
  <si>
    <t>02367500440</t>
  </si>
  <si>
    <t>CALZATURIFICIO AMORUSO S.R.L.</t>
  </si>
  <si>
    <t>07893750724</t>
  </si>
  <si>
    <t>Barletta-Andria-Trani</t>
  </si>
  <si>
    <t>Puglia</t>
  </si>
  <si>
    <t>TOP LINE SRL FASHION FACTORY</t>
  </si>
  <si>
    <t>01885340438</t>
  </si>
  <si>
    <t>Macerata</t>
  </si>
  <si>
    <t>TORO S.R.L.</t>
  </si>
  <si>
    <t>05215670489</t>
  </si>
  <si>
    <t>Prato</t>
  </si>
  <si>
    <t>Napoli</t>
  </si>
  <si>
    <t>Campania</t>
  </si>
  <si>
    <t>PASSI D'ESTATE SOCIETA' A RESPONSABILITA' LIMITATA</t>
  </si>
  <si>
    <t>08107551213</t>
  </si>
  <si>
    <t>CALZATURIFICIO MICHELA S.R.L.</t>
  </si>
  <si>
    <t>02398670469</t>
  </si>
  <si>
    <t>Lucca</t>
  </si>
  <si>
    <t>CALZATURIFICIO R.E.F.A.C. S.R.L.</t>
  </si>
  <si>
    <t>01246890436</t>
  </si>
  <si>
    <t>DETTAGLI S.R.L.</t>
  </si>
  <si>
    <t>01339370445</t>
  </si>
  <si>
    <t>DAVID S.R.L.</t>
  </si>
  <si>
    <t>03774110161</t>
  </si>
  <si>
    <t>Bari</t>
  </si>
  <si>
    <t>SENATORE S.R.L.</t>
  </si>
  <si>
    <t>05516520656</t>
  </si>
  <si>
    <t>Salerno</t>
  </si>
  <si>
    <t>Vicenza</t>
  </si>
  <si>
    <t>Veneto</t>
  </si>
  <si>
    <t>152010</t>
  </si>
  <si>
    <t>Napoli</t>
  </si>
  <si>
    <t>Campania</t>
  </si>
  <si>
    <t>WESTERNBULL S.R.L.</t>
  </si>
  <si>
    <t>02210240509</t>
  </si>
  <si>
    <t>151209</t>
  </si>
  <si>
    <t>Pisa</t>
  </si>
  <si>
    <t>Toscana</t>
  </si>
  <si>
    <t>BELTRAMI EMORE S.R.L.</t>
  </si>
  <si>
    <t>01645510361</t>
  </si>
  <si>
    <t>151200</t>
  </si>
  <si>
    <t>Modena</t>
  </si>
  <si>
    <t>Emilia-Romagna</t>
  </si>
  <si>
    <t>MALIZIOSA S.R.L. - SOCIETA' A RESPONSABILITA' LIMITATA</t>
  </si>
  <si>
    <t>01159570447</t>
  </si>
  <si>
    <t>Fermo</t>
  </si>
  <si>
    <t>Marche</t>
  </si>
  <si>
    <t>CORIUM SRL</t>
  </si>
  <si>
    <t>06292990485</t>
  </si>
  <si>
    <t>Firenze</t>
  </si>
  <si>
    <t>ETRURIA TACCHI S.R.L.</t>
  </si>
  <si>
    <t>01992040517</t>
  </si>
  <si>
    <t>152020</t>
  </si>
  <si>
    <t>Arezzo</t>
  </si>
  <si>
    <t>EBE GROUP S.R.L.</t>
  </si>
  <si>
    <t>03553760616</t>
  </si>
  <si>
    <t>Caserta</t>
  </si>
  <si>
    <t>SINTESS S.R.L.</t>
  </si>
  <si>
    <t>03023620242</t>
  </si>
  <si>
    <t>CALZATURIFICIO PEGASO S.R.L.</t>
  </si>
  <si>
    <t>01810200509</t>
  </si>
  <si>
    <t>ARPEC ITALIA SRL</t>
  </si>
  <si>
    <t>01983390442</t>
  </si>
  <si>
    <t>Ascoli Piceno</t>
  </si>
  <si>
    <t>SCARPEDARTE SRL</t>
  </si>
  <si>
    <t>02149890507</t>
  </si>
  <si>
    <t>LIA DIVA SRL</t>
  </si>
  <si>
    <t>09734681217</t>
  </si>
  <si>
    <t>SLIM ITALIA GROUP S.R.L.</t>
  </si>
  <si>
    <t>02080140854</t>
  </si>
  <si>
    <t>Caltanissetta</t>
  </si>
  <si>
    <t>Sicilia</t>
  </si>
  <si>
    <t>COMPLESSO SAN LORENZO MAGGIORE S.R.L.</t>
  </si>
  <si>
    <t>04721761213</t>
  </si>
  <si>
    <t>LA SCARPA &amp; CO. S.R.L.</t>
  </si>
  <si>
    <t>04347260400</t>
  </si>
  <si>
    <t>Rimini</t>
  </si>
  <si>
    <t>PIEROPAN &amp; BAUCE S.R.L.</t>
  </si>
  <si>
    <t>02989140245</t>
  </si>
  <si>
    <t>151100</t>
  </si>
  <si>
    <t>Vicenza</t>
  </si>
  <si>
    <t>Veneto</t>
  </si>
  <si>
    <t>152020</t>
  </si>
  <si>
    <t>Napoli</t>
  </si>
  <si>
    <t>Campania</t>
  </si>
  <si>
    <t>152010</t>
  </si>
  <si>
    <t>P.A.T. S.R.L.</t>
  </si>
  <si>
    <t>03569220282</t>
  </si>
  <si>
    <t>Padova</t>
  </si>
  <si>
    <t>BONETTO CINTURINI S.R.L.</t>
  </si>
  <si>
    <t>03278300243</t>
  </si>
  <si>
    <t>151200</t>
  </si>
  <si>
    <t>MELAPELL S.R.L.</t>
  </si>
  <si>
    <t>02396830248</t>
  </si>
  <si>
    <t>Fermo</t>
  </si>
  <si>
    <t>Marche</t>
  </si>
  <si>
    <t>VITTORIA S.R.L.</t>
  </si>
  <si>
    <t>02018280020</t>
  </si>
  <si>
    <t>Biella</t>
  </si>
  <si>
    <t>Piemonte</t>
  </si>
  <si>
    <t>FENICE S.R.L.</t>
  </si>
  <si>
    <t>06490631212</t>
  </si>
  <si>
    <t>CARIM S.R.L.</t>
  </si>
  <si>
    <t>01194270441</t>
  </si>
  <si>
    <t>DUE EFFE S.R.L.</t>
  </si>
  <si>
    <t>02349100137</t>
  </si>
  <si>
    <t>152000</t>
  </si>
  <si>
    <t>Como</t>
  </si>
  <si>
    <t>Lombardia</t>
  </si>
  <si>
    <t>NUOVA FLEX S.R.L.</t>
  </si>
  <si>
    <t>01555460508</t>
  </si>
  <si>
    <t>151100</t>
  </si>
  <si>
    <t>Pisa</t>
  </si>
  <si>
    <t>Toscana</t>
  </si>
  <si>
    <t>Z STUDIO S.R.L.</t>
  </si>
  <si>
    <t>02541890410</t>
  </si>
  <si>
    <t>151209</t>
  </si>
  <si>
    <t>Pesaro Urbino</t>
  </si>
  <si>
    <t>Marche</t>
  </si>
  <si>
    <t>152010</t>
  </si>
  <si>
    <t>Caserta</t>
  </si>
  <si>
    <t>Campania</t>
  </si>
  <si>
    <t>RECORD S.R.L.</t>
  </si>
  <si>
    <t>01555740446</t>
  </si>
  <si>
    <t>151200</t>
  </si>
  <si>
    <t>Ascoli Piceno</t>
  </si>
  <si>
    <t>STEFY LINE S.R.L.</t>
  </si>
  <si>
    <t>01337250433</t>
  </si>
  <si>
    <t>Macerata</t>
  </si>
  <si>
    <t>F.LLI FERRARA S.R.L.</t>
  </si>
  <si>
    <t>01152160436</t>
  </si>
  <si>
    <t>152020</t>
  </si>
  <si>
    <t>MARTON CALZATURE S.R.L.</t>
  </si>
  <si>
    <t>03939460618</t>
  </si>
  <si>
    <t>PONTREMOLESI S.R.L.</t>
  </si>
  <si>
    <t>01850880483</t>
  </si>
  <si>
    <t>Firenze</t>
  </si>
  <si>
    <t>Napoli</t>
  </si>
  <si>
    <t>CONCERIA PRIMA S.R.L.</t>
  </si>
  <si>
    <t>00333000503</t>
  </si>
  <si>
    <t>S.R.L. LEU LOCATI</t>
  </si>
  <si>
    <t>03664510157</t>
  </si>
  <si>
    <t>Milano</t>
  </si>
  <si>
    <t>PAVI GROUP S.R.L.</t>
  </si>
  <si>
    <t>01960130696</t>
  </si>
  <si>
    <t>Chieti</t>
  </si>
  <si>
    <t>Abruzzo</t>
  </si>
  <si>
    <t>P. &amp; C. ITALIA SOCIETA' A RESPONSABILITA' LIMITATA IN SIGLA P. &amp; C. ITALIA S.R.L.</t>
  </si>
  <si>
    <t>05964891211</t>
  </si>
  <si>
    <t>LAKE S.R.L.</t>
  </si>
  <si>
    <t>03555930985</t>
  </si>
  <si>
    <t>Brescia</t>
  </si>
  <si>
    <t>F.LLI BERNARDINI S.R.L.</t>
  </si>
  <si>
    <t>00435100441</t>
  </si>
  <si>
    <t>Fermo</t>
  </si>
  <si>
    <t>J P M - S.R.L. CON UNICO SOCIO</t>
  </si>
  <si>
    <t>02367810468</t>
  </si>
  <si>
    <t>151209</t>
  </si>
  <si>
    <t>Lucca</t>
  </si>
  <si>
    <t>Toscana</t>
  </si>
  <si>
    <t>152010</t>
  </si>
  <si>
    <t>Veneto</t>
  </si>
  <si>
    <t>CALZATURIFICIO FAUZIAN JEUNESSE - S.R.L</t>
  </si>
  <si>
    <t>01447720440</t>
  </si>
  <si>
    <t>Fermo</t>
  </si>
  <si>
    <t>Marche</t>
  </si>
  <si>
    <t>RISERVA SRL</t>
  </si>
  <si>
    <t>01126540267</t>
  </si>
  <si>
    <t>Treviso</t>
  </si>
  <si>
    <t>VARESE RETTILI PELLETTERIA S.R.L.</t>
  </si>
  <si>
    <t>02660230125</t>
  </si>
  <si>
    <t>151200</t>
  </si>
  <si>
    <t>Varese</t>
  </si>
  <si>
    <t>Lombardia</t>
  </si>
  <si>
    <t>Campania</t>
  </si>
  <si>
    <t>Pisa</t>
  </si>
  <si>
    <t>LONGINO D'URSO 1.0 S.R.L.</t>
  </si>
  <si>
    <t>02320430644</t>
  </si>
  <si>
    <t>151100</t>
  </si>
  <si>
    <t>Milano</t>
  </si>
  <si>
    <t>GREEN LIFE CALZATURE S.R.L.</t>
  </si>
  <si>
    <t>02648280390</t>
  </si>
  <si>
    <t>Ravenna</t>
  </si>
  <si>
    <t>Emilia-Romagna</t>
  </si>
  <si>
    <t>MONDO ITALIA S.R.L.</t>
  </si>
  <si>
    <t>02187030446</t>
  </si>
  <si>
    <t>CALZATURIFICIO NEW GISAB DI BUONO SALVATORE S.R.L.</t>
  </si>
  <si>
    <t>03202660720</t>
  </si>
  <si>
    <t>152000</t>
  </si>
  <si>
    <t>Barletta-Andria-Trani</t>
  </si>
  <si>
    <t>Puglia</t>
  </si>
  <si>
    <t>VELA S.R.L.</t>
  </si>
  <si>
    <t>01287630295</t>
  </si>
  <si>
    <t>Rovigo</t>
  </si>
  <si>
    <t>EUROFUR S.R.L.</t>
  </si>
  <si>
    <t>01309160503</t>
  </si>
  <si>
    <t>BEMA S.R.L.</t>
  </si>
  <si>
    <t>03368410241</t>
  </si>
  <si>
    <t>Vicenza</t>
  </si>
  <si>
    <t>APEX S.R.L.</t>
  </si>
  <si>
    <t>01849280126</t>
  </si>
  <si>
    <t>CONCERIA N.C.L. SOCIETA' A RESPONSABILITA' LIMITATA</t>
  </si>
  <si>
    <t>01902230646</t>
  </si>
  <si>
    <t>Avellino</t>
  </si>
  <si>
    <t>EN.ZI.MA S.R.L.</t>
  </si>
  <si>
    <t>05659580483</t>
  </si>
  <si>
    <t>152010</t>
  </si>
  <si>
    <t>Firenze</t>
  </si>
  <si>
    <t>Toscana</t>
  </si>
  <si>
    <t>152020</t>
  </si>
  <si>
    <t>Napoli</t>
  </si>
  <si>
    <t>Campania</t>
  </si>
  <si>
    <t>CALZATURIFICIO CAPPELLI S.R.L.</t>
  </si>
  <si>
    <t>00087700472</t>
  </si>
  <si>
    <t>Pistoia</t>
  </si>
  <si>
    <t>151100</t>
  </si>
  <si>
    <t>Pisa</t>
  </si>
  <si>
    <t>151209</t>
  </si>
  <si>
    <t>TOMAIFICIO RM SRL</t>
  </si>
  <si>
    <t>02469500447</t>
  </si>
  <si>
    <t>Fermo</t>
  </si>
  <si>
    <t>Marche</t>
  </si>
  <si>
    <t>PELLETTERIE SANT'AGOSTINO S.R.L.</t>
  </si>
  <si>
    <t>11918010155</t>
  </si>
  <si>
    <t>Milano</t>
  </si>
  <si>
    <t>Lombardia</t>
  </si>
  <si>
    <t>ANGELETTI GROUP S.R.L.</t>
  </si>
  <si>
    <t>02169740442</t>
  </si>
  <si>
    <t>CALZATURIFICIO PAMAR SOCIETA' A RESPONSABILITA' LIMITATA IN BREVE CALZATURIFICIO PAMAR S.R.L.</t>
  </si>
  <si>
    <t>01500110471</t>
  </si>
  <si>
    <t>DANIEL &amp; BOB S.R.L.</t>
  </si>
  <si>
    <t>01606770384</t>
  </si>
  <si>
    <t>Ferrara</t>
  </si>
  <si>
    <t>Emilia-Romagna</t>
  </si>
  <si>
    <t>NICCOLI S.R.L.</t>
  </si>
  <si>
    <t>04888220482</t>
  </si>
  <si>
    <t>CINTURIFICIO BRESCIANO S.R.L.</t>
  </si>
  <si>
    <t>00274410174</t>
  </si>
  <si>
    <t>Brescia</t>
  </si>
  <si>
    <t>G&amp;Q SOCIETA' A RESPONSABILITA' LIMITATA SEMPLIFICATA</t>
  </si>
  <si>
    <t>02392520447</t>
  </si>
  <si>
    <t>VIOLA RASATURA PELLI S.R.L.</t>
  </si>
  <si>
    <t>02271660504</t>
  </si>
  <si>
    <t>GIFRAL S.R.L.</t>
  </si>
  <si>
    <t>05935291210</t>
  </si>
  <si>
    <t>CREDO S.R.L.</t>
  </si>
  <si>
    <t>04060380401</t>
  </si>
  <si>
    <t>Forlì-Cesena</t>
  </si>
  <si>
    <t>151100</t>
  </si>
  <si>
    <t>Firenze</t>
  </si>
  <si>
    <t>Toscana</t>
  </si>
  <si>
    <t>TACCHIFICIO BERDINI S.R.L.</t>
  </si>
  <si>
    <t>01569770439</t>
  </si>
  <si>
    <t>152020</t>
  </si>
  <si>
    <t>Macerata</t>
  </si>
  <si>
    <t>Marche</t>
  </si>
  <si>
    <t>DOMINO S.R.L.</t>
  </si>
  <si>
    <t>06322320489</t>
  </si>
  <si>
    <t>151209</t>
  </si>
  <si>
    <t>PRONTO PELLI S.R.L.</t>
  </si>
  <si>
    <t>02611440641</t>
  </si>
  <si>
    <t>Avellino</t>
  </si>
  <si>
    <t>Campania</t>
  </si>
  <si>
    <t>TRE GAZZELLE INDUSTRIA CONCIARIA S.R.L.</t>
  </si>
  <si>
    <t>02126320502</t>
  </si>
  <si>
    <t>Pisa</t>
  </si>
  <si>
    <t>152010</t>
  </si>
  <si>
    <t>Fermo</t>
  </si>
  <si>
    <t>SHOES &amp; SHOES SOCIETA' A RESPONSABILITA' LIMITATA</t>
  </si>
  <si>
    <t>03511870614</t>
  </si>
  <si>
    <t>Caserta</t>
  </si>
  <si>
    <t>TARTABINI E NASINI S.R.L.</t>
  </si>
  <si>
    <t>00872910443</t>
  </si>
  <si>
    <t>LAPEC SUN S.R.L.</t>
  </si>
  <si>
    <t>01744640507</t>
  </si>
  <si>
    <t>151100</t>
  </si>
  <si>
    <t>Veneto</t>
  </si>
  <si>
    <t>ROSSO VENEZIA SRL</t>
  </si>
  <si>
    <t>04437230271</t>
  </si>
  <si>
    <t>152020</t>
  </si>
  <si>
    <t>Firenze</t>
  </si>
  <si>
    <t>Toscana</t>
  </si>
  <si>
    <t>KOSTYLE S.R.L.</t>
  </si>
  <si>
    <t>04218940262</t>
  </si>
  <si>
    <t>152010</t>
  </si>
  <si>
    <t>Treviso</t>
  </si>
  <si>
    <t>PALM PEL S.R.L.</t>
  </si>
  <si>
    <t>07891101219</t>
  </si>
  <si>
    <t>Napoli</t>
  </si>
  <si>
    <t>Campania</t>
  </si>
  <si>
    <t>Pisa</t>
  </si>
  <si>
    <t>Fermo</t>
  </si>
  <si>
    <t>Marche</t>
  </si>
  <si>
    <t>Macerata</t>
  </si>
  <si>
    <t>RODI S.R.L.</t>
  </si>
  <si>
    <t>00344790431</t>
  </si>
  <si>
    <t>151209</t>
  </si>
  <si>
    <t>MELANY-VY SRL</t>
  </si>
  <si>
    <t>04016400618</t>
  </si>
  <si>
    <t>Caserta</t>
  </si>
  <si>
    <t>K LEATHERS S.R.L.</t>
  </si>
  <si>
    <t>01901620508</t>
  </si>
  <si>
    <t>FARFALLA SRL</t>
  </si>
  <si>
    <t>02381660428</t>
  </si>
  <si>
    <t>Ancona</t>
  </si>
  <si>
    <t>ERREPI - S.R.L. -</t>
  </si>
  <si>
    <t>01511640466</t>
  </si>
  <si>
    <t>Lucca</t>
  </si>
  <si>
    <t>DAVIDE PELLETTERIA NADA S.R.L.</t>
  </si>
  <si>
    <t>09065921216</t>
  </si>
  <si>
    <t>Venezia</t>
  </si>
  <si>
    <t>FIORDALISO S.R.L.</t>
  </si>
  <si>
    <t>04389620271</t>
  </si>
  <si>
    <t>TIMAR SRL</t>
  </si>
  <si>
    <t>02364920443</t>
  </si>
  <si>
    <t>GREAT BEAR S.R.L.</t>
  </si>
  <si>
    <t>01348710441</t>
  </si>
  <si>
    <t>PETER FLOWERS S.R.L.</t>
  </si>
  <si>
    <t>03709330272</t>
  </si>
  <si>
    <t>152020</t>
  </si>
  <si>
    <t>Venezia</t>
  </si>
  <si>
    <t>Veneto</t>
  </si>
  <si>
    <t>152010</t>
  </si>
  <si>
    <t>151209</t>
  </si>
  <si>
    <t>Napoli</t>
  </si>
  <si>
    <t>Campania</t>
  </si>
  <si>
    <t>F.LLI CUCCO S.R.L.</t>
  </si>
  <si>
    <t>01628970434</t>
  </si>
  <si>
    <t>Macerata</t>
  </si>
  <si>
    <t>Marche</t>
  </si>
  <si>
    <t>151100</t>
  </si>
  <si>
    <t>L.I.P. S.R.L.</t>
  </si>
  <si>
    <t>08738320962</t>
  </si>
  <si>
    <t>Milano</t>
  </si>
  <si>
    <t>Lombardia</t>
  </si>
  <si>
    <t>FORMULA SHOES SOCIETA' A RESPONSABILITA' LIMITATA SEMPLIFICATA</t>
  </si>
  <si>
    <t>02284390446</t>
  </si>
  <si>
    <t>Fermo</t>
  </si>
  <si>
    <t>SANDA GROUP S.R.L.</t>
  </si>
  <si>
    <t>01012040448</t>
  </si>
  <si>
    <t>Bologna</t>
  </si>
  <si>
    <t>Emilia-Romagna</t>
  </si>
  <si>
    <t>ROBERTA GANDOLFI S.R.L.</t>
  </si>
  <si>
    <t>01681211205</t>
  </si>
  <si>
    <t>PELLETTERIA PARTENOPE S.R.L.</t>
  </si>
  <si>
    <t>08860401218</t>
  </si>
  <si>
    <t>CINTURIFICIO JESSY GROUP S.R.L.</t>
  </si>
  <si>
    <t>03426510362</t>
  </si>
  <si>
    <t>Modena</t>
  </si>
  <si>
    <t>NEW SWING - SOCIETA' A RESPONSABILITA' LIMITATA IN SIGLA NEW SWING S.R.L.</t>
  </si>
  <si>
    <t>01785970441</t>
  </si>
  <si>
    <t>RIMAR S.R.L.</t>
  </si>
  <si>
    <t>03790840270</t>
  </si>
  <si>
    <t>151100</t>
  </si>
  <si>
    <t>Pisa</t>
  </si>
  <si>
    <t>Toscana</t>
  </si>
  <si>
    <t>152010</t>
  </si>
  <si>
    <t>KASUCCI S.R.L.</t>
  </si>
  <si>
    <t>03587600721</t>
  </si>
  <si>
    <t>Bari</t>
  </si>
  <si>
    <t>Puglia</t>
  </si>
  <si>
    <t>ANACONDA - S.R.L.</t>
  </si>
  <si>
    <t>00926080508</t>
  </si>
  <si>
    <t>Avellino</t>
  </si>
  <si>
    <t>Campania</t>
  </si>
  <si>
    <t>MARENZ S.R.L</t>
  </si>
  <si>
    <t>02456640693</t>
  </si>
  <si>
    <t>Chieti</t>
  </si>
  <si>
    <t>Abruzzo</t>
  </si>
  <si>
    <t>DI BIASE GROUP SRL</t>
  </si>
  <si>
    <t>03728131214</t>
  </si>
  <si>
    <t>Napoli</t>
  </si>
  <si>
    <t>CALZATURIFICIO RUGIATI S.R.L.</t>
  </si>
  <si>
    <t>01009740489</t>
  </si>
  <si>
    <t>Firenze</t>
  </si>
  <si>
    <t>STEFANO BEMER S.R.L.</t>
  </si>
  <si>
    <t>06321030485</t>
  </si>
  <si>
    <t>TRANCERIA ITALY SHOES S.R.L.</t>
  </si>
  <si>
    <t>02979950645</t>
  </si>
  <si>
    <t>GDA GROUP S.R.L.</t>
  </si>
  <si>
    <t>06810150828</t>
  </si>
  <si>
    <t>Palermo</t>
  </si>
  <si>
    <t>Sicilia</t>
  </si>
  <si>
    <t>SO.GI.GER SHOES S.R.L.</t>
  </si>
  <si>
    <t>05505720655</t>
  </si>
  <si>
    <t>Salerno</t>
  </si>
  <si>
    <t>CESARE BAROLI 1947 S.R.L.</t>
  </si>
  <si>
    <t>02544260033</t>
  </si>
  <si>
    <t>152010</t>
  </si>
  <si>
    <t>Novara</t>
  </si>
  <si>
    <t>Piemonte</t>
  </si>
  <si>
    <t>151209</t>
  </si>
  <si>
    <t>Veneto</t>
  </si>
  <si>
    <t>151100</t>
  </si>
  <si>
    <t>GALM S.R.L.</t>
  </si>
  <si>
    <t>01788610440</t>
  </si>
  <si>
    <t>152020</t>
  </si>
  <si>
    <t>Fermo</t>
  </si>
  <si>
    <t>Marche</t>
  </si>
  <si>
    <t>NAZZARENO ACCIARRI SRL</t>
  </si>
  <si>
    <t>02109840443</t>
  </si>
  <si>
    <t>Pisa</t>
  </si>
  <si>
    <t>Toscana</t>
  </si>
  <si>
    <t>GALLI PELLETTERIE S.R.L.</t>
  </si>
  <si>
    <t>00985310671</t>
  </si>
  <si>
    <t>151200</t>
  </si>
  <si>
    <t>Teramo</t>
  </si>
  <si>
    <t>Abruzzo</t>
  </si>
  <si>
    <t>ROSSI DA VINCI - S.R.L.</t>
  </si>
  <si>
    <t>01788080487</t>
  </si>
  <si>
    <t>Firenze</t>
  </si>
  <si>
    <t>CONCERIA FRATELLI PIERONI S.R.L.</t>
  </si>
  <si>
    <t>09731400017</t>
  </si>
  <si>
    <t>Torino</t>
  </si>
  <si>
    <t>CORK LINE S.R.L.</t>
  </si>
  <si>
    <t>02089490540</t>
  </si>
  <si>
    <t>Perugia</t>
  </si>
  <si>
    <t>Umbria</t>
  </si>
  <si>
    <t>EURO NARPELL S.R.L.</t>
  </si>
  <si>
    <t>03487280244</t>
  </si>
  <si>
    <t>Vicenza</t>
  </si>
  <si>
    <t>PIHER S.R.L.</t>
  </si>
  <si>
    <t>04585220280</t>
  </si>
  <si>
    <t>Padova</t>
  </si>
  <si>
    <t>CARA STYLE SRL</t>
  </si>
  <si>
    <t>06427380487</t>
  </si>
  <si>
    <t>BOTTEGA 23 SRL</t>
  </si>
  <si>
    <t>02320620442</t>
  </si>
  <si>
    <t>Ascoli Piceno</t>
  </si>
  <si>
    <t>LA THUILE SRL</t>
  </si>
  <si>
    <t>02487400182</t>
  </si>
  <si>
    <t>152010</t>
  </si>
  <si>
    <t>Pavia</t>
  </si>
  <si>
    <t>Lombardia</t>
  </si>
  <si>
    <t>151209</t>
  </si>
  <si>
    <t>Firenze</t>
  </si>
  <si>
    <t>Toscana</t>
  </si>
  <si>
    <t>Fermo</t>
  </si>
  <si>
    <t>Marche</t>
  </si>
  <si>
    <t>152020</t>
  </si>
  <si>
    <t>DUEPAX S.R.L.</t>
  </si>
  <si>
    <t>01980150500</t>
  </si>
  <si>
    <t>Pisa</t>
  </si>
  <si>
    <t>SOLETTIFICIO GUERRIERI S.R.L.</t>
  </si>
  <si>
    <t>02275430482</t>
  </si>
  <si>
    <t>CARLO SALVATELLI S.R.L.</t>
  </si>
  <si>
    <t>02033320447</t>
  </si>
  <si>
    <t>RE ARTU' - S.R.L.</t>
  </si>
  <si>
    <t>03592550481</t>
  </si>
  <si>
    <t>151209</t>
  </si>
  <si>
    <t>152020</t>
  </si>
  <si>
    <t>Campania</t>
  </si>
  <si>
    <t>Napoli</t>
  </si>
  <si>
    <t>151100</t>
  </si>
  <si>
    <t>NICAM SAFETY SOCIETA' A RESPONSABILITA' LIMITATA</t>
  </si>
  <si>
    <t>08460610721</t>
  </si>
  <si>
    <t>152010</t>
  </si>
  <si>
    <t>Barletta-Andria-Trani</t>
  </si>
  <si>
    <t>Puglia</t>
  </si>
  <si>
    <t>KING LOOK SOCIETA' A RESPONSABILITA' LIMITATA SEMPLIFICATA</t>
  </si>
  <si>
    <t>04681520757</t>
  </si>
  <si>
    <t>Lecce</t>
  </si>
  <si>
    <t>L.I.D.M.A.G. S.R.L.</t>
  </si>
  <si>
    <t>07383271215</t>
  </si>
  <si>
    <t>Toscana</t>
  </si>
  <si>
    <t>GI.AN. S.R.L.</t>
  </si>
  <si>
    <t>07102800633</t>
  </si>
  <si>
    <t>R&amp;B DIFFUSIONE MODA S.R.L.</t>
  </si>
  <si>
    <t>01815720675</t>
  </si>
  <si>
    <t>Teramo</t>
  </si>
  <si>
    <t>Abruzzo</t>
  </si>
  <si>
    <t>MARRAFFA MARCO S.R.L.</t>
  </si>
  <si>
    <t>04232550279</t>
  </si>
  <si>
    <t>Venezia</t>
  </si>
  <si>
    <t>Veneto</t>
  </si>
  <si>
    <t>DA.RI.PEL. DI DAVOLI A. &amp; C. - S.R.L.</t>
  </si>
  <si>
    <t>01213240359</t>
  </si>
  <si>
    <t>Reggio nell'Emilia</t>
  </si>
  <si>
    <t>Emilia-Romagna</t>
  </si>
  <si>
    <t>Lombardia</t>
  </si>
  <si>
    <t>SOLETTIFICIO LILLIO - S.R.L.</t>
  </si>
  <si>
    <t>07010430630</t>
  </si>
  <si>
    <t>MODAPEL S.R.L.</t>
  </si>
  <si>
    <t>02199780509</t>
  </si>
  <si>
    <t>Pisa</t>
  </si>
  <si>
    <t>LA FABRIQUE SRL</t>
  </si>
  <si>
    <t>02180730307</t>
  </si>
  <si>
    <t>151200</t>
  </si>
  <si>
    <t>Udine</t>
  </si>
  <si>
    <t>Friuli-Venezia Giulia</t>
  </si>
  <si>
    <t>DESTRO S.R.L.</t>
  </si>
  <si>
    <t>02192570188</t>
  </si>
  <si>
    <t>Pavia</t>
  </si>
  <si>
    <t>ORTOPEDIA LOCCI S.R.L.</t>
  </si>
  <si>
    <t>01516000914</t>
  </si>
  <si>
    <t>Nuoro</t>
  </si>
  <si>
    <t>Sardegna</t>
  </si>
  <si>
    <t>152010</t>
  </si>
  <si>
    <t>Fermo</t>
  </si>
  <si>
    <t>Marche</t>
  </si>
  <si>
    <t>152020</t>
  </si>
  <si>
    <t>Campania</t>
  </si>
  <si>
    <t>JOAN NORD SHOES S.R.L.</t>
  </si>
  <si>
    <t>01615050984</t>
  </si>
  <si>
    <t>Brescia</t>
  </si>
  <si>
    <t>Lombardia</t>
  </si>
  <si>
    <t>151100</t>
  </si>
  <si>
    <t>Veneto</t>
  </si>
  <si>
    <t>M2F S.R.L.</t>
  </si>
  <si>
    <t>07046851213</t>
  </si>
  <si>
    <t>Caserta</t>
  </si>
  <si>
    <t>FAUSTO COLATO S.R.L.</t>
  </si>
  <si>
    <t>05274830966</t>
  </si>
  <si>
    <t>151200</t>
  </si>
  <si>
    <t>Milano</t>
  </si>
  <si>
    <t>CALZATURE V.F. ITALIA PRODUCTION SRL</t>
  </si>
  <si>
    <t>01954580443</t>
  </si>
  <si>
    <t>VA.FRA. S.R.L. UNIPERSONALE</t>
  </si>
  <si>
    <t>02138850447</t>
  </si>
  <si>
    <t>SCAMOSCERIA CUNEESE - S.R.L.</t>
  </si>
  <si>
    <t>00183750041</t>
  </si>
  <si>
    <t>Cuneo</t>
  </si>
  <si>
    <t>Piemonte</t>
  </si>
  <si>
    <t>CARRARO S.R.L.</t>
  </si>
  <si>
    <t>00863610275</t>
  </si>
  <si>
    <t>Venezia</t>
  </si>
  <si>
    <t>MARA TAC S.R.L.</t>
  </si>
  <si>
    <t>01421160449</t>
  </si>
  <si>
    <t>152020</t>
  </si>
  <si>
    <t>Fermo</t>
  </si>
  <si>
    <t>Marche</t>
  </si>
  <si>
    <t>EXTREME DESIGN SRL</t>
  </si>
  <si>
    <t>02041350972</t>
  </si>
  <si>
    <t>151209</t>
  </si>
  <si>
    <t>Prato</t>
  </si>
  <si>
    <t>Toscana</t>
  </si>
  <si>
    <t>Padova</t>
  </si>
  <si>
    <t>Veneto</t>
  </si>
  <si>
    <t>151100</t>
  </si>
  <si>
    <t>Vicenza</t>
  </si>
  <si>
    <t>152010</t>
  </si>
  <si>
    <t>DM SOCIETA' A RESPONSABILITA' LIMITATA ENUNCIABILE ANCHE DM SRL</t>
  </si>
  <si>
    <t>01386340440</t>
  </si>
  <si>
    <t>Lucca</t>
  </si>
  <si>
    <t>CALZATURIFICIO PIACENTINI S.R.L.</t>
  </si>
  <si>
    <t>02447590460</t>
  </si>
  <si>
    <t>SCOLARO S.R.L.</t>
  </si>
  <si>
    <t>00101390441</t>
  </si>
  <si>
    <t>ANTIDA S.R.L.</t>
  </si>
  <si>
    <t>02333090203</t>
  </si>
  <si>
    <t>Brescia</t>
  </si>
  <si>
    <t>Lombardia</t>
  </si>
  <si>
    <t>Firenze</t>
  </si>
  <si>
    <t>OMBRETTA S.R.L.</t>
  </si>
  <si>
    <t>05220690480</t>
  </si>
  <si>
    <t>151200</t>
  </si>
  <si>
    <t>PAOUL SRL</t>
  </si>
  <si>
    <t>04609750288</t>
  </si>
  <si>
    <t>MARGI S.R.L.</t>
  </si>
  <si>
    <t>00881140248</t>
  </si>
  <si>
    <t>AMABILIA S.R.L. - UNIPERSONALE</t>
  </si>
  <si>
    <t>02849680240</t>
  </si>
  <si>
    <t>151100</t>
  </si>
  <si>
    <t>Pisa</t>
  </si>
  <si>
    <t>Toscana</t>
  </si>
  <si>
    <t>ITAKA SRL</t>
  </si>
  <si>
    <t>04958250260</t>
  </si>
  <si>
    <t>151209</t>
  </si>
  <si>
    <t>Padova</t>
  </si>
  <si>
    <t>Veneto</t>
  </si>
  <si>
    <t>CALZATURIFICIO MEPRES S.R.L.</t>
  </si>
  <si>
    <t>02419200262</t>
  </si>
  <si>
    <t>152000</t>
  </si>
  <si>
    <t>Treviso</t>
  </si>
  <si>
    <t>Napoli</t>
  </si>
  <si>
    <t>Campania</t>
  </si>
  <si>
    <t>KING TARTUFOLI S.R.L.</t>
  </si>
  <si>
    <t>01834670430</t>
  </si>
  <si>
    <t>152010</t>
  </si>
  <si>
    <t>Macerata</t>
  </si>
  <si>
    <t>Marche</t>
  </si>
  <si>
    <t>ROMITELLI SHOES SRL</t>
  </si>
  <si>
    <t>01692800434</t>
  </si>
  <si>
    <t>FORCINITI S.R.L.</t>
  </si>
  <si>
    <t>02163690510</t>
  </si>
  <si>
    <t>Arezzo</t>
  </si>
  <si>
    <t>Fermo</t>
  </si>
  <si>
    <t>DOONEY &amp; BOURKE ITALIA S.R.L.</t>
  </si>
  <si>
    <t>05041450486</t>
  </si>
  <si>
    <t>Pistoia</t>
  </si>
  <si>
    <t>Firenze</t>
  </si>
  <si>
    <t>STUDIO IMMAGINE S.R.L.</t>
  </si>
  <si>
    <t>02151370448</t>
  </si>
  <si>
    <t>MARPELL S.R.L.</t>
  </si>
  <si>
    <t>01921360507</t>
  </si>
  <si>
    <t>QUADRARO - SOCIETA' A RESPONSABILITA' LIMITATA</t>
  </si>
  <si>
    <t>03563170483</t>
  </si>
  <si>
    <t>ARTIGIANINO S.R.L.</t>
  </si>
  <si>
    <t>04642300653</t>
  </si>
  <si>
    <t>CALZATURE EPOCA S.R.L.</t>
  </si>
  <si>
    <t>09260300158</t>
  </si>
  <si>
    <t>Milano</t>
  </si>
  <si>
    <t>Lombardia</t>
  </si>
  <si>
    <t>CLAIRE S.R.L.</t>
  </si>
  <si>
    <t>01489990513</t>
  </si>
  <si>
    <t>DEL MUGNAIO S.R.L.</t>
  </si>
  <si>
    <t>00235860509</t>
  </si>
  <si>
    <t>151100</t>
  </si>
  <si>
    <t>Pisa</t>
  </si>
  <si>
    <t>Toscana</t>
  </si>
  <si>
    <t>152020</t>
  </si>
  <si>
    <t>Veneto</t>
  </si>
  <si>
    <t>151209</t>
  </si>
  <si>
    <t>TRIZIO S.R.L.</t>
  </si>
  <si>
    <t>10664470159</t>
  </si>
  <si>
    <t>Milano</t>
  </si>
  <si>
    <t>Lombardia</t>
  </si>
  <si>
    <t>152010</t>
  </si>
  <si>
    <t>CALZATURIFICIO ARDITO - S.R.L. -</t>
  </si>
  <si>
    <t>03411900651</t>
  </si>
  <si>
    <t>152000</t>
  </si>
  <si>
    <t>Salerno</t>
  </si>
  <si>
    <t>Campania</t>
  </si>
  <si>
    <t>ELVICART S.R.L.</t>
  </si>
  <si>
    <t>12575690156</t>
  </si>
  <si>
    <t>151200</t>
  </si>
  <si>
    <t>Fermo</t>
  </si>
  <si>
    <t>Marche</t>
  </si>
  <si>
    <t>SUOLIFICIO PALAZZO GIOVANNI S.R.L.</t>
  </si>
  <si>
    <t>02479790186</t>
  </si>
  <si>
    <t>Pavia</t>
  </si>
  <si>
    <t>FONTANA SHOES S.R.L.</t>
  </si>
  <si>
    <t>02401400441</t>
  </si>
  <si>
    <t>EQUITIME SRL</t>
  </si>
  <si>
    <t>02240870689</t>
  </si>
  <si>
    <t>Pescara</t>
  </si>
  <si>
    <t>Abruzzo</t>
  </si>
  <si>
    <t>ANGIVENEZIA SRL</t>
  </si>
  <si>
    <t>04035400243</t>
  </si>
  <si>
    <t>Vicenza</t>
  </si>
  <si>
    <t>STAMPERIA MAST S.R.L.</t>
  </si>
  <si>
    <t>03559480243</t>
  </si>
  <si>
    <t>C.M. S.R.L. - SOCIETA' UNIPERSONALE</t>
  </si>
  <si>
    <t>02815130246</t>
  </si>
  <si>
    <t>Macerata</t>
  </si>
  <si>
    <t>SCENZA S.R.L.</t>
  </si>
  <si>
    <t>01879910436</t>
  </si>
  <si>
    <t>CTC CONCERIA DEL CHIENTI SOCIETA' BENEFIT S.P.A.</t>
  </si>
  <si>
    <t>02083630430</t>
  </si>
  <si>
    <t>151100</t>
  </si>
  <si>
    <t>Macerata</t>
  </si>
  <si>
    <t>Marche</t>
  </si>
  <si>
    <t>152020</t>
  </si>
  <si>
    <t>Veneto</t>
  </si>
  <si>
    <t>AC STUDIO SRL</t>
  </si>
  <si>
    <t>04976190266</t>
  </si>
  <si>
    <t>152010</t>
  </si>
  <si>
    <t>Treviso</t>
  </si>
  <si>
    <t>151209</t>
  </si>
  <si>
    <t>ELENPELL S.R.L.</t>
  </si>
  <si>
    <t>02085180244</t>
  </si>
  <si>
    <t>Vicenza</t>
  </si>
  <si>
    <t>PELLETTERIE ALEST S.R.L.</t>
  </si>
  <si>
    <t>01006590481</t>
  </si>
  <si>
    <t>151200</t>
  </si>
  <si>
    <t>Firenze</t>
  </si>
  <si>
    <t>Toscana</t>
  </si>
  <si>
    <t>SERGIO FUMI VALIGERIA S.R.L.</t>
  </si>
  <si>
    <t>01057890335</t>
  </si>
  <si>
    <t>Piacenza</t>
  </si>
  <si>
    <t>Emilia-Romagna</t>
  </si>
  <si>
    <t>GIANFRANCO BUTTERI SRL</t>
  </si>
  <si>
    <t>01898540446</t>
  </si>
  <si>
    <t>Fermo</t>
  </si>
  <si>
    <t>FOGLIZZO LUXURY GOODS - SOCIETA' A RESPONSABILITA' LIMITATA</t>
  </si>
  <si>
    <t>08285570019</t>
  </si>
  <si>
    <t>Torino</t>
  </si>
  <si>
    <t>Piemonte</t>
  </si>
  <si>
    <t>GIANFORT S.R.L.</t>
  </si>
  <si>
    <t>03477090249</t>
  </si>
  <si>
    <t>VIRTUS PELLAMI SRL</t>
  </si>
  <si>
    <t>04243440247</t>
  </si>
  <si>
    <t>AMICI PER LA PELLE S.R.L.</t>
  </si>
  <si>
    <t>08024800966</t>
  </si>
  <si>
    <t>Milano</t>
  </si>
  <si>
    <t>Lombardia</t>
  </si>
  <si>
    <t>CONCERIA SOLARIS S.R.L.</t>
  </si>
  <si>
    <t>04755670488</t>
  </si>
  <si>
    <t>ALOISIO BANZOLA S.R.L.</t>
  </si>
  <si>
    <t>00408620342</t>
  </si>
  <si>
    <t>152010</t>
  </si>
  <si>
    <t>Parma</t>
  </si>
  <si>
    <t>Emilia-Romagna</t>
  </si>
  <si>
    <t>Toscana</t>
  </si>
  <si>
    <t>152020</t>
  </si>
  <si>
    <t>Fermo</t>
  </si>
  <si>
    <t>Marche</t>
  </si>
  <si>
    <t>Firenze</t>
  </si>
  <si>
    <t>KARIN SAFETY FOOTWEAR S.R.L.</t>
  </si>
  <si>
    <t>00738130673</t>
  </si>
  <si>
    <t>Milano</t>
  </si>
  <si>
    <t>Lombardia</t>
  </si>
  <si>
    <t>Napoli</t>
  </si>
  <si>
    <t>Campania</t>
  </si>
  <si>
    <t>GUARDOLIFICIO ALEX - S.R.L.</t>
  </si>
  <si>
    <t>03972050482</t>
  </si>
  <si>
    <t>Veneto</t>
  </si>
  <si>
    <t>LAGOA WORLD SRL</t>
  </si>
  <si>
    <t>02436630442</t>
  </si>
  <si>
    <t>Arezzo</t>
  </si>
  <si>
    <t>SOLEA S.R.L.</t>
  </si>
  <si>
    <t>01315770550</t>
  </si>
  <si>
    <t>151200</t>
  </si>
  <si>
    <t>Terni</t>
  </si>
  <si>
    <t>Umbria</t>
  </si>
  <si>
    <t>151209</t>
  </si>
  <si>
    <t>GUIDOMAGGI SOCIETA' A RESPONSABILITA' LIMITATA SEMPLIFICATA</t>
  </si>
  <si>
    <t>04612710758</t>
  </si>
  <si>
    <t>Lecce</t>
  </si>
  <si>
    <t>Puglia</t>
  </si>
  <si>
    <t>MI PIACI S.R.L.S.</t>
  </si>
  <si>
    <t>09096831210</t>
  </si>
  <si>
    <t>MIDEX S.R.L.</t>
  </si>
  <si>
    <t>04934170269</t>
  </si>
  <si>
    <t>Treviso</t>
  </si>
  <si>
    <t>SINBI S.R.L.</t>
  </si>
  <si>
    <t>08090130728</t>
  </si>
  <si>
    <t>Bari</t>
  </si>
  <si>
    <t>FABIANI PELLETTERIE S.R.L.</t>
  </si>
  <si>
    <t>02192270516</t>
  </si>
  <si>
    <t>ITALIAN HEELS SRL</t>
  </si>
  <si>
    <t>02209250444</t>
  </si>
  <si>
    <t>152000</t>
  </si>
  <si>
    <t>Campania</t>
  </si>
  <si>
    <t>151209</t>
  </si>
  <si>
    <t>Firenze</t>
  </si>
  <si>
    <t>Toscana</t>
  </si>
  <si>
    <t>TIFFI S.R.L.</t>
  </si>
  <si>
    <t>05502871212</t>
  </si>
  <si>
    <t>152010</t>
  </si>
  <si>
    <t>Napoli</t>
  </si>
  <si>
    <t>152020</t>
  </si>
  <si>
    <t>NUOVA P.R. S.R.L.</t>
  </si>
  <si>
    <t>02403260546</t>
  </si>
  <si>
    <t>Perugia</t>
  </si>
  <si>
    <t>Umbria</t>
  </si>
  <si>
    <t>151100</t>
  </si>
  <si>
    <t>OFFICINA BELTS SOCIETA' A RESPONSABILITA' LIMITATA</t>
  </si>
  <si>
    <t>07244511213</t>
  </si>
  <si>
    <t>RUN PLAST S.R.L.</t>
  </si>
  <si>
    <t>01981990433</t>
  </si>
  <si>
    <t>Macerata</t>
  </si>
  <si>
    <t>Marche</t>
  </si>
  <si>
    <t>Veneto</t>
  </si>
  <si>
    <t>Fermo</t>
  </si>
  <si>
    <t>Venezia</t>
  </si>
  <si>
    <t>IL GRECO S.R.L.</t>
  </si>
  <si>
    <t>01370640441</t>
  </si>
  <si>
    <t>GHIBLI S.R.L.</t>
  </si>
  <si>
    <t>01345750507</t>
  </si>
  <si>
    <t>151200</t>
  </si>
  <si>
    <t>GROSSI S.R.L.</t>
  </si>
  <si>
    <t>01331410470</t>
  </si>
  <si>
    <t>Pistoia</t>
  </si>
  <si>
    <t>DELTA SUOLE S.R.L.</t>
  </si>
  <si>
    <t>02756910275</t>
  </si>
  <si>
    <t>R79 SRL</t>
  </si>
  <si>
    <t>00512630443</t>
  </si>
  <si>
    <t>RANDI CREAZIONI SRL</t>
  </si>
  <si>
    <t>02190270393</t>
  </si>
  <si>
    <t>Ravenna</t>
  </si>
  <si>
    <t>Emilia-Romagna</t>
  </si>
  <si>
    <t>ITALTREND S.R.L.S.</t>
  </si>
  <si>
    <t>02404530442</t>
  </si>
  <si>
    <t>152010</t>
  </si>
  <si>
    <t>Marche</t>
  </si>
  <si>
    <t>B &amp; G PROJECTS S.R.L.</t>
  </si>
  <si>
    <t>03888110230</t>
  </si>
  <si>
    <t>Verona</t>
  </si>
  <si>
    <t>Veneto</t>
  </si>
  <si>
    <t>NANNI SRL</t>
  </si>
  <si>
    <t>05014590151</t>
  </si>
  <si>
    <t>151200</t>
  </si>
  <si>
    <t>Milano</t>
  </si>
  <si>
    <t>Lombardia</t>
  </si>
  <si>
    <t>152020</t>
  </si>
  <si>
    <t>151209</t>
  </si>
  <si>
    <t>Pisa</t>
  </si>
  <si>
    <t>Toscana</t>
  </si>
  <si>
    <t>Venezia</t>
  </si>
  <si>
    <t>Firenze</t>
  </si>
  <si>
    <t>CAI PELLETTERIA S.R.L.</t>
  </si>
  <si>
    <t>06938300487</t>
  </si>
  <si>
    <t>S.G.L. S.R.L.</t>
  </si>
  <si>
    <t>03156070249</t>
  </si>
  <si>
    <t>151100</t>
  </si>
  <si>
    <t>Vicenza</t>
  </si>
  <si>
    <t>Macerata</t>
  </si>
  <si>
    <t>SOBEK S.R.L.</t>
  </si>
  <si>
    <t>13397260152</t>
  </si>
  <si>
    <t>Monza e della Brianza</t>
  </si>
  <si>
    <t>Arezzo</t>
  </si>
  <si>
    <t>NATURAL SARDINIA S.R.L.</t>
  </si>
  <si>
    <t>02602280907</t>
  </si>
  <si>
    <t>Sassari</t>
  </si>
  <si>
    <t>Sardegna</t>
  </si>
  <si>
    <t>SUOLIFICIO MONTOLMO S.R.L.</t>
  </si>
  <si>
    <t>00365570431</t>
  </si>
  <si>
    <t>CONCERIA NETTUNO - S.R.L.</t>
  </si>
  <si>
    <t>00505590505</t>
  </si>
  <si>
    <t>CATERINA S.R.L.</t>
  </si>
  <si>
    <t>02896660277</t>
  </si>
  <si>
    <t>ARTE PELLE S.R.L.</t>
  </si>
  <si>
    <t>02033700515</t>
  </si>
  <si>
    <t>151209</t>
  </si>
  <si>
    <t>Toscana</t>
  </si>
  <si>
    <t>Firenze</t>
  </si>
  <si>
    <t>152020</t>
  </si>
  <si>
    <t>Fermo</t>
  </si>
  <si>
    <t>Marche</t>
  </si>
  <si>
    <t>Macerata</t>
  </si>
  <si>
    <t>152010</t>
  </si>
  <si>
    <t>Treviso</t>
  </si>
  <si>
    <t>Veneto</t>
  </si>
  <si>
    <t>N.C.P. S.R.L.</t>
  </si>
  <si>
    <t>01488800432</t>
  </si>
  <si>
    <t>Venezia</t>
  </si>
  <si>
    <t>CALZATURIFICIO DINOS SRL</t>
  </si>
  <si>
    <t>01826660449</t>
  </si>
  <si>
    <t>EUROTAC S.R.L.</t>
  </si>
  <si>
    <t>02543140277</t>
  </si>
  <si>
    <t>OROPEL ITALIA SRL</t>
  </si>
  <si>
    <t>02478960186</t>
  </si>
  <si>
    <t>Pavia</t>
  </si>
  <si>
    <t>Lombardia</t>
  </si>
  <si>
    <t>STYLDEA S.R.L.</t>
  </si>
  <si>
    <t>00792680266</t>
  </si>
  <si>
    <t>MUNDIAL DESIGN S.R.L.</t>
  </si>
  <si>
    <t>01812660437</t>
  </si>
  <si>
    <t>UNDERWOOD LONDON S.R.L.</t>
  </si>
  <si>
    <t>06843200483</t>
  </si>
  <si>
    <t>CALZATURIFICIO MORLACCHI SRL</t>
  </si>
  <si>
    <t>04052370154</t>
  </si>
  <si>
    <t>Milano</t>
  </si>
  <si>
    <t>152010</t>
  </si>
  <si>
    <t>Fermo</t>
  </si>
  <si>
    <t>Marche</t>
  </si>
  <si>
    <t>NOTTOLI S.R.L.</t>
  </si>
  <si>
    <t>01784550467</t>
  </si>
  <si>
    <t>152020</t>
  </si>
  <si>
    <t>Lucca</t>
  </si>
  <si>
    <t>Toscana</t>
  </si>
  <si>
    <t>PIELLE - S.R.L.</t>
  </si>
  <si>
    <t>04011570480</t>
  </si>
  <si>
    <t>151200</t>
  </si>
  <si>
    <t>Firenze</t>
  </si>
  <si>
    <t>151209</t>
  </si>
  <si>
    <t>151100</t>
  </si>
  <si>
    <t>LA.PE. - S.R.L.</t>
  </si>
  <si>
    <t>01370570168</t>
  </si>
  <si>
    <t>Bergamo</t>
  </si>
  <si>
    <t>Lombardia</t>
  </si>
  <si>
    <t>SUOLIFICIO SAN PAOLO S.R.L.</t>
  </si>
  <si>
    <t>00517790440</t>
  </si>
  <si>
    <t>Milano</t>
  </si>
  <si>
    <t>LOVE LAB SOCIETA' A RESPONSABILITA' LIMITATA SEMPLIFICATA</t>
  </si>
  <si>
    <t>05889320650</t>
  </si>
  <si>
    <t>Salerno</t>
  </si>
  <si>
    <t>Campania</t>
  </si>
  <si>
    <t>OCEAN DRIVE S.R.L.</t>
  </si>
  <si>
    <t>02526010646</t>
  </si>
  <si>
    <t>Avellino</t>
  </si>
  <si>
    <t>FIRENZE &amp; MODA S.R.L.</t>
  </si>
  <si>
    <t>05415570489</t>
  </si>
  <si>
    <t>CALZATURIFICIO ZAGO ALBERTO S.R.L.</t>
  </si>
  <si>
    <t>00170310189</t>
  </si>
  <si>
    <t>Pavia</t>
  </si>
  <si>
    <t>BRAND IN ITALY SRL</t>
  </si>
  <si>
    <t>09016750961</t>
  </si>
  <si>
    <t>CU-TEST S.R.L.</t>
  </si>
  <si>
    <t>07257561212</t>
  </si>
  <si>
    <t>Napoli</t>
  </si>
  <si>
    <t>152020</t>
  </si>
  <si>
    <t>Milano</t>
  </si>
  <si>
    <t>Lombardia</t>
  </si>
  <si>
    <t>152010</t>
  </si>
  <si>
    <t>Venezia</t>
  </si>
  <si>
    <t>Veneto</t>
  </si>
  <si>
    <t>SAIV S.R.L.</t>
  </si>
  <si>
    <t>04003410273</t>
  </si>
  <si>
    <t>Campania</t>
  </si>
  <si>
    <t>Napoli</t>
  </si>
  <si>
    <t>151209</t>
  </si>
  <si>
    <t>Firenze</t>
  </si>
  <si>
    <t>Toscana</t>
  </si>
  <si>
    <t>LLOFF SRL</t>
  </si>
  <si>
    <t>01928960432</t>
  </si>
  <si>
    <t>Macerata</t>
  </si>
  <si>
    <t>Marche</t>
  </si>
  <si>
    <t>Pisa</t>
  </si>
  <si>
    <t>FIORANGELO SRL</t>
  </si>
  <si>
    <t>01873080442</t>
  </si>
  <si>
    <t>Fermo</t>
  </si>
  <si>
    <t>151100</t>
  </si>
  <si>
    <t>MERISIO S.R.L.</t>
  </si>
  <si>
    <t>08854640961</t>
  </si>
  <si>
    <t>CALZATURIFICIO GRELIS S.R.L.</t>
  </si>
  <si>
    <t>08133731219</t>
  </si>
  <si>
    <t>ROBERTO PANCANI S.R.L.</t>
  </si>
  <si>
    <t>05653740489</t>
  </si>
  <si>
    <t>CIVICO 30 S.R.L.</t>
  </si>
  <si>
    <t>06138660482</t>
  </si>
  <si>
    <t>SOLETTIFICIO MASSETTI S.R.L.</t>
  </si>
  <si>
    <t>02333160444</t>
  </si>
  <si>
    <t>CALZATURIFICIO SNASH SRL</t>
  </si>
  <si>
    <t>05946620720</t>
  </si>
  <si>
    <t>Barletta-Andria-Trani</t>
  </si>
  <si>
    <t>Puglia</t>
  </si>
  <si>
    <t>COLIBRI' S.R.L.</t>
  </si>
  <si>
    <t>01657930507</t>
  </si>
  <si>
    <t>TRANCERIA F.M. SRL</t>
  </si>
  <si>
    <t>02601210392</t>
  </si>
  <si>
    <t>Ravenna</t>
  </si>
  <si>
    <t>Emilia-Romagna</t>
  </si>
  <si>
    <t>CONCERIA MADERA S.R.L.</t>
  </si>
  <si>
    <t>01336310501</t>
  </si>
  <si>
    <t>DAVIN SOCIETA' A RESPONSABILITA' LIMITATA</t>
  </si>
  <si>
    <t>02223940442</t>
  </si>
  <si>
    <t>FIORITA S.R.L.</t>
  </si>
  <si>
    <t>01063850448</t>
  </si>
  <si>
    <t>152020</t>
  </si>
  <si>
    <t>Puglia</t>
  </si>
  <si>
    <t>Firenze</t>
  </si>
  <si>
    <t>Toscana</t>
  </si>
  <si>
    <t>LASER TORRESI SRL</t>
  </si>
  <si>
    <t>01859490433</t>
  </si>
  <si>
    <t>Macerata</t>
  </si>
  <si>
    <t>Marche</t>
  </si>
  <si>
    <t>DEMA S.R.L.</t>
  </si>
  <si>
    <t>01602270504</t>
  </si>
  <si>
    <t>Pisa</t>
  </si>
  <si>
    <t>Lombardia</t>
  </si>
  <si>
    <t>VALIGERIA MASCETTI S.R.L.</t>
  </si>
  <si>
    <t>01268660121</t>
  </si>
  <si>
    <t>151200</t>
  </si>
  <si>
    <t>Varese</t>
  </si>
  <si>
    <t>ELIZA DI VENEZIA S.R.L.</t>
  </si>
  <si>
    <t>01816160442</t>
  </si>
  <si>
    <t>152010</t>
  </si>
  <si>
    <t>Fermo</t>
  </si>
  <si>
    <t>SUOLIFICIO GFG S.R.L.</t>
  </si>
  <si>
    <t>01576710436</t>
  </si>
  <si>
    <t>MTOS S.R.L.</t>
  </si>
  <si>
    <t>06739490487</t>
  </si>
  <si>
    <t>151209</t>
  </si>
  <si>
    <t>Veneto</t>
  </si>
  <si>
    <t>151100</t>
  </si>
  <si>
    <t>Vicenza</t>
  </si>
  <si>
    <t>Campania</t>
  </si>
  <si>
    <t>STEFANARDI S.R.L.</t>
  </si>
  <si>
    <t>03808500726</t>
  </si>
  <si>
    <t>Bari</t>
  </si>
  <si>
    <t>COMPLAST S.R.L. DI SALVATORE CORREDDU</t>
  </si>
  <si>
    <t>01208080901</t>
  </si>
  <si>
    <t>Sassari</t>
  </si>
  <si>
    <t>Sardegna</t>
  </si>
  <si>
    <t>ME.GI. S.R.L. - UNIPERSONALE</t>
  </si>
  <si>
    <t>02231960242</t>
  </si>
  <si>
    <t>MAESTRI PELLETTIERI S.R.L.</t>
  </si>
  <si>
    <t>08123271218</t>
  </si>
  <si>
    <t>Napoli</t>
  </si>
  <si>
    <t>DONNA ELISSA S.R.L.</t>
  </si>
  <si>
    <t>03358260960</t>
  </si>
  <si>
    <t>Milano</t>
  </si>
  <si>
    <t>PARMEGGIANI S.R.L.</t>
  </si>
  <si>
    <t>02124790367</t>
  </si>
  <si>
    <t>Modena</t>
  </si>
  <si>
    <t>Emilia-Romagna</t>
  </si>
  <si>
    <t>KATY - S.R.L.</t>
  </si>
  <si>
    <t>01223010461</t>
  </si>
  <si>
    <t>Lucca</t>
  </si>
  <si>
    <t>SECCHIARI INTERNATIONAL S.R.L.</t>
  </si>
  <si>
    <t>02109360442</t>
  </si>
  <si>
    <t>CONCERIA LA FORTEZZA S.R.L.</t>
  </si>
  <si>
    <t>01775620501</t>
  </si>
  <si>
    <t>151100</t>
  </si>
  <si>
    <t>Pisa</t>
  </si>
  <si>
    <t>Toscana</t>
  </si>
  <si>
    <t>151209</t>
  </si>
  <si>
    <t>152020</t>
  </si>
  <si>
    <t>CALCEUS SRL</t>
  </si>
  <si>
    <t>03283360265</t>
  </si>
  <si>
    <t>152010</t>
  </si>
  <si>
    <t>Treviso</t>
  </si>
  <si>
    <t>Veneto</t>
  </si>
  <si>
    <t>Lombardia</t>
  </si>
  <si>
    <t>EUGENIO PORSELLI - S.R.L.</t>
  </si>
  <si>
    <t>01932410150</t>
  </si>
  <si>
    <t>Milano</t>
  </si>
  <si>
    <t>ESQUISITO S.R.L.</t>
  </si>
  <si>
    <t>02183191200</t>
  </si>
  <si>
    <t>Bologna</t>
  </si>
  <si>
    <t>Emilia-Romagna</t>
  </si>
  <si>
    <t>FONTANILI ALESSANDRO SRL</t>
  </si>
  <si>
    <t>02568390351</t>
  </si>
  <si>
    <t>Reggio nell'Emilia</t>
  </si>
  <si>
    <t>Roma</t>
  </si>
  <si>
    <t>Lazio</t>
  </si>
  <si>
    <t>M.B.F.SRL</t>
  </si>
  <si>
    <t>05053330154</t>
  </si>
  <si>
    <t>NUOVA 3B S.R.L.</t>
  </si>
  <si>
    <t>02144460504</t>
  </si>
  <si>
    <t>VALENTINA S.R.L.</t>
  </si>
  <si>
    <t>03903480287</t>
  </si>
  <si>
    <t>Padova</t>
  </si>
  <si>
    <t>BOCACHE &amp; SALVUCCI S.R.L.</t>
  </si>
  <si>
    <t>06157351005</t>
  </si>
  <si>
    <t>151100</t>
  </si>
  <si>
    <t>CHRISS S.R.L.</t>
  </si>
  <si>
    <t>04023650262</t>
  </si>
  <si>
    <t>152010</t>
  </si>
  <si>
    <t>Treviso</t>
  </si>
  <si>
    <t>Veneto</t>
  </si>
  <si>
    <t>152020</t>
  </si>
  <si>
    <t>MISS-D SOCIETA' A RESPONSABILITA' LIMITATA SEMPLIFICATA</t>
  </si>
  <si>
    <t>02683270025</t>
  </si>
  <si>
    <t>Biella</t>
  </si>
  <si>
    <t>Piemonte</t>
  </si>
  <si>
    <t>151209</t>
  </si>
  <si>
    <t>ROMA SRL</t>
  </si>
  <si>
    <t>01596370435</t>
  </si>
  <si>
    <t>Macerata</t>
  </si>
  <si>
    <t>Marche</t>
  </si>
  <si>
    <t>Fermo</t>
  </si>
  <si>
    <t>Vicenza</t>
  </si>
  <si>
    <t>LEVEL UP S.R.L.</t>
  </si>
  <si>
    <t>01461980433</t>
  </si>
  <si>
    <t>CYCLICA SRL</t>
  </si>
  <si>
    <t>04660010275</t>
  </si>
  <si>
    <t>Venezia</t>
  </si>
  <si>
    <t>CALZATURIFICIO LUCA SRL</t>
  </si>
  <si>
    <t>01386190449</t>
  </si>
  <si>
    <t>POSTURAL POINT S.R.L.</t>
  </si>
  <si>
    <t>04455900276</t>
  </si>
  <si>
    <t>GALIOTTO S.R.L.</t>
  </si>
  <si>
    <t>00680130242</t>
  </si>
  <si>
    <t>STEPHEN NEW LINE S.R.L.</t>
  </si>
  <si>
    <t>00652040437</t>
  </si>
  <si>
    <t>TACCHIFICIO CAPONI S.R.L.</t>
  </si>
  <si>
    <t>01381520509</t>
  </si>
  <si>
    <t>152000</t>
  </si>
  <si>
    <t>Pisa</t>
  </si>
  <si>
    <t>Toscana</t>
  </si>
  <si>
    <t>SUOLIFICIO CENTROITALIA S.R.L.</t>
  </si>
  <si>
    <t>01424890430</t>
  </si>
  <si>
    <t>152020</t>
  </si>
  <si>
    <t>Macerata</t>
  </si>
  <si>
    <t>Marche</t>
  </si>
  <si>
    <t>EMANUELA CARUSO CAPRI S.R.L.</t>
  </si>
  <si>
    <t>11339051002</t>
  </si>
  <si>
    <t>152010</t>
  </si>
  <si>
    <t>Napoli</t>
  </si>
  <si>
    <t>Campania</t>
  </si>
  <si>
    <t>Firenze</t>
  </si>
  <si>
    <t>151209</t>
  </si>
  <si>
    <t>BRUNO'S SHOES S.R.L.</t>
  </si>
  <si>
    <t>03188510485</t>
  </si>
  <si>
    <t>CALZATURE TREBI S.R.L.</t>
  </si>
  <si>
    <t>01736840230</t>
  </si>
  <si>
    <t>Verona</t>
  </si>
  <si>
    <t>Veneto</t>
  </si>
  <si>
    <t>151100</t>
  </si>
  <si>
    <t>ARRON S.R.L.</t>
  </si>
  <si>
    <t>01412240515</t>
  </si>
  <si>
    <t>Arezzo</t>
  </si>
  <si>
    <t>Milano</t>
  </si>
  <si>
    <t>Lombardia</t>
  </si>
  <si>
    <t>FRESCO PELLI S.R.L.</t>
  </si>
  <si>
    <t>00828910158</t>
  </si>
  <si>
    <t>HERMES S.R.L.</t>
  </si>
  <si>
    <t>00948880505</t>
  </si>
  <si>
    <t>LABEL MARK S.R.L.</t>
  </si>
  <si>
    <t>03897610238</t>
  </si>
  <si>
    <t>152020</t>
  </si>
  <si>
    <t>Marche</t>
  </si>
  <si>
    <t>CONCERIA NEW ENTRY S.R.L.</t>
  </si>
  <si>
    <t>02008710507</t>
  </si>
  <si>
    <t>151100</t>
  </si>
  <si>
    <t>Pisa</t>
  </si>
  <si>
    <t>Toscana</t>
  </si>
  <si>
    <t>151209</t>
  </si>
  <si>
    <t>SUOLIFICIO PRISMA S.R.L.</t>
  </si>
  <si>
    <t>04418430486</t>
  </si>
  <si>
    <t>MARPELL S.R.L.</t>
  </si>
  <si>
    <t>02598820237</t>
  </si>
  <si>
    <t>Verona</t>
  </si>
  <si>
    <t>Veneto</t>
  </si>
  <si>
    <t>151200</t>
  </si>
  <si>
    <t>Fermo</t>
  </si>
  <si>
    <t>152010</t>
  </si>
  <si>
    <t>CARTOPEL S.R.L.</t>
  </si>
  <si>
    <t>01277270169</t>
  </si>
  <si>
    <t>Bergamo</t>
  </si>
  <si>
    <t>Lombardia</t>
  </si>
  <si>
    <t>EVOLUTION BELT S.R.L.</t>
  </si>
  <si>
    <t>02703790812</t>
  </si>
  <si>
    <t>Trapani</t>
  </si>
  <si>
    <t>Sicilia</t>
  </si>
  <si>
    <t>STUDIO B+ARS S.R.L.</t>
  </si>
  <si>
    <t>05234950284</t>
  </si>
  <si>
    <t>Padova</t>
  </si>
  <si>
    <t>360 SRL</t>
  </si>
  <si>
    <t>04633110236</t>
  </si>
  <si>
    <t>GADIS S.R.L.</t>
  </si>
  <si>
    <t>01909720441</t>
  </si>
  <si>
    <t>152020</t>
  </si>
  <si>
    <t>Fermo</t>
  </si>
  <si>
    <t>Marche</t>
  </si>
  <si>
    <t>BE - PLAST - S.R.L.</t>
  </si>
  <si>
    <t>00689820157</t>
  </si>
  <si>
    <t>152010</t>
  </si>
  <si>
    <t>Milano</t>
  </si>
  <si>
    <t>Lombardia</t>
  </si>
  <si>
    <t>CALZATURIFICIO TRE CIME S.R.L.</t>
  </si>
  <si>
    <t>05326410262</t>
  </si>
  <si>
    <t>Treviso</t>
  </si>
  <si>
    <t>Veneto</t>
  </si>
  <si>
    <t>151209</t>
  </si>
  <si>
    <t>Napoli</t>
  </si>
  <si>
    <t>Campania</t>
  </si>
  <si>
    <t>IL SANDALO S.R.L.</t>
  </si>
  <si>
    <t>08482401216</t>
  </si>
  <si>
    <t>LEAMO SRL</t>
  </si>
  <si>
    <t>01994920435</t>
  </si>
  <si>
    <t>PELLEROSSA S.R.L.</t>
  </si>
  <si>
    <t>03761850365</t>
  </si>
  <si>
    <t>Modena</t>
  </si>
  <si>
    <t>Emilia-Romagna</t>
  </si>
  <si>
    <t>PRONTO SPORT S.R.L.</t>
  </si>
  <si>
    <t>07892970158</t>
  </si>
  <si>
    <t>EUROSAB S.R.L.</t>
  </si>
  <si>
    <t>03578880282</t>
  </si>
  <si>
    <t>152000</t>
  </si>
  <si>
    <t>Padova</t>
  </si>
  <si>
    <t>COCCIA &amp; CO S.R.L.</t>
  </si>
  <si>
    <t>01504650431</t>
  </si>
  <si>
    <t>Macerata</t>
  </si>
  <si>
    <t>151209</t>
  </si>
  <si>
    <t>Veneto</t>
  </si>
  <si>
    <t>152010</t>
  </si>
  <si>
    <t>Macerata</t>
  </si>
  <si>
    <t>Marche</t>
  </si>
  <si>
    <t>151100</t>
  </si>
  <si>
    <t>152020</t>
  </si>
  <si>
    <t>Toscana</t>
  </si>
  <si>
    <t>CALZATURIFICIO S.G. SRL</t>
  </si>
  <si>
    <t>01181290444</t>
  </si>
  <si>
    <t>Fermo</t>
  </si>
  <si>
    <t>SOLETTIFICIO EMME3 SRL</t>
  </si>
  <si>
    <t>01110160437</t>
  </si>
  <si>
    <t>D'SOCKA SOCIETA' COOPERATIVA</t>
  </si>
  <si>
    <t>01027500071</t>
  </si>
  <si>
    <t>Valle d'Aosta/Vallée d'Aoste</t>
  </si>
  <si>
    <t>B.F.B. S.R.L.</t>
  </si>
  <si>
    <t>00567190988</t>
  </si>
  <si>
    <t>Brescia</t>
  </si>
  <si>
    <t>Lombardia</t>
  </si>
  <si>
    <t>PASINI PIER MAURIZIO S.R.L.</t>
  </si>
  <si>
    <t>02223360062</t>
  </si>
  <si>
    <t>Alessandria</t>
  </si>
  <si>
    <t>Piemonte</t>
  </si>
  <si>
    <t>PRESSO PELL SRL</t>
  </si>
  <si>
    <t>01752300242</t>
  </si>
  <si>
    <t>Vicenza</t>
  </si>
  <si>
    <t>SOLMODA S.R.L.</t>
  </si>
  <si>
    <t>01412230037</t>
  </si>
  <si>
    <t>Novara</t>
  </si>
  <si>
    <t>M.A.G.A. - S.R.L.</t>
  </si>
  <si>
    <t>02136540248</t>
  </si>
  <si>
    <t>PROCALZ S.R.L.</t>
  </si>
  <si>
    <t>08113230729</t>
  </si>
  <si>
    <t>Barletta-Andria-Trani</t>
  </si>
  <si>
    <t>Puglia</t>
  </si>
  <si>
    <t>CITTIS S.R.L.</t>
  </si>
  <si>
    <t>02213260447</t>
  </si>
  <si>
    <t>PELLETTERIE RAFFA S.R.L.</t>
  </si>
  <si>
    <t>02361450469</t>
  </si>
  <si>
    <t>Lucca</t>
  </si>
  <si>
    <t>CALZATURIFICIO GIORGIO IACHINI S.R.L.S.</t>
  </si>
  <si>
    <t>02293200446</t>
  </si>
  <si>
    <t>152010</t>
  </si>
  <si>
    <t>Napoli</t>
  </si>
  <si>
    <t>Campania</t>
  </si>
  <si>
    <t>MARTINA B S.R.L.</t>
  </si>
  <si>
    <t>07788320724</t>
  </si>
  <si>
    <t>Bari</t>
  </si>
  <si>
    <t>Puglia</t>
  </si>
  <si>
    <t>ARENA LAB SOCIETA' A RESPONSABILITA' LIMITATA</t>
  </si>
  <si>
    <t>02770050645</t>
  </si>
  <si>
    <t>151100</t>
  </si>
  <si>
    <t>Avellino</t>
  </si>
  <si>
    <t>152020</t>
  </si>
  <si>
    <t>Pisa</t>
  </si>
  <si>
    <t>Toscana</t>
  </si>
  <si>
    <t>DETEXO S.R.L.</t>
  </si>
  <si>
    <t>03331230288</t>
  </si>
  <si>
    <t>151209</t>
  </si>
  <si>
    <t>Padova</t>
  </si>
  <si>
    <t>Veneto</t>
  </si>
  <si>
    <t>EMMEGI S.R.L.</t>
  </si>
  <si>
    <t>04897900280</t>
  </si>
  <si>
    <t>Milano</t>
  </si>
  <si>
    <t>Lombardia</t>
  </si>
  <si>
    <t>MED FONDI S.R.L.</t>
  </si>
  <si>
    <t>02021080433</t>
  </si>
  <si>
    <t>Macerata</t>
  </si>
  <si>
    <t>Marche</t>
  </si>
  <si>
    <t>IL VALICO S.R.L.</t>
  </si>
  <si>
    <t>04056510482</t>
  </si>
  <si>
    <t>MI.CA. LEATHER S.R.L.</t>
  </si>
  <si>
    <t>02673200644</t>
  </si>
  <si>
    <t>VALDAM S.R.L.</t>
  </si>
  <si>
    <t>02203690645</t>
  </si>
  <si>
    <t>CROSS MODEL SRL</t>
  </si>
  <si>
    <t>02228160442</t>
  </si>
  <si>
    <t>Fermo</t>
  </si>
  <si>
    <t>3B S.R.L.</t>
  </si>
  <si>
    <t>02618410548</t>
  </si>
  <si>
    <t>151200</t>
  </si>
  <si>
    <t>Perugia</t>
  </si>
  <si>
    <t>Umbria</t>
  </si>
  <si>
    <t>FAMAC - S.R.L.</t>
  </si>
  <si>
    <t>01958740241</t>
  </si>
  <si>
    <t>Vicenza</t>
  </si>
  <si>
    <t>LAINO INDUSTRY S.R.L.</t>
  </si>
  <si>
    <t>05776621210</t>
  </si>
  <si>
    <t>XANTHIA S.R.L.</t>
  </si>
  <si>
    <t>00759340672</t>
  </si>
  <si>
    <t>Teramo</t>
  </si>
  <si>
    <t>Abruzzo</t>
  </si>
  <si>
    <t>RAGUSO FRANCO S.R.L.</t>
  </si>
  <si>
    <t>02423220736</t>
  </si>
  <si>
    <t>151209</t>
  </si>
  <si>
    <t>Taranto</t>
  </si>
  <si>
    <t>Puglia</t>
  </si>
  <si>
    <t>CINZIA S.R.L.</t>
  </si>
  <si>
    <t>02209390448</t>
  </si>
  <si>
    <t>152020</t>
  </si>
  <si>
    <t>Fermo</t>
  </si>
  <si>
    <t>Marche</t>
  </si>
  <si>
    <t>152010</t>
  </si>
  <si>
    <t>Veneto</t>
  </si>
  <si>
    <t>Lombardia</t>
  </si>
  <si>
    <t>Firenze</t>
  </si>
  <si>
    <t>Toscana</t>
  </si>
  <si>
    <t>ELLE EFFE S.R.L.</t>
  </si>
  <si>
    <t>05315740489</t>
  </si>
  <si>
    <t>PELLETTERIA APPALOOSA S.R.L.</t>
  </si>
  <si>
    <t>04866890488</t>
  </si>
  <si>
    <t>FEDELIS S.R.L.</t>
  </si>
  <si>
    <t>01594990507</t>
  </si>
  <si>
    <t>Pisa</t>
  </si>
  <si>
    <t>Lucca</t>
  </si>
  <si>
    <t>151100</t>
  </si>
  <si>
    <t>PELLETTERIA VG S.R.L.</t>
  </si>
  <si>
    <t>03829800162</t>
  </si>
  <si>
    <t>Brescia</t>
  </si>
  <si>
    <t>GISA S.R.L.</t>
  </si>
  <si>
    <t>01754100434</t>
  </si>
  <si>
    <t>Macerata</t>
  </si>
  <si>
    <t>T EMME 2 S.R.L.</t>
  </si>
  <si>
    <t>02963950270</t>
  </si>
  <si>
    <t>Venezia</t>
  </si>
  <si>
    <t>LUANA SHOES S.R.L.</t>
  </si>
  <si>
    <t>02314340460</t>
  </si>
  <si>
    <t>O.T.M. SRL</t>
  </si>
  <si>
    <t>05892130013</t>
  </si>
  <si>
    <t>Torino</t>
  </si>
  <si>
    <t>Piemonte</t>
  </si>
  <si>
    <t>DELMAR 2000 SRL</t>
  </si>
  <si>
    <t>07644351004</t>
  </si>
  <si>
    <t>Roma</t>
  </si>
  <si>
    <t>Lazio</t>
  </si>
  <si>
    <t>LASER BMC S.R.L.</t>
  </si>
  <si>
    <t>01427240500</t>
  </si>
  <si>
    <t>Toscana</t>
  </si>
  <si>
    <t>151209</t>
  </si>
  <si>
    <t>152010</t>
  </si>
  <si>
    <t>Macerata</t>
  </si>
  <si>
    <t>Marche</t>
  </si>
  <si>
    <t>151200</t>
  </si>
  <si>
    <t>EFFEBI S.R.L.</t>
  </si>
  <si>
    <t>03323560247</t>
  </si>
  <si>
    <t>Vicenza</t>
  </si>
  <si>
    <t>Veneto</t>
  </si>
  <si>
    <t>VIVE LA DIFFERENCE S.R.L.</t>
  </si>
  <si>
    <t>03092690167</t>
  </si>
  <si>
    <t>Bergamo</t>
  </si>
  <si>
    <t>Lombardia</t>
  </si>
  <si>
    <t>RAF SOLUZIONI S.R.L.</t>
  </si>
  <si>
    <t>01744100502</t>
  </si>
  <si>
    <t>Pisa</t>
  </si>
  <si>
    <t>GALA S.R.L.</t>
  </si>
  <si>
    <t>01842900431</t>
  </si>
  <si>
    <t>CALZATURIFICIO ZIVIANI S.R.L.</t>
  </si>
  <si>
    <t>00214050239</t>
  </si>
  <si>
    <t>Verona</t>
  </si>
  <si>
    <t>ROLLY GROUP SRL</t>
  </si>
  <si>
    <t>02034620431</t>
  </si>
  <si>
    <t>Fermo</t>
  </si>
  <si>
    <t>SOALE S.R.L. SEMPLIFICATA UNIPERSONALE</t>
  </si>
  <si>
    <t>04663140756</t>
  </si>
  <si>
    <t>Lecce</t>
  </si>
  <si>
    <t>Puglia</t>
  </si>
  <si>
    <t>SAMUEL - S.R.L.</t>
  </si>
  <si>
    <t>00334900446</t>
  </si>
  <si>
    <t>Campania</t>
  </si>
  <si>
    <t>SIMAR SRL</t>
  </si>
  <si>
    <t>04617540655</t>
  </si>
  <si>
    <t>152010</t>
  </si>
  <si>
    <t>Salerno</t>
  </si>
  <si>
    <t>ER MANIFACTURES S.R.L.</t>
  </si>
  <si>
    <t>08675391216</t>
  </si>
  <si>
    <t>152020</t>
  </si>
  <si>
    <t>Napoli</t>
  </si>
  <si>
    <t>Macerata</t>
  </si>
  <si>
    <t>Marche</t>
  </si>
  <si>
    <t>EFFEGI STYLE S.R.L.</t>
  </si>
  <si>
    <t>00559620232</t>
  </si>
  <si>
    <t>Verona</t>
  </si>
  <si>
    <t>Veneto</t>
  </si>
  <si>
    <t>151209</t>
  </si>
  <si>
    <t>Toscana</t>
  </si>
  <si>
    <t>FERRACUTI &amp; CO S.R.L.</t>
  </si>
  <si>
    <t>01642330441</t>
  </si>
  <si>
    <t>Fermo</t>
  </si>
  <si>
    <t>151100</t>
  </si>
  <si>
    <t>MPM SRL</t>
  </si>
  <si>
    <t>01141350437</t>
  </si>
  <si>
    <t>ACCESSORIO DELLA CALZATURA S.R.L.</t>
  </si>
  <si>
    <t>06865830159</t>
  </si>
  <si>
    <t>Milano</t>
  </si>
  <si>
    <t>Lombardia</t>
  </si>
  <si>
    <t>ESSEPI SRL</t>
  </si>
  <si>
    <t>01996440507</t>
  </si>
  <si>
    <t>Pisa</t>
  </si>
  <si>
    <t>MARPEL S.R.L.</t>
  </si>
  <si>
    <t>08593631214</t>
  </si>
  <si>
    <t>CALZATURIFICIO T.A.G. S.R.L.</t>
  </si>
  <si>
    <t>01542950504</t>
  </si>
  <si>
    <t>TRE-VI - S.R.L.</t>
  </si>
  <si>
    <t>00826870180</t>
  </si>
  <si>
    <t>Pavia</t>
  </si>
  <si>
    <t>MONTEMARIO - S.R.L.</t>
  </si>
  <si>
    <t>00914940473</t>
  </si>
  <si>
    <t>Pistoia</t>
  </si>
  <si>
    <t>PIONEER S.R.L.</t>
  </si>
  <si>
    <t>04285920759</t>
  </si>
  <si>
    <t>Lecce</t>
  </si>
  <si>
    <t>Puglia</t>
  </si>
  <si>
    <t>MODI' SRL</t>
  </si>
  <si>
    <t>01875630442</t>
  </si>
  <si>
    <t>FRANCESCA S.R.L. SOCIET+ UNIPERSONALE</t>
  </si>
  <si>
    <t>03645810122</t>
  </si>
  <si>
    <t>Varese</t>
  </si>
  <si>
    <t>NATURAL LEATHER S.R.L.</t>
  </si>
  <si>
    <t>03623950544</t>
  </si>
  <si>
    <t>Perugia</t>
  </si>
  <si>
    <t>Umbria</t>
  </si>
  <si>
    <t>TACCHIFICIO ANNA S.R.L.</t>
  </si>
  <si>
    <t>01466550504</t>
  </si>
  <si>
    <t>YORK SHOES &amp; BELTS SRL</t>
  </si>
  <si>
    <t>02184120448</t>
  </si>
  <si>
    <t>152010</t>
  </si>
  <si>
    <t>Fermo</t>
  </si>
  <si>
    <t>Marche</t>
  </si>
  <si>
    <t>CALZATURIFICIO CALTAVUTURESE SOCIETA' COOPERATIVA</t>
  </si>
  <si>
    <t>03365030828</t>
  </si>
  <si>
    <t>Palermo</t>
  </si>
  <si>
    <t>Sicilia</t>
  </si>
  <si>
    <t>152020</t>
  </si>
  <si>
    <t>151209</t>
  </si>
  <si>
    <t>Toscana</t>
  </si>
  <si>
    <t>Pavia</t>
  </si>
  <si>
    <t>Lombardia</t>
  </si>
  <si>
    <t>SOLETTIFICIO SIMA S.R.L.</t>
  </si>
  <si>
    <t>01658250442</t>
  </si>
  <si>
    <t>Vicenza</t>
  </si>
  <si>
    <t>Veneto</t>
  </si>
  <si>
    <t>Firenze</t>
  </si>
  <si>
    <t>BLITZ INCISIONI LASER S.R.L.</t>
  </si>
  <si>
    <t>01777150432</t>
  </si>
  <si>
    <t>HAGS ITALIA SRL</t>
  </si>
  <si>
    <t>03553410246</t>
  </si>
  <si>
    <t>L.W.T. ITALIA S.R.L.</t>
  </si>
  <si>
    <t>01657910475</t>
  </si>
  <si>
    <t>Pistoia</t>
  </si>
  <si>
    <t>ARTI MINORI PRODUCTION S.R.L.</t>
  </si>
  <si>
    <t>06112210486</t>
  </si>
  <si>
    <t>SF ITALIA S.R.L.</t>
  </si>
  <si>
    <t>01534160187</t>
  </si>
  <si>
    <t>B.P.M. ACCESSORI SRL SEMPLIFICATA</t>
  </si>
  <si>
    <t>03631170366</t>
  </si>
  <si>
    <t>151209</t>
  </si>
  <si>
    <t>Modena</t>
  </si>
  <si>
    <t>Emilia-Romagna</t>
  </si>
  <si>
    <t>152010</t>
  </si>
  <si>
    <t>Veneto</t>
  </si>
  <si>
    <t>CALZATURIFICIO CAPO NORD S.R.L.</t>
  </si>
  <si>
    <t>01114230392</t>
  </si>
  <si>
    <t>Ravenna</t>
  </si>
  <si>
    <t>TOMAIFICIO POKER S.R.L.</t>
  </si>
  <si>
    <t>02010160444</t>
  </si>
  <si>
    <t>152020</t>
  </si>
  <si>
    <t>Fermo</t>
  </si>
  <si>
    <t>Marche</t>
  </si>
  <si>
    <t>Toscana</t>
  </si>
  <si>
    <t>CARLI 1937 S.R.L.</t>
  </si>
  <si>
    <t>01977800471</t>
  </si>
  <si>
    <t>Pistoia</t>
  </si>
  <si>
    <t>PLASTIMAN S.R.L.</t>
  </si>
  <si>
    <t>01485960221</t>
  </si>
  <si>
    <t>152000</t>
  </si>
  <si>
    <t>Trento</t>
  </si>
  <si>
    <t>Trentino-Alto Adige</t>
  </si>
  <si>
    <t>ORAZI S.R.L.</t>
  </si>
  <si>
    <t>02089980441</t>
  </si>
  <si>
    <t>FREGOLI S.R.L.</t>
  </si>
  <si>
    <t>02777280351</t>
  </si>
  <si>
    <t>Reggio nell'Emilia</t>
  </si>
  <si>
    <t>151100</t>
  </si>
  <si>
    <t>B &amp; S S.R.L.</t>
  </si>
  <si>
    <t>12290981005</t>
  </si>
  <si>
    <t>Roma</t>
  </si>
  <si>
    <t>Lazio</t>
  </si>
  <si>
    <t>PRO PRESS S.R.L.</t>
  </si>
  <si>
    <t>03655520249</t>
  </si>
  <si>
    <t>Vicenza</t>
  </si>
  <si>
    <t>GUARDOLIFICIO MICHETTI ADRIANO S.R.L.</t>
  </si>
  <si>
    <t>02368790446</t>
  </si>
  <si>
    <t>NECLEMI.IT S.R.L.</t>
  </si>
  <si>
    <t>07790870724</t>
  </si>
  <si>
    <t>152020</t>
  </si>
  <si>
    <t>Barletta-Andria-Trani</t>
  </si>
  <si>
    <t>Puglia</t>
  </si>
  <si>
    <t>151100</t>
  </si>
  <si>
    <t>152010</t>
  </si>
  <si>
    <t>Veneto</t>
  </si>
  <si>
    <t>Fermo</t>
  </si>
  <si>
    <t>Marche</t>
  </si>
  <si>
    <t>OKILUX S.R.L.</t>
  </si>
  <si>
    <t>02721640395</t>
  </si>
  <si>
    <t>Ravenna</t>
  </si>
  <si>
    <t>Emilia-Romagna</t>
  </si>
  <si>
    <t>GAM S.R.L.</t>
  </si>
  <si>
    <t>01043820479</t>
  </si>
  <si>
    <t>Pistoia</t>
  </si>
  <si>
    <t>Toscana</t>
  </si>
  <si>
    <t>ISOSOLES S.R.L.</t>
  </si>
  <si>
    <t>01207030444</t>
  </si>
  <si>
    <t>CALZATURIFICIO GIMAR - S.R.L.</t>
  </si>
  <si>
    <t>01562960508</t>
  </si>
  <si>
    <t>Pisa</t>
  </si>
  <si>
    <t>151209</t>
  </si>
  <si>
    <t>Lombardia</t>
  </si>
  <si>
    <t>NEW LEATHER TECNOLOGY SRL</t>
  </si>
  <si>
    <t>04096650249</t>
  </si>
  <si>
    <t>Vicenza</t>
  </si>
  <si>
    <t>LAVORAZIONE ARTIGIANA DEL CUOIO S.R.L.</t>
  </si>
  <si>
    <t>08006220159</t>
  </si>
  <si>
    <t>151200</t>
  </si>
  <si>
    <t>Milano</t>
  </si>
  <si>
    <t>HOPE SRL</t>
  </si>
  <si>
    <t>02332480447</t>
  </si>
  <si>
    <t>ALIENINA SOCIETA' A RESPONSABILITA' LIMITATA SEMPLIFICATA</t>
  </si>
  <si>
    <t>03291230542</t>
  </si>
  <si>
    <t>Perugia</t>
  </si>
  <si>
    <t>Umbria</t>
  </si>
  <si>
    <t>FABI.SAR. S.R.L.</t>
  </si>
  <si>
    <t>01045200449</t>
  </si>
  <si>
    <t>LAB 20.3 SOCIETA'COOPERATIVA</t>
  </si>
  <si>
    <t>09470181216</t>
  </si>
  <si>
    <t>151209</t>
  </si>
  <si>
    <t>Napoli</t>
  </si>
  <si>
    <t>Campania</t>
  </si>
  <si>
    <t>152010</t>
  </si>
  <si>
    <t>Macerata</t>
  </si>
  <si>
    <t>Marche</t>
  </si>
  <si>
    <t>152020</t>
  </si>
  <si>
    <t>ARGOS TANNERY S.R.L.</t>
  </si>
  <si>
    <t>01799780505</t>
  </si>
  <si>
    <t>151100</t>
  </si>
  <si>
    <t>Pisa</t>
  </si>
  <si>
    <t>Toscana</t>
  </si>
  <si>
    <t>MARCO SOTTOTACCHI SRL</t>
  </si>
  <si>
    <t>01957700436</t>
  </si>
  <si>
    <t>Fermo</t>
  </si>
  <si>
    <t>IL FORO S.R.L.</t>
  </si>
  <si>
    <t>01133740504</t>
  </si>
  <si>
    <t>GIULY AV SRL</t>
  </si>
  <si>
    <t>02629830460</t>
  </si>
  <si>
    <t>Lucca</t>
  </si>
  <si>
    <t>CIPOLLETTI S.R.L.</t>
  </si>
  <si>
    <t>01685610444</t>
  </si>
  <si>
    <t>C.R.B. - CALZATURIFICI RIUNITI BUSTESI - S.R.L.</t>
  </si>
  <si>
    <t>01235380126</t>
  </si>
  <si>
    <t>Varese</t>
  </si>
  <si>
    <t>Lombardia</t>
  </si>
  <si>
    <t>TACCHIFICIO STELLA SRL</t>
  </si>
  <si>
    <t>01746300449</t>
  </si>
  <si>
    <t>151209</t>
  </si>
  <si>
    <t>Firenze</t>
  </si>
  <si>
    <t>Toscana</t>
  </si>
  <si>
    <t>151100</t>
  </si>
  <si>
    <t>152010</t>
  </si>
  <si>
    <t>151200</t>
  </si>
  <si>
    <t>Arezzo</t>
  </si>
  <si>
    <t>LADY MARY S.R.L.</t>
  </si>
  <si>
    <t>01990560441</t>
  </si>
  <si>
    <t>Fermo</t>
  </si>
  <si>
    <t>Marche</t>
  </si>
  <si>
    <t>MARCO BUGGIANI S.R.L.</t>
  </si>
  <si>
    <t>04664100486</t>
  </si>
  <si>
    <t>Vicenza</t>
  </si>
  <si>
    <t>Veneto</t>
  </si>
  <si>
    <t>Emilia-Romagna</t>
  </si>
  <si>
    <t>MARINI S.R.L.</t>
  </si>
  <si>
    <t>02109170510</t>
  </si>
  <si>
    <t>JCP SOCIETA' A RESPONSABILITA' LIMITATA SEMPLIFICATA</t>
  </si>
  <si>
    <t>06850040483</t>
  </si>
  <si>
    <t>Rimini</t>
  </si>
  <si>
    <t>VIVA PELLE - SOCIETA' A RESPONSABILITA' LIMITATA</t>
  </si>
  <si>
    <t>01675570400</t>
  </si>
  <si>
    <t>ETIKOS S.R.L.</t>
  </si>
  <si>
    <t>03966000238</t>
  </si>
  <si>
    <t>ALBERTO FASCIANI S.R.L.</t>
  </si>
  <si>
    <t>01974020446</t>
  </si>
  <si>
    <t>152010</t>
  </si>
  <si>
    <t>Fermo</t>
  </si>
  <si>
    <t>Marche</t>
  </si>
  <si>
    <t>151100</t>
  </si>
  <si>
    <t>Avellino</t>
  </si>
  <si>
    <t>Campania</t>
  </si>
  <si>
    <t>FULL SKIN S.R.L.</t>
  </si>
  <si>
    <t>02291560643</t>
  </si>
  <si>
    <t>Emilia-Romagna</t>
  </si>
  <si>
    <t>KARMAN S.R.L. UNIPERSONALE</t>
  </si>
  <si>
    <t>02872940248</t>
  </si>
  <si>
    <t>Vicenza</t>
  </si>
  <si>
    <t>Veneto</t>
  </si>
  <si>
    <t>EUROSAN S.R.L.</t>
  </si>
  <si>
    <t>01748970355</t>
  </si>
  <si>
    <t>Reggio nell'Emilia</t>
  </si>
  <si>
    <t>MHS S.R.L.</t>
  </si>
  <si>
    <t>03366260242</t>
  </si>
  <si>
    <t>152010</t>
  </si>
  <si>
    <t>Vicenza</t>
  </si>
  <si>
    <t>Veneto</t>
  </si>
  <si>
    <t>152020</t>
  </si>
  <si>
    <t>Napoli</t>
  </si>
  <si>
    <t>Campania</t>
  </si>
  <si>
    <t>Toscana</t>
  </si>
  <si>
    <t>GAETANO BONINO S.R.L.</t>
  </si>
  <si>
    <t>08742991212</t>
  </si>
  <si>
    <t>151209</t>
  </si>
  <si>
    <t>ATLANTIS LEATHERWORKS S.R.L.</t>
  </si>
  <si>
    <t>06908160481</t>
  </si>
  <si>
    <t>Firenze</t>
  </si>
  <si>
    <t>KLAUS S.R.L.</t>
  </si>
  <si>
    <t>03752580278</t>
  </si>
  <si>
    <t>Venezia</t>
  </si>
  <si>
    <t>Lombardia</t>
  </si>
  <si>
    <t>PIA LOVE S.R.L.</t>
  </si>
  <si>
    <t>07920141210</t>
  </si>
  <si>
    <t>FAUSTO SANTINI - S.R.L.</t>
  </si>
  <si>
    <t>01299331007</t>
  </si>
  <si>
    <t>Roma</t>
  </si>
  <si>
    <t>Lazio</t>
  </si>
  <si>
    <t>MIXER S.R.L.</t>
  </si>
  <si>
    <t>03588180723</t>
  </si>
  <si>
    <t>Barletta-Andria-Trani</t>
  </si>
  <si>
    <t>Puglia</t>
  </si>
  <si>
    <t>SALUBER SRL</t>
  </si>
  <si>
    <t>02867470243</t>
  </si>
  <si>
    <t>PAFIMURI CALZATURE S.R.L.</t>
  </si>
  <si>
    <t>04340790759</t>
  </si>
  <si>
    <t>Lecce</t>
  </si>
  <si>
    <t>EUPHORIA SRL</t>
  </si>
  <si>
    <t>03394340834</t>
  </si>
  <si>
    <t>Messina</t>
  </si>
  <si>
    <t>Sicilia</t>
  </si>
  <si>
    <t>BAGOLO S.R.L. SEMPLIFICATA</t>
  </si>
  <si>
    <t>03627800133</t>
  </si>
  <si>
    <t>Como</t>
  </si>
  <si>
    <t>151209</t>
  </si>
  <si>
    <t>NEW LADY PELLETTERIA S.R.L.</t>
  </si>
  <si>
    <t>01677610436</t>
  </si>
  <si>
    <t>Macerata</t>
  </si>
  <si>
    <t>Marche</t>
  </si>
  <si>
    <t>ARM S.R.L.</t>
  </si>
  <si>
    <t>03351280544</t>
  </si>
  <si>
    <t>Perugia</t>
  </si>
  <si>
    <t>Umbria</t>
  </si>
  <si>
    <t>ORTHOPANT SRL</t>
  </si>
  <si>
    <t>02952000210</t>
  </si>
  <si>
    <t>152010</t>
  </si>
  <si>
    <t>Bolzano/Bozen</t>
  </si>
  <si>
    <t>Trentino-Alto Adige</t>
  </si>
  <si>
    <t>Napoli</t>
  </si>
  <si>
    <t>Campania</t>
  </si>
  <si>
    <t>LE MIE BORSE S.R.L.</t>
  </si>
  <si>
    <t>08500691210</t>
  </si>
  <si>
    <t>NUOVA CERVINIO S.R.L.</t>
  </si>
  <si>
    <t>00904990439</t>
  </si>
  <si>
    <t>LEATHER CROWN S.R.L.</t>
  </si>
  <si>
    <t>01628030197</t>
  </si>
  <si>
    <t>Venezia</t>
  </si>
  <si>
    <t>Veneto</t>
  </si>
  <si>
    <t>151100</t>
  </si>
  <si>
    <t>LEDART S.R.L.</t>
  </si>
  <si>
    <t>03107020244</t>
  </si>
  <si>
    <t>Vicenza</t>
  </si>
  <si>
    <t>PASOMAR S.R.L.</t>
  </si>
  <si>
    <t>01982910679</t>
  </si>
  <si>
    <t>Teramo</t>
  </si>
  <si>
    <t>Abruzzo</t>
  </si>
  <si>
    <t>ACG CALZATURE SOCIETA' A RESPONSABILITA' LIMITATA SEMPLIFICATA</t>
  </si>
  <si>
    <t>04825440755</t>
  </si>
  <si>
    <t>152010</t>
  </si>
  <si>
    <t>Lecce</t>
  </si>
  <si>
    <t>Puglia</t>
  </si>
  <si>
    <t>151209</t>
  </si>
  <si>
    <t>FERLEA SOCIETA' A RESPONSABILITA' LIMITATA SEMPLIFICATA</t>
  </si>
  <si>
    <t>04314660616</t>
  </si>
  <si>
    <t>Caserta</t>
  </si>
  <si>
    <t>Campania</t>
  </si>
  <si>
    <t>CALZATURIFICIO 20.08 SOCIETA' COOPERATIVA A R.L.</t>
  </si>
  <si>
    <t>02342090418</t>
  </si>
  <si>
    <t>Pesaro Urbino</t>
  </si>
  <si>
    <t>Marche</t>
  </si>
  <si>
    <t>Lombardia</t>
  </si>
  <si>
    <t>TULSI S.R.L.</t>
  </si>
  <si>
    <t>04253310405</t>
  </si>
  <si>
    <t>Rimini</t>
  </si>
  <si>
    <t>Emilia-Romagna</t>
  </si>
  <si>
    <t>152020</t>
  </si>
  <si>
    <t>Napoli</t>
  </si>
  <si>
    <t>Fermo</t>
  </si>
  <si>
    <t>I VERDE S.R.L.</t>
  </si>
  <si>
    <t>07853930639</t>
  </si>
  <si>
    <t>Veneto</t>
  </si>
  <si>
    <t>SM PRODUCTION S.R.L. UNIPERSONALE</t>
  </si>
  <si>
    <t>04295130613</t>
  </si>
  <si>
    <t>CALZATURIFICIO PRIMITEMPI S.R.L.</t>
  </si>
  <si>
    <t>02455260444</t>
  </si>
  <si>
    <t>IMPUT SHOES SOCIETA' A RESPONSABILITA' LIMITATA SEMPLIFICATA</t>
  </si>
  <si>
    <t>04800240261</t>
  </si>
  <si>
    <t>Treviso</t>
  </si>
  <si>
    <t>CORAME IMMOBILIARE S.R.L.</t>
  </si>
  <si>
    <t>02151630965</t>
  </si>
  <si>
    <t>Monza e della Brianza</t>
  </si>
  <si>
    <t>152010</t>
  </si>
  <si>
    <t>Campania</t>
  </si>
  <si>
    <t>LEXIAPEL S.R.L.</t>
  </si>
  <si>
    <t>00124950031</t>
  </si>
  <si>
    <t>151200</t>
  </si>
  <si>
    <t>Novara</t>
  </si>
  <si>
    <t>Piemonte</t>
  </si>
  <si>
    <t>151209</t>
  </si>
  <si>
    <t>Marche</t>
  </si>
  <si>
    <t>FRECCIA BL LEATHER S.R.L.</t>
  </si>
  <si>
    <t>02878290648</t>
  </si>
  <si>
    <t>151100</t>
  </si>
  <si>
    <t>Avellino</t>
  </si>
  <si>
    <t>DUCA D'ESTE S.R.L.</t>
  </si>
  <si>
    <t>02594890242</t>
  </si>
  <si>
    <t>Vicenza</t>
  </si>
  <si>
    <t>Veneto</t>
  </si>
  <si>
    <t>Fermo</t>
  </si>
  <si>
    <t>STYL GRAND S.R.L.</t>
  </si>
  <si>
    <t>03275180267</t>
  </si>
  <si>
    <t>Treviso</t>
  </si>
  <si>
    <t>PRATIKA CALZATURE SOCIETA' COOPERATIVA</t>
  </si>
  <si>
    <t>01580070447</t>
  </si>
  <si>
    <t>CHICLITIC S.R.L.</t>
  </si>
  <si>
    <t>04483980282</t>
  </si>
  <si>
    <t>Padova</t>
  </si>
  <si>
    <t>Emilia-Romagna</t>
  </si>
  <si>
    <t>151209</t>
  </si>
  <si>
    <t>Milano</t>
  </si>
  <si>
    <t>Lombardia</t>
  </si>
  <si>
    <t>Marche</t>
  </si>
  <si>
    <t>VALIGIE CAMPIONARIO S.R.L.</t>
  </si>
  <si>
    <t>05447810960</t>
  </si>
  <si>
    <t>152010</t>
  </si>
  <si>
    <t>VENTESIMA STRADA S.R.L.</t>
  </si>
  <si>
    <t>04419370269</t>
  </si>
  <si>
    <t>Treviso</t>
  </si>
  <si>
    <t>Veneto</t>
  </si>
  <si>
    <t>151200</t>
  </si>
  <si>
    <t>SEASON BELT S.R.L.</t>
  </si>
  <si>
    <t>03355190160</t>
  </si>
  <si>
    <t>Bergamo</t>
  </si>
  <si>
    <t>CUOIO DI MODENA SRL</t>
  </si>
  <si>
    <t>04022400362</t>
  </si>
  <si>
    <t>Modena</t>
  </si>
  <si>
    <t>DRESSED S.R.L.</t>
  </si>
  <si>
    <t>04353450234</t>
  </si>
  <si>
    <t>Verona</t>
  </si>
  <si>
    <t>RISORSE FUTURE SRL</t>
  </si>
  <si>
    <t>02182050449</t>
  </si>
  <si>
    <t>Fermo</t>
  </si>
  <si>
    <t>ITALIAN DESIGN SRL</t>
  </si>
  <si>
    <t>02787090303</t>
  </si>
  <si>
    <t>Udine</t>
  </si>
  <si>
    <t>Friuli-Venezia Giulia</t>
  </si>
  <si>
    <t>WILD HOG SRL</t>
  </si>
  <si>
    <t>02784530350</t>
  </si>
  <si>
    <t>Reggio nell'Emilia</t>
  </si>
  <si>
    <t>SCALABRINI IVAN &amp; DENIS SRL</t>
  </si>
  <si>
    <t>00321890352</t>
  </si>
  <si>
    <t>152010</t>
  </si>
  <si>
    <t>151100</t>
  </si>
  <si>
    <t>Puglia</t>
  </si>
  <si>
    <t>TEAM FORM SRL</t>
  </si>
  <si>
    <t>03024070264</t>
  </si>
  <si>
    <t>Treviso</t>
  </si>
  <si>
    <t>Veneto</t>
  </si>
  <si>
    <t>ALEX SRLS</t>
  </si>
  <si>
    <t>02015770437</t>
  </si>
  <si>
    <t>Macerata</t>
  </si>
  <si>
    <t>Marche</t>
  </si>
  <si>
    <t>152020</t>
  </si>
  <si>
    <t>SINTESI S.R.L.</t>
  </si>
  <si>
    <t>01929570677</t>
  </si>
  <si>
    <t>Teramo</t>
  </si>
  <si>
    <t>Abruzzo</t>
  </si>
  <si>
    <t>BAGATTO SRL</t>
  </si>
  <si>
    <t>02012140444</t>
  </si>
  <si>
    <t>Fermo</t>
  </si>
  <si>
    <t>Pisa</t>
  </si>
  <si>
    <t>Toscana</t>
  </si>
  <si>
    <t>ENRICO VERNIZZI S.R.L.</t>
  </si>
  <si>
    <t>01515120341</t>
  </si>
  <si>
    <t>151200</t>
  </si>
  <si>
    <t>Parma</t>
  </si>
  <si>
    <t>Emilia-Romagna</t>
  </si>
  <si>
    <t>RIFINIZIONI DAVID SOCIETA' A RESPONSABILITA' LIMITATA SEMPLIFICAT A</t>
  </si>
  <si>
    <t>02287150508</t>
  </si>
  <si>
    <t>BEATRICE GROUP S.R.L.</t>
  </si>
  <si>
    <t>06149720721</t>
  </si>
  <si>
    <t>Bari</t>
  </si>
  <si>
    <t>152020</t>
  </si>
  <si>
    <t>151100</t>
  </si>
  <si>
    <t>Marche</t>
  </si>
  <si>
    <t>Macerata</t>
  </si>
  <si>
    <t>SUOLIFICIO ELISA SRL</t>
  </si>
  <si>
    <t>03933840989</t>
  </si>
  <si>
    <t>Brescia</t>
  </si>
  <si>
    <t>Lombardia</t>
  </si>
  <si>
    <t>151209</t>
  </si>
  <si>
    <t>BEAR S.R.L.</t>
  </si>
  <si>
    <t>04750670269</t>
  </si>
  <si>
    <t>152010</t>
  </si>
  <si>
    <t>Treviso</t>
  </si>
  <si>
    <t>Veneto</t>
  </si>
  <si>
    <t>CALZATURIFICIO FRANCO CIMADAMORE S.R.L.</t>
  </si>
  <si>
    <t>01360220444</t>
  </si>
  <si>
    <t>Fermo</t>
  </si>
  <si>
    <t>Pisa</t>
  </si>
  <si>
    <t>Toscana</t>
  </si>
  <si>
    <t>G.D. LEATHER SRL</t>
  </si>
  <si>
    <t>02142000500</t>
  </si>
  <si>
    <t>REGENESI S.R.L.</t>
  </si>
  <si>
    <t>02853631204</t>
  </si>
  <si>
    <t>Bologna</t>
  </si>
  <si>
    <t>Emilia-Romagna</t>
  </si>
  <si>
    <t>HI-TECH LUXURY LAB S.R.L.</t>
  </si>
  <si>
    <t>02004970436</t>
  </si>
  <si>
    <t>Pistoia</t>
  </si>
  <si>
    <t>VD S.R.L.</t>
  </si>
  <si>
    <t>03884201207</t>
  </si>
  <si>
    <t>BRIGITTE ITALIA S.R.L.</t>
  </si>
  <si>
    <t>00325020436</t>
  </si>
  <si>
    <t>Barletta-Andria-Trani</t>
  </si>
  <si>
    <t>Puglia</t>
  </si>
  <si>
    <t>MEXIS SOCIETA' COOPERATIVA SOCIALE</t>
  </si>
  <si>
    <t>02301290975</t>
  </si>
  <si>
    <t>CALZATURIFICIO EVAN GARD S.R.L.</t>
  </si>
  <si>
    <t>06542230724</t>
  </si>
  <si>
    <t>CREAZIONI ESCLUSIVE S.R.L.</t>
  </si>
  <si>
    <t>08879880964</t>
  </si>
  <si>
    <t>Milano</t>
  </si>
  <si>
    <t>ARAVEC SRL</t>
  </si>
  <si>
    <t>02211610262</t>
  </si>
  <si>
    <t>152020</t>
  </si>
  <si>
    <t>Treviso</t>
  </si>
  <si>
    <t>Veneto</t>
  </si>
  <si>
    <t>Napoli</t>
  </si>
  <si>
    <t>Campania</t>
  </si>
  <si>
    <t>152010</t>
  </si>
  <si>
    <t>Lombardia</t>
  </si>
  <si>
    <t>Fermo</t>
  </si>
  <si>
    <t>Marche</t>
  </si>
  <si>
    <t>151100</t>
  </si>
  <si>
    <t>DI FILIPPO ITALIANA PELLETTERIE SOCIETA' A RESPONSABILITA' LIMITATA, IN FORMA ABBREVIATA DI FILIPPO ITALIANA PELLETTERIE S.R.L.</t>
  </si>
  <si>
    <t>01722370671</t>
  </si>
  <si>
    <t>151209</t>
  </si>
  <si>
    <t>Teramo</t>
  </si>
  <si>
    <t>Abruzzo</t>
  </si>
  <si>
    <t>Emilia-Romagna</t>
  </si>
  <si>
    <t>DAMSCO S.R.L.</t>
  </si>
  <si>
    <t>01517250120</t>
  </si>
  <si>
    <t>Varese</t>
  </si>
  <si>
    <t>Toscana</t>
  </si>
  <si>
    <t>LASER FASHION.IT SRL</t>
  </si>
  <si>
    <t>02927460648</t>
  </si>
  <si>
    <t>Avellino</t>
  </si>
  <si>
    <t>WOOWE BRAND S.R.L.</t>
  </si>
  <si>
    <t>02909100345</t>
  </si>
  <si>
    <t>Parma</t>
  </si>
  <si>
    <t>DI CHIARA ROSA S.R.L.</t>
  </si>
  <si>
    <t>01065600445</t>
  </si>
  <si>
    <t>LASERTEK SRL</t>
  </si>
  <si>
    <t>02197470509</t>
  </si>
  <si>
    <t>Pisa</t>
  </si>
  <si>
    <t>GUARDOLIFICIO CAMPANO S.R.L.</t>
  </si>
  <si>
    <t>08207681217</t>
  </si>
  <si>
    <t>LEATHER CENTER S.R.L.</t>
  </si>
  <si>
    <t>13599161000</t>
  </si>
  <si>
    <t>151209</t>
  </si>
  <si>
    <t>Teramo</t>
  </si>
  <si>
    <t>Abruzzo</t>
  </si>
  <si>
    <t>152010</t>
  </si>
  <si>
    <t>Fermo</t>
  </si>
  <si>
    <t>Marche</t>
  </si>
  <si>
    <t>151100</t>
  </si>
  <si>
    <t>CELLERINI FLORENCE SOCIETA' A RESPONSABILITA' LIMITATA SEMPLIFICA TA</t>
  </si>
  <si>
    <t>06815860488</t>
  </si>
  <si>
    <t>Firenze</t>
  </si>
  <si>
    <t>Toscana</t>
  </si>
  <si>
    <t>GALLO SOCIETA' A RESPONSABILITA' LIMITATA SEMPLIFICATA</t>
  </si>
  <si>
    <t>03647700040</t>
  </si>
  <si>
    <t>Cuneo</t>
  </si>
  <si>
    <t>Piemonte</t>
  </si>
  <si>
    <t>Vicenza</t>
  </si>
  <si>
    <t>Veneto</t>
  </si>
  <si>
    <t>DE ALMA S.R.L.</t>
  </si>
  <si>
    <t>04238980249</t>
  </si>
  <si>
    <t>Lombardia</t>
  </si>
  <si>
    <t>TEKNOMODA S.R.L.</t>
  </si>
  <si>
    <t>02173470507</t>
  </si>
  <si>
    <t>Pisa</t>
  </si>
  <si>
    <t>VIALE CAVOUR S.R.L. SEMPLIFICATA</t>
  </si>
  <si>
    <t>02243880446</t>
  </si>
  <si>
    <t>ALISPORT S.R.L.</t>
  </si>
  <si>
    <t>04342910264</t>
  </si>
  <si>
    <t>Treviso</t>
  </si>
  <si>
    <t>BOMA SOCIETA' A RESPONSABILITA' LIMITATA SEMPLIFICATA</t>
  </si>
  <si>
    <t>02003740434</t>
  </si>
  <si>
    <t>Macerata</t>
  </si>
  <si>
    <t>VEROVERDE SRL</t>
  </si>
  <si>
    <t>10209230969</t>
  </si>
  <si>
    <t>Milano</t>
  </si>
  <si>
    <t>151209</t>
  </si>
  <si>
    <t>Campania</t>
  </si>
  <si>
    <t>152010</t>
  </si>
  <si>
    <t>PELLETTERIA SABA'S SRL</t>
  </si>
  <si>
    <t>02246140186</t>
  </si>
  <si>
    <t>Pavia</t>
  </si>
  <si>
    <t>Lombardia</t>
  </si>
  <si>
    <t>www.pelletteriasabas.it www.amazon.it www.ventis.it</t>
  </si>
  <si>
    <t>IOSONO S.R.L.</t>
  </si>
  <si>
    <t>02414660403</t>
  </si>
  <si>
    <t>Forlì-Cesena</t>
  </si>
  <si>
    <t>Emilia-Romagna</t>
  </si>
  <si>
    <t>FDM DESIGNS SOCIETA' A RESPONSABILITA' LIMITATA SEMPLIFICATA</t>
  </si>
  <si>
    <t>05084950657</t>
  </si>
  <si>
    <t>Salerno</t>
  </si>
  <si>
    <t>COMANCHEROS GROUP S.R.L.</t>
  </si>
  <si>
    <t>00863320248</t>
  </si>
  <si>
    <t>151100</t>
  </si>
  <si>
    <t>Vicenza</t>
  </si>
  <si>
    <t>Veneto</t>
  </si>
  <si>
    <t>PLUS S.R.L.</t>
  </si>
  <si>
    <t>05240200286</t>
  </si>
  <si>
    <t>Padova</t>
  </si>
  <si>
    <t>COVID 19 S.R.L.</t>
  </si>
  <si>
    <t>04487430615</t>
  </si>
  <si>
    <t>Caserta</t>
  </si>
  <si>
    <t>PISAN PELL S.R.L.</t>
  </si>
  <si>
    <t>01701310649</t>
  </si>
  <si>
    <t>Avellino</t>
  </si>
  <si>
    <t>LEATHER BIS S.R.L.</t>
  </si>
  <si>
    <t>06548450482</t>
  </si>
  <si>
    <t>151209</t>
  </si>
  <si>
    <t>Firenze</t>
  </si>
  <si>
    <t>Toscana</t>
  </si>
  <si>
    <t>Veneto</t>
  </si>
  <si>
    <t>SG BAGS S.R.L.</t>
  </si>
  <si>
    <t>04616890275</t>
  </si>
  <si>
    <t>Venezia</t>
  </si>
  <si>
    <t>ROBERTO MANTELLASSI S.R.L.</t>
  </si>
  <si>
    <t>06329750480</t>
  </si>
  <si>
    <t>BRUE' SOCIETA' PER AZIONI</t>
  </si>
  <si>
    <t>00102440443</t>
  </si>
  <si>
    <t>152010</t>
  </si>
  <si>
    <t>Fermo</t>
  </si>
  <si>
    <t>Marche</t>
  </si>
  <si>
    <t>BZL S.R.L.</t>
  </si>
  <si>
    <t>04940420260</t>
  </si>
  <si>
    <t>Treviso</t>
  </si>
  <si>
    <t>Macerata</t>
  </si>
  <si>
    <t>CALZATURIFICIO LIDO MARINOZZI SOCIETA' A RESPONSABILITA' LIMITATA IN BREVE CALZATURIFICIO LIDO MARINOZZI S.R.L.</t>
  </si>
  <si>
    <t>00339980443</t>
  </si>
  <si>
    <t>Campania</t>
  </si>
  <si>
    <t>Napoli</t>
  </si>
  <si>
    <t>S.V. CALZATURE SRL</t>
  </si>
  <si>
    <t>00979120433</t>
  </si>
  <si>
    <t>Emilia-Romagna</t>
  </si>
  <si>
    <t>CT BAGS AND ACCESSORIES S.R.L.</t>
  </si>
  <si>
    <t>09369421210</t>
  </si>
  <si>
    <t>A.M. SRL</t>
  </si>
  <si>
    <t>01852440443</t>
  </si>
  <si>
    <t>IN PELL SOCIETA' A RESPONSABILITA' LIMITATA</t>
  </si>
  <si>
    <t>01525290407</t>
  </si>
  <si>
    <t>Rimini</t>
  </si>
  <si>
    <t>LINEA ITALIA CALZATURE SRL</t>
  </si>
  <si>
    <t>02224570446</t>
  </si>
  <si>
    <t>152010</t>
  </si>
  <si>
    <t>Fermo</t>
  </si>
  <si>
    <t>Marche</t>
  </si>
  <si>
    <t>ONE MODA S.R.L.</t>
  </si>
  <si>
    <t>04794780231</t>
  </si>
  <si>
    <t>Verona</t>
  </si>
  <si>
    <t>Veneto</t>
  </si>
  <si>
    <t>ANDREA E RITA S.R.L.</t>
  </si>
  <si>
    <t>13146371003</t>
  </si>
  <si>
    <t>151209</t>
  </si>
  <si>
    <t>Roma</t>
  </si>
  <si>
    <t>Lazio</t>
  </si>
  <si>
    <t>RENDRIU S.R.L.</t>
  </si>
  <si>
    <t>01896451208</t>
  </si>
  <si>
    <t>Bologna</t>
  </si>
  <si>
    <t>Emilia-Romagna</t>
  </si>
  <si>
    <t>151100</t>
  </si>
  <si>
    <t>Vicenza</t>
  </si>
  <si>
    <t>CELESTE S.R.L.</t>
  </si>
  <si>
    <t>02598050249</t>
  </si>
  <si>
    <t>AD &amp; PROMOTION S.R.L.</t>
  </si>
  <si>
    <t>03121930790</t>
  </si>
  <si>
    <t>Catanzaro</t>
  </si>
  <si>
    <t>Calabria</t>
  </si>
  <si>
    <t>151200</t>
  </si>
  <si>
    <t>M.F.M. MAURIZIO FOSSATI S.R.L.</t>
  </si>
  <si>
    <t>08001630154</t>
  </si>
  <si>
    <t>151100</t>
  </si>
  <si>
    <t>Milano</t>
  </si>
  <si>
    <t>Lombardia</t>
  </si>
  <si>
    <t>LASERMARC S.R.L.</t>
  </si>
  <si>
    <t>02158520508</t>
  </si>
  <si>
    <t>Pisa</t>
  </si>
  <si>
    <t>Toscana</t>
  </si>
  <si>
    <t>Veneto</t>
  </si>
  <si>
    <t>152020</t>
  </si>
  <si>
    <t>DANTON S.R.L.</t>
  </si>
  <si>
    <t>02314400488</t>
  </si>
  <si>
    <t>152010</t>
  </si>
  <si>
    <t>Firenze</t>
  </si>
  <si>
    <t>NUOVA VALIGERIA DI CAMPOSPINOSO S.R.L.</t>
  </si>
  <si>
    <t>00180640187</t>
  </si>
  <si>
    <t>Pavia</t>
  </si>
  <si>
    <t>Campania</t>
  </si>
  <si>
    <t>ACQUAVIVA S.R.L.</t>
  </si>
  <si>
    <t>09493421219</t>
  </si>
  <si>
    <t>Napoli</t>
  </si>
  <si>
    <t>FISCA CORPORATION S.R.L.</t>
  </si>
  <si>
    <t>01984990182</t>
  </si>
  <si>
    <t>FENILI CALZATURE - SOCIETA' A RESPONSABILITA' LIMITATA</t>
  </si>
  <si>
    <t>01172290460</t>
  </si>
  <si>
    <t>Lucca</t>
  </si>
  <si>
    <t>Treviso</t>
  </si>
  <si>
    <t>EUROWORLD S.R.L.</t>
  </si>
  <si>
    <t>04745440265</t>
  </si>
  <si>
    <t>151100</t>
  </si>
  <si>
    <t>Veneto</t>
  </si>
  <si>
    <t>ITALIALUSSO S.R.L.</t>
  </si>
  <si>
    <t>02714370349</t>
  </si>
  <si>
    <t>151209</t>
  </si>
  <si>
    <t>Brescia</t>
  </si>
  <si>
    <t>Lombardia</t>
  </si>
  <si>
    <t>T-ZERO SRL</t>
  </si>
  <si>
    <t>02158470506</t>
  </si>
  <si>
    <t>Pisa</t>
  </si>
  <si>
    <t>Toscana</t>
  </si>
  <si>
    <t>CONCERIA HORIZON S.R.L.</t>
  </si>
  <si>
    <t>01355830504</t>
  </si>
  <si>
    <t>MAQI SOCIETA' A RESPONSABILITA' LIMITATA SEMPLIFICATA</t>
  </si>
  <si>
    <t>04939500288</t>
  </si>
  <si>
    <t>Padova</t>
  </si>
  <si>
    <t>152010</t>
  </si>
  <si>
    <t>Perugia</t>
  </si>
  <si>
    <t>Umbria</t>
  </si>
  <si>
    <t>ALO'S SOCIETA' A RESPONSABILITA' LIMITATA SEMPLIFICATA</t>
  </si>
  <si>
    <t>01353310459</t>
  </si>
  <si>
    <t>Massa-Carrara</t>
  </si>
  <si>
    <t>NOTO S.R.L.</t>
  </si>
  <si>
    <t>03614170540</t>
  </si>
  <si>
    <t>ANTONELLA S.R.L.</t>
  </si>
  <si>
    <t>01708830466</t>
  </si>
  <si>
    <t>Lucca</t>
  </si>
  <si>
    <t>152010</t>
  </si>
  <si>
    <t>Lombardia</t>
  </si>
  <si>
    <t>Firenze</t>
  </si>
  <si>
    <t>Toscana</t>
  </si>
  <si>
    <t>151209</t>
  </si>
  <si>
    <t>MARCUCCI STUDIO S.R.L.</t>
  </si>
  <si>
    <t>06879220488</t>
  </si>
  <si>
    <t>CALZATURIFICIO PLINIUS SRL</t>
  </si>
  <si>
    <t>01513950152</t>
  </si>
  <si>
    <t>152000</t>
  </si>
  <si>
    <t>Milano</t>
  </si>
  <si>
    <t>Fermo</t>
  </si>
  <si>
    <t>Marche</t>
  </si>
  <si>
    <t>Napoli</t>
  </si>
  <si>
    <t>Campania</t>
  </si>
  <si>
    <t>MODELLERIA FUSCO S.R.L.</t>
  </si>
  <si>
    <t>06547751211</t>
  </si>
  <si>
    <t>NELLO PACI MANIFATTURE SRL</t>
  </si>
  <si>
    <t>02212630442</t>
  </si>
  <si>
    <t>L.P. S.R.L.</t>
  </si>
  <si>
    <t>01515220448</t>
  </si>
  <si>
    <t>151209</t>
  </si>
  <si>
    <t>Fermo</t>
  </si>
  <si>
    <t>Marche</t>
  </si>
  <si>
    <t>FENIX SRL</t>
  </si>
  <si>
    <t>01624390447</t>
  </si>
  <si>
    <t>CAMG SRL</t>
  </si>
  <si>
    <t>00294910443</t>
  </si>
  <si>
    <t>152000</t>
  </si>
  <si>
    <t>Macerata</t>
  </si>
  <si>
    <t>PETRIS S.R.L.</t>
  </si>
  <si>
    <t>00149260432</t>
  </si>
  <si>
    <t>151100</t>
  </si>
  <si>
    <t>Pisa</t>
  </si>
  <si>
    <t>Toscana</t>
  </si>
  <si>
    <t>CRISTINA 4 PUNTO 3 SOCIETA' COOPERATIVA</t>
  </si>
  <si>
    <t>06650330829</t>
  </si>
  <si>
    <t>151209</t>
  </si>
  <si>
    <t>Palermo</t>
  </si>
  <si>
    <t>Sicilia</t>
  </si>
  <si>
    <t>LANZONI &amp; B. - S.R.L.</t>
  </si>
  <si>
    <t>00157750407</t>
  </si>
  <si>
    <t>152010</t>
  </si>
  <si>
    <t>Forlì-Cesena</t>
  </si>
  <si>
    <t>Emilia-Romagna</t>
  </si>
  <si>
    <t>Vicenza</t>
  </si>
  <si>
    <t>Veneto</t>
  </si>
  <si>
    <t>Lombardia</t>
  </si>
  <si>
    <t>SCARLETVIRGO S.R.L.</t>
  </si>
  <si>
    <t>08938680967</t>
  </si>
  <si>
    <t>Milano</t>
  </si>
  <si>
    <t>COPAR - S.R.L.</t>
  </si>
  <si>
    <t>02062160243</t>
  </si>
  <si>
    <t>GREENLAB SHOES SRLS</t>
  </si>
  <si>
    <t>02392630501</t>
  </si>
  <si>
    <t>PELLETTERIA DIGITALE SRL</t>
  </si>
  <si>
    <t>02272250503</t>
  </si>
  <si>
    <t>PELLETTERIA EASYPELL SOCIETA' COOPERATIVA</t>
  </si>
  <si>
    <t>04007540711</t>
  </si>
  <si>
    <t>Foggia</t>
  </si>
  <si>
    <t>Puglia</t>
  </si>
  <si>
    <t>ROBERTA CENCI EVENTI SRL</t>
  </si>
  <si>
    <t>01812760435</t>
  </si>
  <si>
    <t>152010</t>
  </si>
  <si>
    <t>Macerata</t>
  </si>
  <si>
    <t>Marche</t>
  </si>
  <si>
    <t>151209</t>
  </si>
  <si>
    <t>152020</t>
  </si>
  <si>
    <t>GERJ S.R.L.</t>
  </si>
  <si>
    <t>00513640441</t>
  </si>
  <si>
    <t>Fermo</t>
  </si>
  <si>
    <t>Lombardia</t>
  </si>
  <si>
    <t>MARINI 1899 SOCIETA' A RESPONSABILITA' LIMITATA</t>
  </si>
  <si>
    <t>12756301003</t>
  </si>
  <si>
    <t>Roma</t>
  </si>
  <si>
    <t>Lazio</t>
  </si>
  <si>
    <t>PATTY B S.R.L.S.</t>
  </si>
  <si>
    <t>16851951000</t>
  </si>
  <si>
    <t>CALZATURIFICIO CIVITANOVESE S.R.L.</t>
  </si>
  <si>
    <t>01837280435</t>
  </si>
  <si>
    <t>DADO ITALIA S.R.L.</t>
  </si>
  <si>
    <t>09161210969</t>
  </si>
  <si>
    <t>Monza e della Brianza</t>
  </si>
  <si>
    <t>ALBERTO OLIVERO S.R.L.</t>
  </si>
  <si>
    <t>16619021005</t>
  </si>
  <si>
    <t>151209</t>
  </si>
  <si>
    <t>Roma</t>
  </si>
  <si>
    <t>Lazio</t>
  </si>
  <si>
    <t>Fermo</t>
  </si>
  <si>
    <t>Marche</t>
  </si>
  <si>
    <t>BLACK VENUS SRL UNIPERSONALE</t>
  </si>
  <si>
    <t>01682790447</t>
  </si>
  <si>
    <t>152010</t>
  </si>
  <si>
    <t>Campania</t>
  </si>
  <si>
    <t>Veneto</t>
  </si>
  <si>
    <t>BLU ITALIAN FASHION S.R.L.S.</t>
  </si>
  <si>
    <t>01892020676</t>
  </si>
  <si>
    <t>Teramo</t>
  </si>
  <si>
    <t>Abruzzo</t>
  </si>
  <si>
    <t>Milano</t>
  </si>
  <si>
    <t>Lombardia</t>
  </si>
  <si>
    <t>Napoli</t>
  </si>
  <si>
    <t>CB S.R.L.</t>
  </si>
  <si>
    <t>07845020960</t>
  </si>
  <si>
    <t>PENNA GROUP SRL</t>
  </si>
  <si>
    <t>04855060234</t>
  </si>
  <si>
    <t>Verona</t>
  </si>
  <si>
    <t>GEB S.R.L.S. - SOCIETA' UNIPERSONALE</t>
  </si>
  <si>
    <t>08515791211</t>
  </si>
  <si>
    <t>FEDORA MILANO S.R.L.</t>
  </si>
  <si>
    <t>07414130968</t>
  </si>
  <si>
    <t>M T M S.R.L.</t>
  </si>
  <si>
    <t>06863890965</t>
  </si>
  <si>
    <t>SHEDYR ITALIA S.R.L.</t>
  </si>
  <si>
    <t>10238630965</t>
  </si>
  <si>
    <t>151209</t>
  </si>
  <si>
    <t>Veneto</t>
  </si>
  <si>
    <t>Lombardia</t>
  </si>
  <si>
    <t>ATECH S.R.L.</t>
  </si>
  <si>
    <t>02684490028</t>
  </si>
  <si>
    <t>Biella</t>
  </si>
  <si>
    <t>Piemonte</t>
  </si>
  <si>
    <t>152010</t>
  </si>
  <si>
    <t>Pisa</t>
  </si>
  <si>
    <t>Toscana</t>
  </si>
  <si>
    <t>LUCA NENCIONI S.R.L.</t>
  </si>
  <si>
    <t>01900650506</t>
  </si>
  <si>
    <t>152020</t>
  </si>
  <si>
    <t>OGM SCARPE SOCIETA' A RESPONSABILITA' LIMITATA SEMPLIFICATA UNIPERSONALE</t>
  </si>
  <si>
    <t>04272780612</t>
  </si>
  <si>
    <t>Caserta</t>
  </si>
  <si>
    <t>Campania</t>
  </si>
  <si>
    <t>151100</t>
  </si>
  <si>
    <t>ARTEMENKO S.R.L.</t>
  </si>
  <si>
    <t>02794420642</t>
  </si>
  <si>
    <t>Avellino</t>
  </si>
  <si>
    <t>A&amp;A SRL</t>
  </si>
  <si>
    <t>03416411209</t>
  </si>
  <si>
    <t>Bologna</t>
  </si>
  <si>
    <t>Emilia-Romagna</t>
  </si>
  <si>
    <t>MORYLE S.R.L.</t>
  </si>
  <si>
    <t>01605180437</t>
  </si>
  <si>
    <t>Macerata</t>
  </si>
  <si>
    <t>Marche</t>
  </si>
  <si>
    <t>NOIBRAVE S.R.L.</t>
  </si>
  <si>
    <t>08697880725</t>
  </si>
  <si>
    <t>Barletta-Andria-Trani</t>
  </si>
  <si>
    <t>Puglia</t>
  </si>
  <si>
    <t>TRENTA7 S.R.L.</t>
  </si>
  <si>
    <t>13619011003</t>
  </si>
  <si>
    <t>Roma</t>
  </si>
  <si>
    <t>Lazio</t>
  </si>
  <si>
    <t>IMARINSOL SOCIETA' A RESPONSABILITA' LIMITATA SEMPLIFICATA</t>
  </si>
  <si>
    <t>03626230126</t>
  </si>
  <si>
    <t>Varese</t>
  </si>
  <si>
    <t>AGAVE SOCIETA' COOPERATIVA SOCIALE</t>
  </si>
  <si>
    <t>05333260288</t>
  </si>
  <si>
    <t>Padova</t>
  </si>
  <si>
    <t>151209</t>
  </si>
  <si>
    <t>Arezzo</t>
  </si>
  <si>
    <t>Toscana</t>
  </si>
  <si>
    <t>FESTA SOCIETA' A RESPONSABILITA' LIMITATA SEMPLIFICATA</t>
  </si>
  <si>
    <t>02130190511</t>
  </si>
  <si>
    <t>152010</t>
  </si>
  <si>
    <t>SATURNIA S.R.L.</t>
  </si>
  <si>
    <t>01081930503</t>
  </si>
  <si>
    <t>151100</t>
  </si>
  <si>
    <t>Pisa</t>
  </si>
  <si>
    <t>Firenze</t>
  </si>
  <si>
    <t>TERMODA DUE S.R.L.</t>
  </si>
  <si>
    <t>05236570726</t>
  </si>
  <si>
    <t>Bari</t>
  </si>
  <si>
    <t>Puglia</t>
  </si>
  <si>
    <t>PLANET SHOES S.R.L.</t>
  </si>
  <si>
    <t>05806380720</t>
  </si>
  <si>
    <t>Barletta-Andria-Trani</t>
  </si>
  <si>
    <t>PHOTO ALBUM DESIGNER SOCIETA' A RESPONSABILITA' LIMITATA C.R.</t>
  </si>
  <si>
    <t>06206790823</t>
  </si>
  <si>
    <t>Palermo</t>
  </si>
  <si>
    <t>Sicilia</t>
  </si>
  <si>
    <t>Lombardia</t>
  </si>
  <si>
    <t>TRESS GROUP S.R.L.</t>
  </si>
  <si>
    <t>06729550829</t>
  </si>
  <si>
    <t>T.D.OLD ITALIA SRL</t>
  </si>
  <si>
    <t>03321460960</t>
  </si>
  <si>
    <t>Brescia</t>
  </si>
  <si>
    <t>LAURA ZERO SRLS</t>
  </si>
  <si>
    <t>06725680489</t>
  </si>
  <si>
    <t>61-PROJECT S.P.A.</t>
  </si>
  <si>
    <t>03129880609</t>
  </si>
  <si>
    <t>Frosinone</t>
  </si>
  <si>
    <t>Lazio</t>
  </si>
  <si>
    <t>152020</t>
  </si>
  <si>
    <t>152010</t>
  </si>
  <si>
    <t>151209</t>
  </si>
  <si>
    <t>151100</t>
  </si>
  <si>
    <t>Campania</t>
  </si>
  <si>
    <t>Marche</t>
  </si>
  <si>
    <t>Puglia</t>
  </si>
  <si>
    <t>KILESA SRL SEMPLIFICATA</t>
  </si>
  <si>
    <t>04646320616</t>
  </si>
  <si>
    <t>Caserta</t>
  </si>
  <si>
    <t>Veneto</t>
  </si>
  <si>
    <t>SC SRL</t>
  </si>
  <si>
    <t>04233190240</t>
  </si>
  <si>
    <t>Vicenza</t>
  </si>
  <si>
    <t>ELEDOR SOCIETA' A RESPONSABILITA' LIMITATA SEMPLIFICATA</t>
  </si>
  <si>
    <t>05410590284</t>
  </si>
  <si>
    <t>Padova</t>
  </si>
  <si>
    <t>MENGONI ANGELA S.R.L.</t>
  </si>
  <si>
    <t>01483770432</t>
  </si>
  <si>
    <t>Macerata</t>
  </si>
  <si>
    <t>RE49 S.R.L.</t>
  </si>
  <si>
    <t>03029370305</t>
  </si>
  <si>
    <t>Udine</t>
  </si>
  <si>
    <t>Friuli-Venezia Giulia</t>
  </si>
  <si>
    <t>FRECCIA DEL SUD SOCIETA' A RESPONSABILITA' LIMITATA</t>
  </si>
  <si>
    <t>02457850648</t>
  </si>
  <si>
    <t>Avellino</t>
  </si>
  <si>
    <t>RITAGLI DI G SOCIETA' A RESPONSABILITA' LIMITATA SEMPLIFICATA</t>
  </si>
  <si>
    <t>08478510723</t>
  </si>
  <si>
    <t>Bari</t>
  </si>
  <si>
    <t>151100</t>
  </si>
  <si>
    <t>151209</t>
  </si>
  <si>
    <t>Firenze</t>
  </si>
  <si>
    <t>Toscana</t>
  </si>
  <si>
    <t>152010</t>
  </si>
  <si>
    <t>LUCKY SKINS S.R.L.</t>
  </si>
  <si>
    <t>01937780649</t>
  </si>
  <si>
    <t>Avellino</t>
  </si>
  <si>
    <t>Campania</t>
  </si>
  <si>
    <t>Veneto</t>
  </si>
  <si>
    <t>MACRILIA LAB S.R.L.</t>
  </si>
  <si>
    <t>14805231009</t>
  </si>
  <si>
    <t>Roma</t>
  </si>
  <si>
    <t>Lazio</t>
  </si>
  <si>
    <t>MYC - SOCIETA' A RESPONSABILITA' LIMITATA</t>
  </si>
  <si>
    <t>06950481215</t>
  </si>
  <si>
    <t>Napoli</t>
  </si>
  <si>
    <t>PRO FUT S.R.L.</t>
  </si>
  <si>
    <t>05079190269</t>
  </si>
  <si>
    <t>Treviso</t>
  </si>
  <si>
    <t>RECOPEL S.R.L. SOCIETA' BENEFIT</t>
  </si>
  <si>
    <t>07185300485</t>
  </si>
  <si>
    <t>YOU WEAR S.R.L. START-UP COSTITUITA A NORMA DELL'ART. 4 COMMA 10 BIS DEL DECRETO LEGGE 24 GENNAIO 2015 N. 3</t>
  </si>
  <si>
    <t>09702011215</t>
  </si>
  <si>
    <t>CAR.LO MANIFATTURE S.R.L.</t>
  </si>
  <si>
    <t>00813260676</t>
  </si>
  <si>
    <t>151200</t>
  </si>
  <si>
    <t>Teramo</t>
  </si>
  <si>
    <t>Abruzzo</t>
  </si>
  <si>
    <t>INPELLE S.R.L.</t>
  </si>
  <si>
    <t>02908290782</t>
  </si>
  <si>
    <t>Cosenza</t>
  </si>
  <si>
    <t>Calabria</t>
  </si>
  <si>
    <t>BEBOLD S.R.L.S.</t>
  </si>
  <si>
    <t>05148840266</t>
  </si>
  <si>
    <t>152010</t>
  </si>
  <si>
    <t>Campania</t>
  </si>
  <si>
    <t>JEANNOT'S S.R.L.</t>
  </si>
  <si>
    <t>01005520729</t>
  </si>
  <si>
    <t>152000</t>
  </si>
  <si>
    <t>Bari</t>
  </si>
  <si>
    <t>Puglia</t>
  </si>
  <si>
    <t>GLAM SOCIETA' A RESPONSABILITA' LIMITATA SEMPLIFICATA</t>
  </si>
  <si>
    <t>04437450275</t>
  </si>
  <si>
    <t>151209</t>
  </si>
  <si>
    <t>Venezia</t>
  </si>
  <si>
    <t>Veneto</t>
  </si>
  <si>
    <t>NEMEA S.R.L.</t>
  </si>
  <si>
    <t>04339130405</t>
  </si>
  <si>
    <t>152020</t>
  </si>
  <si>
    <t>Rimini</t>
  </si>
  <si>
    <t>Emilia-Romagna</t>
  </si>
  <si>
    <t>CONCERIA GARDENIA S.R.L. - IN LIQUIDAZIONE</t>
  </si>
  <si>
    <t>01397230440</t>
  </si>
  <si>
    <t>151100</t>
  </si>
  <si>
    <t>Fermo</t>
  </si>
  <si>
    <t>Marche</t>
  </si>
  <si>
    <t>MOALTO SRL</t>
  </si>
  <si>
    <t>01643190430</t>
  </si>
  <si>
    <t>Macerata</t>
  </si>
  <si>
    <t>AVANBLANC S.R.L.</t>
  </si>
  <si>
    <t>01869590479</t>
  </si>
  <si>
    <t>Pistoia</t>
  </si>
  <si>
    <t>Toscana</t>
  </si>
  <si>
    <t>LA L+SAC SRL</t>
  </si>
  <si>
    <t>02778180188</t>
  </si>
  <si>
    <t>Pavia</t>
  </si>
  <si>
    <t>Lombardia</t>
  </si>
  <si>
    <t>CONCERIA GUANACO S.R.L.</t>
  </si>
  <si>
    <t>00245270509</t>
  </si>
  <si>
    <t>Pisa</t>
  </si>
  <si>
    <t>LABORATORIO CAVALLACCIO SOCIETA' A RESPONSABILITA' LIMITATA SEMPLIFICATA</t>
  </si>
  <si>
    <t>04624360618</t>
  </si>
  <si>
    <t>Caserta</t>
  </si>
  <si>
    <t>GODI MODA S.R.L.</t>
  </si>
  <si>
    <t>01971170236</t>
  </si>
  <si>
    <t>Verona</t>
  </si>
  <si>
    <t>BYOTERI S.R.L.</t>
  </si>
  <si>
    <t>02347980514</t>
  </si>
  <si>
    <t>Arezzo</t>
  </si>
  <si>
    <t>ERREDIGI - SOCIETA' A RESPONSABILITA' LIMITATA</t>
  </si>
  <si>
    <t>01421490432</t>
  </si>
  <si>
    <t>POKER S.R.L.</t>
  </si>
  <si>
    <t>03280590724</t>
  </si>
  <si>
    <t>Barletta-Andria-Trani</t>
  </si>
  <si>
    <t>EDOARDO &amp; LORENZO - S.R.L.</t>
  </si>
  <si>
    <t>04858390489</t>
  </si>
  <si>
    <t>Firenze</t>
  </si>
  <si>
    <t>VEXELL S.R.L.</t>
  </si>
  <si>
    <t>00191820265</t>
  </si>
  <si>
    <t>Treviso</t>
  </si>
  <si>
    <t>VICO LAB SRL</t>
  </si>
  <si>
    <t>02334980444</t>
  </si>
  <si>
    <t>Ascoli Piceno</t>
  </si>
  <si>
    <t>LURA SRL</t>
  </si>
  <si>
    <t>02027470430</t>
  </si>
  <si>
    <t>AP LAB S.R.L. SEMPLIFICATA</t>
  </si>
  <si>
    <t>06673480486</t>
  </si>
  <si>
    <t>151209</t>
  </si>
  <si>
    <t>Firenze</t>
  </si>
  <si>
    <t>Toscana</t>
  </si>
  <si>
    <t>Napoli</t>
  </si>
  <si>
    <t>Campania</t>
  </si>
  <si>
    <t>Veneto</t>
  </si>
  <si>
    <t>152010</t>
  </si>
  <si>
    <t>PELLETTERIE S.I.M. SOCIETA' A RESPONSABILITA' LIMITATA</t>
  </si>
  <si>
    <t>06384710486</t>
  </si>
  <si>
    <t>TECNO.CO.INN. S.R.L.</t>
  </si>
  <si>
    <t>02988420648</t>
  </si>
  <si>
    <t>151100</t>
  </si>
  <si>
    <t>Avellino</t>
  </si>
  <si>
    <t>CONCERIA IRPEL S.R.L.</t>
  </si>
  <si>
    <t>00507680643</t>
  </si>
  <si>
    <t>NUOVA CENTAURO S.R.L. - IN LIQUIDAZIONE</t>
  </si>
  <si>
    <t>00998620447</t>
  </si>
  <si>
    <t>Fermo</t>
  </si>
  <si>
    <t>Marche</t>
  </si>
  <si>
    <t>TACCHIFICIO FIDIA S.R.L. IN LIQUIDAZIONE</t>
  </si>
  <si>
    <t>00113750509</t>
  </si>
  <si>
    <t>152000</t>
  </si>
  <si>
    <t>Pisa</t>
  </si>
  <si>
    <t>REYTEL S.R.L.</t>
  </si>
  <si>
    <t>04877180820</t>
  </si>
  <si>
    <t>Palermo</t>
  </si>
  <si>
    <t>Sicilia</t>
  </si>
  <si>
    <t>POLVIT BAGS S.R.L.S.</t>
  </si>
  <si>
    <t>09846791219</t>
  </si>
  <si>
    <t>MITICA S.R.L.</t>
  </si>
  <si>
    <t>01439830280</t>
  </si>
  <si>
    <t>Padova</t>
  </si>
  <si>
    <t>151100</t>
  </si>
  <si>
    <t>Pisa</t>
  </si>
  <si>
    <t>Toscana</t>
  </si>
  <si>
    <t>152010</t>
  </si>
  <si>
    <t>Venezia</t>
  </si>
  <si>
    <t>Veneto</t>
  </si>
  <si>
    <t>SCHEDONI LUXURY GOODS SRL</t>
  </si>
  <si>
    <t>03793410360</t>
  </si>
  <si>
    <t>151209</t>
  </si>
  <si>
    <t>Modena</t>
  </si>
  <si>
    <t>Emilia-Romagna</t>
  </si>
  <si>
    <t>DARRELL COMPANY S.R.L.</t>
  </si>
  <si>
    <t>04923900288</t>
  </si>
  <si>
    <t>MARIGROUP S.R.L.</t>
  </si>
  <si>
    <t>01556740502</t>
  </si>
  <si>
    <t>Firenze</t>
  </si>
  <si>
    <t>152020</t>
  </si>
  <si>
    <t>GAITTECH S.R.L.</t>
  </si>
  <si>
    <t>03890830361</t>
  </si>
  <si>
    <t>Milano</t>
  </si>
  <si>
    <t>Lombardia</t>
  </si>
  <si>
    <t>PUGNETTI PARMA S.R.L.</t>
  </si>
  <si>
    <t>02951600341</t>
  </si>
  <si>
    <t>Parma</t>
  </si>
  <si>
    <t>Vicenza</t>
  </si>
  <si>
    <t>DZOYE' S.R.L.</t>
  </si>
  <si>
    <t>09001130963</t>
  </si>
  <si>
    <t>B &amp; B S.R.L.</t>
  </si>
  <si>
    <t>03633700244</t>
  </si>
  <si>
    <t>SMART MATERIALS S.R.L.</t>
  </si>
  <si>
    <t>02471380200</t>
  </si>
  <si>
    <t>Padova</t>
  </si>
  <si>
    <t>DISIX S.R.L.</t>
  </si>
  <si>
    <t>12636620010</t>
  </si>
  <si>
    <t>Torino</t>
  </si>
  <si>
    <t>Piemonte</t>
  </si>
  <si>
    <t>20ZERO1 S.R.L.</t>
  </si>
  <si>
    <t>11674880965</t>
  </si>
  <si>
    <t>FDL S.R.L.</t>
  </si>
  <si>
    <t>07106470482</t>
  </si>
  <si>
    <t>151100</t>
  </si>
  <si>
    <t>FIDELIO S.R.L.</t>
  </si>
  <si>
    <t>02662340039</t>
  </si>
  <si>
    <t>151209</t>
  </si>
  <si>
    <t>Novara</t>
  </si>
  <si>
    <t>Piemonte</t>
  </si>
  <si>
    <t>OL JIMMY SHOES SOCIETA' A RESPONSABILITA' LIMITATA A CAPITALE RIDOTTO</t>
  </si>
  <si>
    <t>04593460266</t>
  </si>
  <si>
    <t>152010</t>
  </si>
  <si>
    <t>Treviso</t>
  </si>
  <si>
    <t>Veneto</t>
  </si>
  <si>
    <t>NIMA S.R.L.</t>
  </si>
  <si>
    <t>04323920985</t>
  </si>
  <si>
    <t>Brescia</t>
  </si>
  <si>
    <t>Lombardia</t>
  </si>
  <si>
    <t>Vicenza</t>
  </si>
  <si>
    <t>SALVATORE PISANO S.P.A.</t>
  </si>
  <si>
    <t>01486940610</t>
  </si>
  <si>
    <t>Caserta</t>
  </si>
  <si>
    <t>Campania</t>
  </si>
  <si>
    <t>CLUTCH-E BAG S.R.L.</t>
  </si>
  <si>
    <t>03691760544</t>
  </si>
  <si>
    <t>Perugia</t>
  </si>
  <si>
    <t>Umbria</t>
  </si>
  <si>
    <t>152020</t>
  </si>
  <si>
    <t>Pisa</t>
  </si>
  <si>
    <t>Toscana</t>
  </si>
  <si>
    <t>BALDUCCI S.P.A. IN LIQUIDAZIONE</t>
  </si>
  <si>
    <t>00087730479</t>
  </si>
  <si>
    <t>Pistoia</t>
  </si>
  <si>
    <t>NEW SPIDERSTRAPS S.R.L.</t>
  </si>
  <si>
    <t>03693340923</t>
  </si>
  <si>
    <t>Cagliari</t>
  </si>
  <si>
    <t>Sardegna</t>
  </si>
  <si>
    <t>VETERE STYLE - SOCIETA' A RESPONSABILITA' LIMITATA SEMPLIFICATA</t>
  </si>
  <si>
    <t>02783150812</t>
  </si>
  <si>
    <t>Trapani</t>
  </si>
  <si>
    <t>Sicilia</t>
  </si>
  <si>
    <t>REVENGE S.R.L.</t>
  </si>
  <si>
    <t>07029330482</t>
  </si>
  <si>
    <t>Firenze</t>
  </si>
  <si>
    <t>NOTHINK S.R.L.</t>
  </si>
  <si>
    <t>04608640167</t>
  </si>
  <si>
    <t>Bergamo</t>
  </si>
  <si>
    <t>WORLDING S.R.L.</t>
  </si>
  <si>
    <t>01637320555</t>
  </si>
  <si>
    <t>Terni</t>
  </si>
  <si>
    <t>LIGIAN S.R.L.</t>
  </si>
  <si>
    <t>00898600507</t>
  </si>
  <si>
    <t>CALZATURIFICIO FARFALLA S.R.L.</t>
  </si>
  <si>
    <t>00143650463</t>
  </si>
  <si>
    <t>152000</t>
  </si>
  <si>
    <t>Lucca</t>
  </si>
  <si>
    <t>sicurezza postale</t>
  </si>
  <si>
    <t>TRADINNOVAZIONE S.R.L.</t>
  </si>
  <si>
    <t>04419790235</t>
  </si>
  <si>
    <t>Verona</t>
  </si>
  <si>
    <t>Lazio</t>
  </si>
  <si>
    <t>VERA PELLAMI S.R.L.</t>
  </si>
  <si>
    <t>02299480240</t>
  </si>
  <si>
    <t>Viterbo</t>
  </si>
  <si>
    <t>CONCERIA MORETTI SOCIETA' A RESPONSABILITA' LIMITATA</t>
  </si>
  <si>
    <t>01269030563</t>
  </si>
  <si>
    <t>NUOVA SALUTE E BENESSERE S.R.L</t>
  </si>
  <si>
    <t>04641500238</t>
  </si>
  <si>
    <t>151209</t>
  </si>
  <si>
    <t>Verona</t>
  </si>
  <si>
    <t>Veneto</t>
  </si>
  <si>
    <t>152010</t>
  </si>
  <si>
    <t>STILMAN FOOTWEAR S.R.L. IN LIQUIDAZIONE</t>
  </si>
  <si>
    <t>02488820230</t>
  </si>
  <si>
    <t>LUNA ROSSA LEATHERS SRL</t>
  </si>
  <si>
    <t>04435410248</t>
  </si>
  <si>
    <t>151100</t>
  </si>
  <si>
    <t>Vicenza</t>
  </si>
  <si>
    <t>FRANCO E FIGLI S.R.L. - IN LIQUIDAZIONE</t>
  </si>
  <si>
    <t>03136170242</t>
  </si>
  <si>
    <t>CONCERIA AMBRA S.R.L.- IN LIQUIDAZIONE - IN CONCORDATO PREVENTIVO</t>
  </si>
  <si>
    <t>01824330243</t>
  </si>
  <si>
    <t>CONCERIA TIGRE S.R.L. - IN LIQUIDAZIONE - - IN CONCORDATO PREVENTIVO -</t>
  </si>
  <si>
    <t>00282340249</t>
  </si>
  <si>
    <t>Venezia</t>
  </si>
  <si>
    <t>STANDER BAGS S.R.L.</t>
  </si>
  <si>
    <t>04460070271</t>
  </si>
  <si>
    <t>VALIGERIA ALEX SRL</t>
  </si>
  <si>
    <t>02160330128</t>
  </si>
  <si>
    <t>151200</t>
  </si>
  <si>
    <t>Varese</t>
  </si>
  <si>
    <t>Lombardia</t>
  </si>
  <si>
    <t>Treviso</t>
  </si>
  <si>
    <t>DIA 1 S.R.L. IN LIQUIDAZIONE</t>
  </si>
  <si>
    <t>00323160267</t>
  </si>
  <si>
    <t>152010</t>
  </si>
  <si>
    <t>Teramo</t>
  </si>
  <si>
    <t>Abruzzo</t>
  </si>
  <si>
    <t>DIELLE MANIFATTURE S.R.L.</t>
  </si>
  <si>
    <t>00654930676</t>
  </si>
  <si>
    <t>151200</t>
  </si>
  <si>
    <t>SELENA NEI LUX S.R.L.</t>
  </si>
  <si>
    <t>03322150735</t>
  </si>
  <si>
    <t>151209</t>
  </si>
  <si>
    <t>Taranto</t>
  </si>
  <si>
    <t>Puglia</t>
  </si>
  <si>
    <t>Toscana</t>
  </si>
  <si>
    <t>Emilia-Romagna</t>
  </si>
  <si>
    <t>Roma</t>
  </si>
  <si>
    <t>Lazio</t>
  </si>
  <si>
    <t>DYNAMIC CLEATS SRL</t>
  </si>
  <si>
    <t>15874151002</t>
  </si>
  <si>
    <t>AVIA SOCIETA' A RESPONSABILITA' LIMITATA</t>
  </si>
  <si>
    <t>12623131005</t>
  </si>
  <si>
    <t>Pistoia</t>
  </si>
  <si>
    <t>CALZATURIFICIO BOBO SHOES S.R.L. --- IN LIQUIDAZIONE ---</t>
  </si>
  <si>
    <t>01232210474</t>
  </si>
  <si>
    <t>SEBASTIAN S.R.L.</t>
  </si>
  <si>
    <t>03023910346</t>
  </si>
  <si>
    <t>Parma</t>
  </si>
  <si>
    <t>Pisa</t>
  </si>
  <si>
    <t>151100</t>
  </si>
  <si>
    <t>ZINGONI COUNTERS FOR FOOTWEAR SOCIETA' A RESPONSABILITA' LIMITATA</t>
  </si>
  <si>
    <t>02389590502</t>
  </si>
  <si>
    <t>152020</t>
  </si>
  <si>
    <t>SKIN TEX SOCIETA' A RESPONSABILITA' LIMITATA SEMPLIFICATA</t>
  </si>
  <si>
    <t>02365550504</t>
  </si>
  <si>
    <t>CONCERIA R.C.M. - S.R.L. IN LIQUIDAZIONE</t>
  </si>
  <si>
    <t>00443030481</t>
  </si>
  <si>
    <t>152020</t>
  </si>
  <si>
    <t>Pisa</t>
  </si>
  <si>
    <t>Toscana</t>
  </si>
  <si>
    <t>FLACCO S.R.L.</t>
  </si>
  <si>
    <t>02057030500</t>
  </si>
  <si>
    <t>151100</t>
  </si>
  <si>
    <t>SUOLIFICIO TUTTOCUOIO S.R.L.</t>
  </si>
  <si>
    <t>00216340505</t>
  </si>
  <si>
    <t>152010</t>
  </si>
  <si>
    <t>Perugia</t>
  </si>
  <si>
    <t>Umbria</t>
  </si>
  <si>
    <t>EASY SHOES S.R.L.</t>
  </si>
  <si>
    <t>03623930546</t>
  </si>
  <si>
    <t>CALZATURIFICIO MARIPE' S.R.L.</t>
  </si>
  <si>
    <t>00773320270</t>
  </si>
  <si>
    <t>Padova</t>
  </si>
  <si>
    <t>Veneto</t>
  </si>
  <si>
    <t>151209</t>
  </si>
  <si>
    <t>Napoli</t>
  </si>
  <si>
    <t>Campania</t>
  </si>
  <si>
    <t>152020</t>
  </si>
  <si>
    <t>MAURO PRODUZIONE PELLETTERIE S.R.L.</t>
  </si>
  <si>
    <t>09022731211</t>
  </si>
  <si>
    <t>152010</t>
  </si>
  <si>
    <t>151200</t>
  </si>
  <si>
    <t>MENTI E TALENTI SRL</t>
  </si>
  <si>
    <t>03637790365</t>
  </si>
  <si>
    <t>Modena</t>
  </si>
  <si>
    <t>Emilia-Romagna</t>
  </si>
  <si>
    <t>Milano</t>
  </si>
  <si>
    <t>Lombardia</t>
  </si>
  <si>
    <t>DEMILAN.IT S.R.L. START-UP COSTITUITA A NORMA DELL'ART. 4 COMMA 10 BIS DEL DECRETO LEGGE 24 GENNAIO 2015, N. 3</t>
  </si>
  <si>
    <t>10328980965</t>
  </si>
  <si>
    <t>A.B.E. DI ALBERTARIO EMILIO S.R.L.</t>
  </si>
  <si>
    <t>04888500156</t>
  </si>
  <si>
    <t>Macerata</t>
  </si>
  <si>
    <t>Marche</t>
  </si>
  <si>
    <t>151100</t>
  </si>
  <si>
    <t>G.P. SRL</t>
  </si>
  <si>
    <t>01499740437</t>
  </si>
  <si>
    <t>FORNARI S.R.L. IN LIQUIDAZIONE</t>
  </si>
  <si>
    <t>00317320430</t>
  </si>
  <si>
    <t>CONCERIA DEL CHIENTI S.P.A. - IN LIQUIDAZIONE</t>
  </si>
  <si>
    <t>00083220434</t>
  </si>
  <si>
    <t>DICIOTTOPIU' SOCIETA' A RESPONSABILITA' LIMITATA SEMPLIFICATA</t>
  </si>
  <si>
    <t>02504140464</t>
  </si>
  <si>
    <t>Lucca</t>
  </si>
  <si>
    <t>Toscana</t>
  </si>
  <si>
    <t>Lecce</t>
  </si>
  <si>
    <t>Puglia</t>
  </si>
  <si>
    <t>TECNOSUOLE S.R.L. IN LIQUIDAZIONE</t>
  </si>
  <si>
    <t>03619430758</t>
  </si>
  <si>
    <t>152000</t>
  </si>
  <si>
    <t>FILANTO S.R.L. IN LIQUIDAZIONE</t>
  </si>
  <si>
    <t>02084790753</t>
  </si>
  <si>
    <t>152010</t>
  </si>
  <si>
    <t>Fermo</t>
  </si>
  <si>
    <t>Marche</t>
  </si>
  <si>
    <t>X BACCO S.R.L - IN LIQUIDAZIONE</t>
  </si>
  <si>
    <t>01608880447</t>
  </si>
  <si>
    <t>CATEDIANAGIOTTI S.R.L.</t>
  </si>
  <si>
    <t>07029830481</t>
  </si>
  <si>
    <t>151209</t>
  </si>
  <si>
    <t>Firenze</t>
  </si>
  <si>
    <t>Toscana</t>
  </si>
  <si>
    <t>152010</t>
  </si>
  <si>
    <t>CARLOS S.R.L.</t>
  </si>
  <si>
    <t>05523040482</t>
  </si>
  <si>
    <t>CALZATURIFICIO CARD S.R.L. IN LIQUIDAZIONE</t>
  </si>
  <si>
    <t>00383710696</t>
  </si>
  <si>
    <t>Chieti</t>
  </si>
  <si>
    <t>Abruzzo</t>
  </si>
  <si>
    <t>Caserta</t>
  </si>
  <si>
    <t>Campania</t>
  </si>
  <si>
    <t>DAVIDE CORPORATION S.R.L.</t>
  </si>
  <si>
    <t>03726260619</t>
  </si>
  <si>
    <t>CALZATURIFICIO CO.RAF. SOCIETA' A RESPONSABILITA' LIMITATA IN SIGLA CALZATURIFICIO CO.RAF. S.R.L.</t>
  </si>
  <si>
    <t>02691250613</t>
  </si>
  <si>
    <t>GI.PI. - S.R.L.</t>
  </si>
  <si>
    <t>01779110616</t>
  </si>
  <si>
    <t>Bologna</t>
  </si>
  <si>
    <t>Emilia-Romagna</t>
  </si>
  <si>
    <t>BIEMME LICENSING S.R.L.</t>
  </si>
  <si>
    <t>03289300968</t>
  </si>
  <si>
    <t>151100</t>
  </si>
  <si>
    <t>Avellino</t>
  </si>
  <si>
    <t>Campania</t>
  </si>
  <si>
    <t>LEATHER PLUS S.R.L</t>
  </si>
  <si>
    <t>02988370645</t>
  </si>
  <si>
    <t>JOY ITALIA S.R.L. SEMPLIFICATA UNIPERSONALE</t>
  </si>
  <si>
    <t>02845580642</t>
  </si>
  <si>
    <t>151209</t>
  </si>
  <si>
    <t>SEVEN STARS GROUP S.P.A., IN LIQUIDAZIONE</t>
  </si>
  <si>
    <t>02070310640</t>
  </si>
  <si>
    <t>152020</t>
  </si>
  <si>
    <t>Marche</t>
  </si>
  <si>
    <t>152010</t>
  </si>
  <si>
    <t>Ancona</t>
  </si>
  <si>
    <t>SPLENDORPLAST - S.R.L. IN LIQUIDAZIONE</t>
  </si>
  <si>
    <t>00423970425</t>
  </si>
  <si>
    <t>Firenze</t>
  </si>
  <si>
    <t>Toscana</t>
  </si>
  <si>
    <t>FRATELLI ROSSETTI S.P.A.</t>
  </si>
  <si>
    <t>10791930158</t>
  </si>
  <si>
    <t>Milano</t>
  </si>
  <si>
    <t>Lombardia</t>
  </si>
  <si>
    <t>PROPS SRL</t>
  </si>
  <si>
    <t>02497290243</t>
  </si>
  <si>
    <t>Vicenza</t>
  </si>
  <si>
    <t>Veneto</t>
  </si>
  <si>
    <t>BROMA S.R.L.</t>
  </si>
  <si>
    <t>05176800489</t>
  </si>
  <si>
    <t>ITALIAN LEATHER GROUP S.P.A.</t>
  </si>
  <si>
    <t>04492910726</t>
  </si>
  <si>
    <t>Bari</t>
  </si>
  <si>
    <t>Puglia</t>
  </si>
  <si>
    <t>THE CUT PRODUCTION SRL</t>
  </si>
  <si>
    <t>00918790528</t>
  </si>
  <si>
    <t>Siena</t>
  </si>
  <si>
    <t>SE. AN. SRL</t>
  </si>
  <si>
    <t>02235370273</t>
  </si>
  <si>
    <t>Venezia</t>
  </si>
  <si>
    <t>FABI SPA</t>
  </si>
  <si>
    <t>01085710430</t>
  </si>
  <si>
    <t>Macerata</t>
  </si>
  <si>
    <t>151100</t>
  </si>
  <si>
    <t>152010</t>
  </si>
  <si>
    <t>Toscana</t>
  </si>
  <si>
    <t>Veneto</t>
  </si>
  <si>
    <t>IDNA ITALIA S.R.L.</t>
  </si>
  <si>
    <t>04033760275</t>
  </si>
  <si>
    <t>151209</t>
  </si>
  <si>
    <t>Venezia</t>
  </si>
  <si>
    <t>ALFA S.R.L.</t>
  </si>
  <si>
    <t>02533450272</t>
  </si>
  <si>
    <t>152020</t>
  </si>
  <si>
    <t>CUOIFICIO TOSCANO S.R.L.</t>
  </si>
  <si>
    <t>00152340501</t>
  </si>
  <si>
    <t>Pisa</t>
  </si>
  <si>
    <t>THE FLEXX S.P.A.</t>
  </si>
  <si>
    <t>01375970470</t>
  </si>
  <si>
    <t>152000</t>
  </si>
  <si>
    <t>Pistoia</t>
  </si>
  <si>
    <t>OTTIERRE SOCIETA' A RESPONSABILITA' LIMITATA</t>
  </si>
  <si>
    <t>02968040796</t>
  </si>
  <si>
    <t>Catanzaro</t>
  </si>
  <si>
    <t>Calabria</t>
  </si>
  <si>
    <t>Treviso</t>
  </si>
  <si>
    <t>ACCESTORIES S.R.L.</t>
  </si>
  <si>
    <t>04651610265</t>
  </si>
  <si>
    <t>152010</t>
  </si>
  <si>
    <t>Marche</t>
  </si>
  <si>
    <t>IDEA CALZATURE S.R.L.</t>
  </si>
  <si>
    <t>07082470720</t>
  </si>
  <si>
    <t>Barletta-Andria-Trani</t>
  </si>
  <si>
    <t>Puglia</t>
  </si>
  <si>
    <t>Fermo</t>
  </si>
  <si>
    <t>EFFEGI S.R.L.</t>
  </si>
  <si>
    <t>02244580441</t>
  </si>
  <si>
    <t>Lombardia</t>
  </si>
  <si>
    <t>151209</t>
  </si>
  <si>
    <t>TASTE SRL</t>
  </si>
  <si>
    <t>04038300986</t>
  </si>
  <si>
    <t>Brescia</t>
  </si>
  <si>
    <t>UNEVEN SRL</t>
  </si>
  <si>
    <t>02840510420</t>
  </si>
  <si>
    <t>Ancona</t>
  </si>
  <si>
    <t>IDEAL SUOLE S.R.L.</t>
  </si>
  <si>
    <t>01232110443</t>
  </si>
  <si>
    <t>152020</t>
  </si>
  <si>
    <t>Fermo</t>
  </si>
  <si>
    <t>Marche</t>
  </si>
  <si>
    <t>151100</t>
  </si>
  <si>
    <t>FLEA FASHION HUB SRL</t>
  </si>
  <si>
    <t>02373450440</t>
  </si>
  <si>
    <t>152010</t>
  </si>
  <si>
    <t>Macerata</t>
  </si>
  <si>
    <t>CALZATURIFICI RIUNITI MARCHIGIANI SRL</t>
  </si>
  <si>
    <t>01092850435</t>
  </si>
  <si>
    <t>151200</t>
  </si>
  <si>
    <t>SAVODA S.R.L.</t>
  </si>
  <si>
    <t>01272130244</t>
  </si>
  <si>
    <t>Roma</t>
  </si>
  <si>
    <t>Lazio</t>
  </si>
  <si>
    <t>CHIARA FORMENTINI SRL</t>
  </si>
  <si>
    <t>02440540447</t>
  </si>
  <si>
    <t>152010</t>
  </si>
  <si>
    <t>152020</t>
  </si>
  <si>
    <t>Fermo</t>
  </si>
  <si>
    <t>Marche</t>
  </si>
  <si>
    <t>TRANCERIA VALTENNA SRL</t>
  </si>
  <si>
    <t>02403630441</t>
  </si>
  <si>
    <t>Milano</t>
  </si>
  <si>
    <t>Lombardia</t>
  </si>
  <si>
    <t>151209</t>
  </si>
  <si>
    <t>NANNINI GROUP S.R.L.</t>
  </si>
  <si>
    <t>02184850515</t>
  </si>
  <si>
    <t>Arezzo</t>
  </si>
  <si>
    <t>Toscana</t>
  </si>
  <si>
    <t>C.P.D. S.R.L.</t>
  </si>
  <si>
    <t>01727440438</t>
  </si>
  <si>
    <t>Macerata</t>
  </si>
  <si>
    <t>CIMICI S.R.L.</t>
  </si>
  <si>
    <t>01813380449</t>
  </si>
  <si>
    <t>Roma</t>
  </si>
  <si>
    <t>Lazio</t>
  </si>
  <si>
    <t>NEBULONI EUGENIO SRL</t>
  </si>
  <si>
    <t>08003140152</t>
  </si>
  <si>
    <t>IPAK PU S.R.L. IN LIQUIDAZIONE</t>
  </si>
  <si>
    <t>00941910432</t>
  </si>
  <si>
    <t>152000</t>
  </si>
  <si>
    <t>CALZATURIFICIO BRENDA - S.R.L.</t>
  </si>
  <si>
    <t>00374550507</t>
  </si>
  <si>
    <t>Pisa</t>
  </si>
  <si>
    <t>C M P - S.R.L.</t>
  </si>
  <si>
    <t>00832940670</t>
  </si>
  <si>
    <t>151209</t>
  </si>
  <si>
    <t>Teramo</t>
  </si>
  <si>
    <t>Abruzzo</t>
  </si>
  <si>
    <t>CALZATURIFICIO SANGIUSTESE 2A S.R.L.</t>
  </si>
  <si>
    <t>01528230434</t>
  </si>
  <si>
    <t>152010</t>
  </si>
  <si>
    <t>Macerata</t>
  </si>
  <si>
    <t>Marche</t>
  </si>
  <si>
    <t>Campania</t>
  </si>
  <si>
    <t>Toscana</t>
  </si>
  <si>
    <t>SARAH S.R.L.</t>
  </si>
  <si>
    <t>01442730444</t>
  </si>
  <si>
    <t>Fermo</t>
  </si>
  <si>
    <t>PEVERADAMODA S.R.L</t>
  </si>
  <si>
    <t>01835500461</t>
  </si>
  <si>
    <t>Lucca</t>
  </si>
  <si>
    <t>Napoli</t>
  </si>
  <si>
    <t>VIAMERCANTI - S.R.L.</t>
  </si>
  <si>
    <t>03823440650</t>
  </si>
  <si>
    <t>Salerno</t>
  </si>
  <si>
    <t>SCHOISIR S.R.L.</t>
  </si>
  <si>
    <t>02969670617</t>
  </si>
  <si>
    <t>ERISAR S.R.L.</t>
  </si>
  <si>
    <t>01487220434</t>
  </si>
  <si>
    <t>PGH S.R.L.</t>
  </si>
  <si>
    <t>02676040419</t>
  </si>
  <si>
    <t>Pesaro Urbino</t>
  </si>
  <si>
    <t>Toscana</t>
  </si>
  <si>
    <t>152010</t>
  </si>
  <si>
    <t>Caserta</t>
  </si>
  <si>
    <t>Campania</t>
  </si>
  <si>
    <t>151209</t>
  </si>
  <si>
    <t>CALZATURIFICIO TAVARES S.R.L.</t>
  </si>
  <si>
    <t>03690770619</t>
  </si>
  <si>
    <t>DE GROUP S.R.L.</t>
  </si>
  <si>
    <t>06763941215</t>
  </si>
  <si>
    <t>152020</t>
  </si>
  <si>
    <t>Napoli</t>
  </si>
  <si>
    <t>G.A.S. GROUP SOCIETA' A RESPONSABILITA' LIMITATA</t>
  </si>
  <si>
    <t>06951270484</t>
  </si>
  <si>
    <t>Firenze</t>
  </si>
  <si>
    <t>DA.MA. S.R.L.</t>
  </si>
  <si>
    <t>02302600461</t>
  </si>
  <si>
    <t>Lucca</t>
  </si>
  <si>
    <t>151100</t>
  </si>
  <si>
    <t>Fermo</t>
  </si>
  <si>
    <t>Marche</t>
  </si>
  <si>
    <t>CENTANNI LAVORAZIONE PELLAMI S.R.L.</t>
  </si>
  <si>
    <t>01889490445</t>
  </si>
  <si>
    <t>152010</t>
  </si>
  <si>
    <t>PIE' PELLETTERIA S.R.L.</t>
  </si>
  <si>
    <t>05600191216</t>
  </si>
  <si>
    <t>151209</t>
  </si>
  <si>
    <t>Forlì-Cesena</t>
  </si>
  <si>
    <t>Emilia-Romagna</t>
  </si>
  <si>
    <t>Toscana</t>
  </si>
  <si>
    <t>Marche</t>
  </si>
  <si>
    <t>ISTITUTO ORTOPEDICO PICENO S.R.L.</t>
  </si>
  <si>
    <t>02098530443</t>
  </si>
  <si>
    <t>Ascoli Piceno</t>
  </si>
  <si>
    <t>PELLETTERIA 2 A S.R.L.</t>
  </si>
  <si>
    <t>06575710485</t>
  </si>
  <si>
    <t>Firenze</t>
  </si>
  <si>
    <t>CINTURINI DI ARIGNANO SRL</t>
  </si>
  <si>
    <t>05993670016</t>
  </si>
  <si>
    <t>Torino</t>
  </si>
  <si>
    <t>Piemonte</t>
  </si>
  <si>
    <t>Firenze</t>
  </si>
  <si>
    <t>Toscana</t>
  </si>
  <si>
    <t>152010</t>
  </si>
  <si>
    <t>Campania</t>
  </si>
  <si>
    <t>SHOE DESIGN INDUSTRIALISATION - MANUFACTURING S.R.L.</t>
  </si>
  <si>
    <t>03884711205</t>
  </si>
  <si>
    <t>Bologna</t>
  </si>
  <si>
    <t>Emilia-Romagna</t>
  </si>
  <si>
    <t>SUOLIFICIO ORMA S.R.L.</t>
  </si>
  <si>
    <t>05008351214</t>
  </si>
  <si>
    <t>152020</t>
  </si>
  <si>
    <t>Napoli</t>
  </si>
  <si>
    <t>Milano</t>
  </si>
  <si>
    <t>Lombardia</t>
  </si>
  <si>
    <t>BARACCHINO LUIGI E C. S.R.L.</t>
  </si>
  <si>
    <t>00436280481</t>
  </si>
  <si>
    <t>CALZATURIFICIO B E B SOCIETA' A RESPONSABILITA' LIMITATA SEMPLIFI CATA</t>
  </si>
  <si>
    <t>08673350966</t>
  </si>
  <si>
    <t>SUOLIFICIO ADELAIDE S.R.L.</t>
  </si>
  <si>
    <t>00901080432</t>
  </si>
  <si>
    <t>Macerata</t>
  </si>
  <si>
    <t>Marche</t>
  </si>
  <si>
    <t>151209</t>
  </si>
  <si>
    <t>152020</t>
  </si>
  <si>
    <t>152010</t>
  </si>
  <si>
    <t>Veneto</t>
  </si>
  <si>
    <t>Campania</t>
  </si>
  <si>
    <t>BAGI S.R.L.</t>
  </si>
  <si>
    <t>04200610279</t>
  </si>
  <si>
    <t>Venezia</t>
  </si>
  <si>
    <t>Napoli</t>
  </si>
  <si>
    <t>OFFICINA GENIO S.R.L.</t>
  </si>
  <si>
    <t>13013451003</t>
  </si>
  <si>
    <t>Roma</t>
  </si>
  <si>
    <t>Lazio</t>
  </si>
  <si>
    <t>SUOLIFICIO TUTTOFONDI S.R.L.</t>
  </si>
  <si>
    <t>06118571212</t>
  </si>
  <si>
    <t>151209</t>
  </si>
  <si>
    <t>Toscana</t>
  </si>
  <si>
    <t>ATLANTIDE S.R.L.</t>
  </si>
  <si>
    <t>01554710507</t>
  </si>
  <si>
    <t>152000</t>
  </si>
  <si>
    <t>Pisa</t>
  </si>
  <si>
    <t>152010</t>
  </si>
  <si>
    <t>Napoli</t>
  </si>
  <si>
    <t>Campania</t>
  </si>
  <si>
    <t>SEPAM SHOES BY SERGIO BORRI S.R.L.</t>
  </si>
  <si>
    <t>00344610514</t>
  </si>
  <si>
    <t>Arezzo</t>
  </si>
  <si>
    <t>STALONI SRL</t>
  </si>
  <si>
    <t>01706300678</t>
  </si>
  <si>
    <t>Teramo</t>
  </si>
  <si>
    <t>Abruzzo</t>
  </si>
  <si>
    <t>Lazio</t>
  </si>
  <si>
    <t>SELLERIA FERRO S.R.L.</t>
  </si>
  <si>
    <t>09725341003</t>
  </si>
  <si>
    <t>Roma</t>
  </si>
  <si>
    <t>VIELLE ITALIA S.R.L.</t>
  </si>
  <si>
    <t>08380621212</t>
  </si>
  <si>
    <t>Macerata</t>
  </si>
  <si>
    <t>Marche</t>
  </si>
  <si>
    <t>152010</t>
  </si>
  <si>
    <t>CALZATURIFICIO LORENZO SOCIETA' A RESPONSABILITA' LIMITATA</t>
  </si>
  <si>
    <t>02390140446</t>
  </si>
  <si>
    <t>Fermo</t>
  </si>
  <si>
    <t>151209</t>
  </si>
  <si>
    <t>Campania</t>
  </si>
  <si>
    <t>Toscana</t>
  </si>
  <si>
    <t>Firenze</t>
  </si>
  <si>
    <t>MONAS S.R.L. SEMPLIFICATA</t>
  </si>
  <si>
    <t>02676390426</t>
  </si>
  <si>
    <t>Ancona</t>
  </si>
  <si>
    <t>HYMY GROUP SRL</t>
  </si>
  <si>
    <t>01921610430</t>
  </si>
  <si>
    <t>SILV. AN. SRL</t>
  </si>
  <si>
    <t>01532940622</t>
  </si>
  <si>
    <t>Benevento</t>
  </si>
  <si>
    <t>BATACCHI SOCIETA' A RESPONSABILITA' LIMITATA SEMPLIFICATA CON SOCIO UNICO</t>
  </si>
  <si>
    <t>06300280481</t>
  </si>
  <si>
    <t>151200</t>
  </si>
  <si>
    <t>151100</t>
  </si>
  <si>
    <t>SUOLIFICIO VENETA SUOLE S.R.L. DI GIULIATO P. &amp; C.</t>
  </si>
  <si>
    <t>02240220273</t>
  </si>
  <si>
    <t>152020</t>
  </si>
  <si>
    <t>Venezia</t>
  </si>
  <si>
    <t>Veneto</t>
  </si>
  <si>
    <t>Toscana</t>
  </si>
  <si>
    <t>Pisa</t>
  </si>
  <si>
    <t>GAIA S.R.L. IN LIQUIDAZIONE</t>
  </si>
  <si>
    <t>01852260502</t>
  </si>
  <si>
    <t>152020</t>
  </si>
  <si>
    <t>152010</t>
  </si>
  <si>
    <t>Fermo</t>
  </si>
  <si>
    <t>Marche</t>
  </si>
  <si>
    <t>SIMONE S.R.L.</t>
  </si>
  <si>
    <t>00177270444</t>
  </si>
  <si>
    <t>KAMAMOTO ITALIA - S.R.L.</t>
  </si>
  <si>
    <t>02449590377</t>
  </si>
  <si>
    <t>Bologna</t>
  </si>
  <si>
    <t>Emilia-Romagna</t>
  </si>
  <si>
    <t>ZINTALA S.R.L.</t>
  </si>
  <si>
    <t>01453320440</t>
  </si>
  <si>
    <t>152010</t>
  </si>
  <si>
    <t>Campania</t>
  </si>
  <si>
    <t>S &amp; CO S.R.L.</t>
  </si>
  <si>
    <t>04645291214</t>
  </si>
  <si>
    <t>Napoli</t>
  </si>
  <si>
    <t>151209</t>
  </si>
  <si>
    <t>BELFUR S.R.L.</t>
  </si>
  <si>
    <t>05316920486</t>
  </si>
  <si>
    <t>Firenze</t>
  </si>
  <si>
    <t>Toscana</t>
  </si>
  <si>
    <t>Marche</t>
  </si>
  <si>
    <t>Macerata</t>
  </si>
  <si>
    <t>PANTA REI SOC. COOPERATIVA</t>
  </si>
  <si>
    <t>07872171215</t>
  </si>
  <si>
    <t>Teramo</t>
  </si>
  <si>
    <t>Abruzzo</t>
  </si>
  <si>
    <t>LA PELLE - MODA S.R.L.</t>
  </si>
  <si>
    <t>02221950468</t>
  </si>
  <si>
    <t>Lucca</t>
  </si>
  <si>
    <t>CRINTEX SRL</t>
  </si>
  <si>
    <t>01721070678</t>
  </si>
  <si>
    <t>BIEMME S.R.L.</t>
  </si>
  <si>
    <t>01901250439</t>
  </si>
  <si>
    <t>LINEA DELFINO S.R.L.</t>
  </si>
  <si>
    <t>08624380013</t>
  </si>
  <si>
    <t>Torino</t>
  </si>
  <si>
    <t>Piemonte</t>
  </si>
  <si>
    <t>152010</t>
  </si>
  <si>
    <t>151209</t>
  </si>
  <si>
    <t>Firenze</t>
  </si>
  <si>
    <t>Toscana</t>
  </si>
  <si>
    <t>Marche</t>
  </si>
  <si>
    <t>CANYON SOCIETA' A RESPONSABILITA' LIMITATA SEMPLIFICATA</t>
  </si>
  <si>
    <t>02309500441</t>
  </si>
  <si>
    <t>Fermo</t>
  </si>
  <si>
    <t>PELLEIN SRL</t>
  </si>
  <si>
    <t>05709360480</t>
  </si>
  <si>
    <t>DONNE PELLETTIERE SOCIETA' A RESPONSABILITA' LIMITATA SEMPLIFICAT A</t>
  </si>
  <si>
    <t>06597150488</t>
  </si>
  <si>
    <t>151100</t>
  </si>
  <si>
    <t>152010</t>
  </si>
  <si>
    <t>Macerata</t>
  </si>
  <si>
    <t>Marche</t>
  </si>
  <si>
    <t>ALBERT COMPONENTS S.R.L.</t>
  </si>
  <si>
    <t>01892950435</t>
  </si>
  <si>
    <t>152020</t>
  </si>
  <si>
    <t>ZANCONATO PELLAMI S.R.L. - SOCIETA' UNIPERSONALE</t>
  </si>
  <si>
    <t>00406440248</t>
  </si>
  <si>
    <t>Vicenza</t>
  </si>
  <si>
    <t>Veneto</t>
  </si>
  <si>
    <t>Lombardia</t>
  </si>
  <si>
    <t>SPEA PELLETTERIE S.R.L.</t>
  </si>
  <si>
    <t>04134890963</t>
  </si>
  <si>
    <t>151200</t>
  </si>
  <si>
    <t>Milano</t>
  </si>
  <si>
    <t>S.P.G. SRL</t>
  </si>
  <si>
    <t>01555250297</t>
  </si>
  <si>
    <t>Rovigo</t>
  </si>
  <si>
    <t>152010</t>
  </si>
  <si>
    <t>Fermo</t>
  </si>
  <si>
    <t>Marche</t>
  </si>
  <si>
    <t>Napoli</t>
  </si>
  <si>
    <t>Campania</t>
  </si>
  <si>
    <t>Emilia-Romagna</t>
  </si>
  <si>
    <t>151100</t>
  </si>
  <si>
    <t>151200</t>
  </si>
  <si>
    <t>B&amp;H SHOES SRL</t>
  </si>
  <si>
    <t>02022250449</t>
  </si>
  <si>
    <t>Macerata</t>
  </si>
  <si>
    <t>ACL - ARTIGIANI CALZATURIERI S.R.L. - IN SIGLA ED IN BREVE ACL S RL</t>
  </si>
  <si>
    <t>02385650789</t>
  </si>
  <si>
    <t>I.G.M. ITALIAN GLOBAL MAKERS S.R.L.</t>
  </si>
  <si>
    <t>03256200365</t>
  </si>
  <si>
    <t>Modena</t>
  </si>
  <si>
    <t>ZAMPONI MODA SRL</t>
  </si>
  <si>
    <t>00929770436</t>
  </si>
  <si>
    <t>152010</t>
  </si>
  <si>
    <t>Fermo</t>
  </si>
  <si>
    <t>Marche</t>
  </si>
  <si>
    <t>CERBERO S.R.L.</t>
  </si>
  <si>
    <t>06750291210</t>
  </si>
  <si>
    <t>Napoli</t>
  </si>
  <si>
    <t>Campania</t>
  </si>
  <si>
    <t>Toscana</t>
  </si>
  <si>
    <t>151209</t>
  </si>
  <si>
    <t>Firenze</t>
  </si>
  <si>
    <t>GREGAL S.R.L.</t>
  </si>
  <si>
    <t>05095000963</t>
  </si>
  <si>
    <t>151200</t>
  </si>
  <si>
    <t>Milano</t>
  </si>
  <si>
    <t>Lombardia</t>
  </si>
  <si>
    <t>BAIRON S.R.L.</t>
  </si>
  <si>
    <t>12539001003</t>
  </si>
  <si>
    <t>MIA UP S.R.L.</t>
  </si>
  <si>
    <t>11522740015</t>
  </si>
  <si>
    <t>Torino</t>
  </si>
  <si>
    <t>Piemonte</t>
  </si>
  <si>
    <t>STYLE &amp; CONSULENCE SRL</t>
  </si>
  <si>
    <t>02100130448</t>
  </si>
  <si>
    <t>CALZATURIFICIO EFFENNE S.R.L.</t>
  </si>
  <si>
    <t>02080730514</t>
  </si>
  <si>
    <t>152000</t>
  </si>
  <si>
    <t>Arezzo</t>
  </si>
  <si>
    <t>152010</t>
  </si>
  <si>
    <t>151209</t>
  </si>
  <si>
    <t>Toscana</t>
  </si>
  <si>
    <t>Pisa</t>
  </si>
  <si>
    <t>151100</t>
  </si>
  <si>
    <t>Lombardia</t>
  </si>
  <si>
    <t>JOHMAR S.R.L.S. - SOCIETA' A RESPONSABILITA' LIMITATA SEMPLIFICAT SEMPLIFICATA</t>
  </si>
  <si>
    <t>04814330751</t>
  </si>
  <si>
    <t>Lecce</t>
  </si>
  <si>
    <t>Puglia</t>
  </si>
  <si>
    <t>BYCREA SOCIETA' A RESPONSABILITA' LIMITATA SEMPLIFICATA</t>
  </si>
  <si>
    <t>09073750961</t>
  </si>
  <si>
    <t>Milano</t>
  </si>
  <si>
    <t>Firenze</t>
  </si>
  <si>
    <t>CONCERIA BRASIL S.R.L.</t>
  </si>
  <si>
    <t>02088840505</t>
  </si>
  <si>
    <t>GLOBALLY ACCESSORY S.R.L.</t>
  </si>
  <si>
    <t>06940180489</t>
  </si>
  <si>
    <t>ALFRA SRL</t>
  </si>
  <si>
    <t>02609250697</t>
  </si>
  <si>
    <t>152020</t>
  </si>
  <si>
    <t>Chieti</t>
  </si>
  <si>
    <t>Abruzzo</t>
  </si>
  <si>
    <t>CAPRI BIJOUX S.R.L.</t>
  </si>
  <si>
    <t>07826711215</t>
  </si>
  <si>
    <t>152010</t>
  </si>
  <si>
    <t>Napoli</t>
  </si>
  <si>
    <t>Campania</t>
  </si>
  <si>
    <t>152010</t>
  </si>
  <si>
    <t>151200</t>
  </si>
  <si>
    <t>Napoli</t>
  </si>
  <si>
    <t>Campania</t>
  </si>
  <si>
    <t>CINTURIFICIO LBN S.R.L. UNIPERSONALE</t>
  </si>
  <si>
    <t>04730241215</t>
  </si>
  <si>
    <t>151209</t>
  </si>
  <si>
    <t>CALZATURIFICIO ESTEBAN S.R.L.</t>
  </si>
  <si>
    <t>03820671216</t>
  </si>
  <si>
    <t>LATITUDE FEMME S.R.L. - IN LIQUIDAZIONE -</t>
  </si>
  <si>
    <t>01549170502</t>
  </si>
  <si>
    <t>Pisa</t>
  </si>
  <si>
    <t>Toscana</t>
  </si>
  <si>
    <t>DE.CE.PLAST S.R.L.</t>
  </si>
  <si>
    <t>02576090613</t>
  </si>
  <si>
    <t>152020</t>
  </si>
  <si>
    <t>Caserta</t>
  </si>
  <si>
    <t>Teramo</t>
  </si>
  <si>
    <t>Abruzzo</t>
  </si>
  <si>
    <t>EUROFLEX ITALIA S.R.L.S.</t>
  </si>
  <si>
    <t>01991010677</t>
  </si>
  <si>
    <t>CALZATURIFICIO AISSELA SOCIETA' A RESPONSABILITA' LIMITATA SEMPLIFICATA</t>
  </si>
  <si>
    <t>09129281219</t>
  </si>
  <si>
    <t>WIEVA S.R.L.</t>
  </si>
  <si>
    <t>09339371214</t>
  </si>
  <si>
    <t>ZABATTIGLI S.R.L.</t>
  </si>
  <si>
    <t>06678861219</t>
  </si>
  <si>
    <t>151100</t>
  </si>
  <si>
    <t>Pisa</t>
  </si>
  <si>
    <t>Toscana</t>
  </si>
  <si>
    <t>151209</t>
  </si>
  <si>
    <t>Teramo</t>
  </si>
  <si>
    <t>Abruzzo</t>
  </si>
  <si>
    <t>Lazio</t>
  </si>
  <si>
    <t>PARADISO1986 SOCIETA' A RESPONSABILITA' LIMITATA SEMPLIFICATA</t>
  </si>
  <si>
    <t>14599371003</t>
  </si>
  <si>
    <t>Roma</t>
  </si>
  <si>
    <t>ROYALEATHER S.R.L.</t>
  </si>
  <si>
    <t>01905420509</t>
  </si>
  <si>
    <t>GASPCOM S.R.L.</t>
  </si>
  <si>
    <t>01010040671</t>
  </si>
  <si>
    <t>152010</t>
  </si>
  <si>
    <t>Marche</t>
  </si>
  <si>
    <t>Veneto</t>
  </si>
  <si>
    <t>152020</t>
  </si>
  <si>
    <t>Fermo</t>
  </si>
  <si>
    <t>TECNOPLAST S.R.L.</t>
  </si>
  <si>
    <t>01798180442</t>
  </si>
  <si>
    <t>Campania</t>
  </si>
  <si>
    <t>151209</t>
  </si>
  <si>
    <t>ECO FASHION GROUP - SOCIETA' COOPERATIVA</t>
  </si>
  <si>
    <t>06265700820</t>
  </si>
  <si>
    <t>Palermo</t>
  </si>
  <si>
    <t>Sicilia</t>
  </si>
  <si>
    <t>RO.MA. S.R.L.</t>
  </si>
  <si>
    <t>01837690443</t>
  </si>
  <si>
    <t>TRIUNFO DANCE ITALIA S.R.L.</t>
  </si>
  <si>
    <t>03652160619</t>
  </si>
  <si>
    <t>Caserta</t>
  </si>
  <si>
    <t>20S ITALIA S.R.L.</t>
  </si>
  <si>
    <t>04151990241</t>
  </si>
  <si>
    <t>Vicenza</t>
  </si>
  <si>
    <t>PELLETTERIE MANNA S.R.L.S. UNIPERSONALE</t>
  </si>
  <si>
    <t>02882910645</t>
  </si>
  <si>
    <t>151209</t>
  </si>
  <si>
    <t>Avellino</t>
  </si>
  <si>
    <t>Campania</t>
  </si>
  <si>
    <t>152010</t>
  </si>
  <si>
    <t>Fermo</t>
  </si>
  <si>
    <t>Marche</t>
  </si>
  <si>
    <t>IXOS S.R.L.</t>
  </si>
  <si>
    <t>01578370445</t>
  </si>
  <si>
    <t>MIRAPEL S.R.L.</t>
  </si>
  <si>
    <t>02322790441</t>
  </si>
  <si>
    <t>IZZO PELLI S.R.L.</t>
  </si>
  <si>
    <t>00730410628</t>
  </si>
  <si>
    <t>151100</t>
  </si>
  <si>
    <t>Benevento</t>
  </si>
  <si>
    <t>152020</t>
  </si>
  <si>
    <t>Marche</t>
  </si>
  <si>
    <t>RUGGERI E LUCIANI S.R.L.</t>
  </si>
  <si>
    <t>00963770433</t>
  </si>
  <si>
    <t>151200</t>
  </si>
  <si>
    <t>Macerata</t>
  </si>
  <si>
    <t>151100</t>
  </si>
  <si>
    <t>Avellino</t>
  </si>
  <si>
    <t>Campania</t>
  </si>
  <si>
    <t>M&amp;M S.R.L.</t>
  </si>
  <si>
    <t>01730950431</t>
  </si>
  <si>
    <t>DIVINA S.R.L.</t>
  </si>
  <si>
    <t>01662670643</t>
  </si>
  <si>
    <t>BORSARTE ITALIA S.R.L.</t>
  </si>
  <si>
    <t>00839330941</t>
  </si>
  <si>
    <t>151209</t>
  </si>
  <si>
    <t>Isernia</t>
  </si>
  <si>
    <t>Molise</t>
  </si>
  <si>
    <t>Napoli</t>
  </si>
  <si>
    <t>Campania</t>
  </si>
  <si>
    <t>PRIMA LINEA DESIGN S.R.L.</t>
  </si>
  <si>
    <t>03873651214</t>
  </si>
  <si>
    <t>152010</t>
  </si>
  <si>
    <t>Marche</t>
  </si>
  <si>
    <t>Macerata</t>
  </si>
  <si>
    <t>ITALFUSSBETT S.R.L.</t>
  </si>
  <si>
    <t>01640210439</t>
  </si>
  <si>
    <t>151209</t>
  </si>
  <si>
    <t>152010</t>
  </si>
  <si>
    <t>Emilia-Romagna</t>
  </si>
  <si>
    <t>Teramo</t>
  </si>
  <si>
    <t>Abruzzo</t>
  </si>
  <si>
    <t>152000</t>
  </si>
  <si>
    <t>Campania</t>
  </si>
  <si>
    <t>CHANCE S.R.L.</t>
  </si>
  <si>
    <t>01704840675</t>
  </si>
  <si>
    <t>Caserta</t>
  </si>
  <si>
    <t>F.LLI DEL PIANO S.R.L.</t>
  </si>
  <si>
    <t>07617600635</t>
  </si>
  <si>
    <t>PIERO ZAMAGNI S.R.L.</t>
  </si>
  <si>
    <t>04180650402</t>
  </si>
  <si>
    <t>Forlì-Cesena</t>
  </si>
  <si>
    <t>SAINT ANTHONY - SOCIETA' A RESPONSABILITA' LIMITATA</t>
  </si>
  <si>
    <t>02845590641</t>
  </si>
  <si>
    <t>151209</t>
  </si>
  <si>
    <t>Milano</t>
  </si>
  <si>
    <t>Lombardia</t>
  </si>
  <si>
    <t>ROBERTO CASACCIA PELLETTERIE S.R.L.</t>
  </si>
  <si>
    <t>00113410427</t>
  </si>
  <si>
    <t>151200</t>
  </si>
  <si>
    <t>Ancona</t>
  </si>
  <si>
    <t>Marche</t>
  </si>
  <si>
    <t>BRAINTROPY SRL</t>
  </si>
  <si>
    <t>04908620281</t>
  </si>
  <si>
    <t>151209</t>
  </si>
  <si>
    <t>Padova</t>
  </si>
  <si>
    <t>Veneto</t>
  </si>
  <si>
    <t>152010</t>
  </si>
  <si>
    <t>Toscana</t>
  </si>
  <si>
    <t>Siena</t>
  </si>
  <si>
    <t>INTESA 31 SOCIETA' A RESPONSABILITA' LIMITATA</t>
  </si>
  <si>
    <t>01973210675</t>
  </si>
  <si>
    <t>Teramo</t>
  </si>
  <si>
    <t>Abruzzo</t>
  </si>
  <si>
    <t>NONSOLOCUOIO S.R.L.</t>
  </si>
  <si>
    <t>01176260527</t>
  </si>
  <si>
    <t>STILE VANE SOCIETA' A RESPONSABILITA' LIMITATA SEMPLIFICATA</t>
  </si>
  <si>
    <t>02741820423</t>
  </si>
  <si>
    <t>MANDOCH S.R.L.</t>
  </si>
  <si>
    <t>01777070440</t>
  </si>
  <si>
    <t>152010</t>
  </si>
  <si>
    <t>Fermo</t>
  </si>
  <si>
    <t>Marche</t>
  </si>
  <si>
    <t>151100</t>
  </si>
  <si>
    <t>Avellino</t>
  </si>
  <si>
    <t>Campania</t>
  </si>
  <si>
    <t>IDEA S.R.L.</t>
  </si>
  <si>
    <t>02672120694</t>
  </si>
  <si>
    <t>151209</t>
  </si>
  <si>
    <t>Chieti</t>
  </si>
  <si>
    <t>Abruzzo</t>
  </si>
  <si>
    <t>SENSO CREATIVO SOCIETA' A RESPONSABILITA' LIMITATA SEMPLIFICATA</t>
  </si>
  <si>
    <t>04716700267</t>
  </si>
  <si>
    <t>Treviso</t>
  </si>
  <si>
    <t>Veneto</t>
  </si>
  <si>
    <t>Teramo</t>
  </si>
  <si>
    <t>NOWADAYS S.R.L. SEMPLIFICATA</t>
  </si>
  <si>
    <t>02230520443</t>
  </si>
  <si>
    <t>LUX LEATHER SOCIETA' A RESPONSABILITA' LIMITATA SEMPLIFICATA</t>
  </si>
  <si>
    <t>03043910649</t>
  </si>
  <si>
    <t>MADE IN SICILY SHOP - SOCIETA' A RESPONSABILITA' LIMITATA SEMPLIFICATA</t>
  </si>
  <si>
    <t>05577990871</t>
  </si>
  <si>
    <t>Catania</t>
  </si>
  <si>
    <t>Sicilia</t>
  </si>
  <si>
    <t>PELLETTERIA L'EUROPEA S.R.L.</t>
  </si>
  <si>
    <t>00764460671</t>
  </si>
  <si>
    <t>151209</t>
  </si>
  <si>
    <t>Veneto</t>
  </si>
  <si>
    <t>Vicenza</t>
  </si>
  <si>
    <t>TOOITALY S.R.L.</t>
  </si>
  <si>
    <t>01554720555</t>
  </si>
  <si>
    <t>Terni</t>
  </si>
  <si>
    <t>Umbria</t>
  </si>
  <si>
    <t>152010</t>
  </si>
  <si>
    <t>MAT-RAS BAGS S.R.L.</t>
  </si>
  <si>
    <t>00760260679</t>
  </si>
  <si>
    <t>151200</t>
  </si>
  <si>
    <t>Teramo</t>
  </si>
  <si>
    <t>Abruzzo</t>
  </si>
  <si>
    <t>AMELIA LINE SHOES S.R.L.</t>
  </si>
  <si>
    <t>04288790241</t>
  </si>
  <si>
    <t>152010</t>
  </si>
  <si>
    <t>Puglia</t>
  </si>
  <si>
    <t>151209</t>
  </si>
  <si>
    <t>MADE IN SUD SALENTO SOCIETA' COOPERATIVA</t>
  </si>
  <si>
    <t>04707290757</t>
  </si>
  <si>
    <t>152020</t>
  </si>
  <si>
    <t>Lecce</t>
  </si>
  <si>
    <t>Fermo</t>
  </si>
  <si>
    <t>Marche</t>
  </si>
  <si>
    <t>MELANIA COMPANY S.R.L.</t>
  </si>
  <si>
    <t>02051140446</t>
  </si>
  <si>
    <t>FRANCO GIAZZI S.R.L.</t>
  </si>
  <si>
    <t>10137390968</t>
  </si>
  <si>
    <t>Milano</t>
  </si>
  <si>
    <t>Lombardia</t>
  </si>
  <si>
    <t>PLASTCROM - SOCIETA' A RESPONSABILITA' LIMITATA SEMPLIFICATA</t>
  </si>
  <si>
    <t>02391680440</t>
  </si>
  <si>
    <t>Vicenza</t>
  </si>
  <si>
    <t>Veneto</t>
  </si>
  <si>
    <t>151209</t>
  </si>
  <si>
    <t>Toscana</t>
  </si>
  <si>
    <t>Pisa</t>
  </si>
  <si>
    <t>152010</t>
  </si>
  <si>
    <t>ARTIGIANA ZETABELT S.R.L.</t>
  </si>
  <si>
    <t>02512850799</t>
  </si>
  <si>
    <t>151200</t>
  </si>
  <si>
    <t>Catanzaro</t>
  </si>
  <si>
    <t>Calabria</t>
  </si>
  <si>
    <t>LEATHER STUDIO DESIGN S.R.L.</t>
  </si>
  <si>
    <t>02223110509</t>
  </si>
  <si>
    <t>Marche</t>
  </si>
  <si>
    <t>ATD S.R.L.</t>
  </si>
  <si>
    <t>10132570960</t>
  </si>
  <si>
    <t>Milano</t>
  </si>
  <si>
    <t>Lombardia</t>
  </si>
  <si>
    <t>STARLIGHT 90 S.R.L.</t>
  </si>
  <si>
    <t>02422030243</t>
  </si>
  <si>
    <t>CONINTECOM SRL</t>
  </si>
  <si>
    <t>02662840426</t>
  </si>
  <si>
    <t>Ancona</t>
  </si>
  <si>
    <t>ROSENBERG SRL</t>
  </si>
  <si>
    <t>10130470155</t>
  </si>
  <si>
    <t>RECIRCLED S.R.L.</t>
  </si>
  <si>
    <t>02508600976</t>
  </si>
  <si>
    <t>Prato</t>
  </si>
  <si>
    <t>152010</t>
  </si>
  <si>
    <t>Caserta</t>
  </si>
  <si>
    <t>Campania</t>
  </si>
  <si>
    <t>METALFASHION S.R.L.</t>
  </si>
  <si>
    <t>00752360164</t>
  </si>
  <si>
    <t>Bergamo</t>
  </si>
  <si>
    <t>Lombardia</t>
  </si>
  <si>
    <t>Veneto</t>
  </si>
  <si>
    <t>KREATIVI 1803 S.R.L.</t>
  </si>
  <si>
    <t>04324170242</t>
  </si>
  <si>
    <t>Vicenza</t>
  </si>
  <si>
    <t>CARPAN S.R.L.</t>
  </si>
  <si>
    <t>01991950617</t>
  </si>
  <si>
    <t>151209</t>
  </si>
  <si>
    <t>152010</t>
  </si>
  <si>
    <t>Roma</t>
  </si>
  <si>
    <t>Lazio</t>
  </si>
  <si>
    <t>Toscana</t>
  </si>
  <si>
    <t>FULVIA BAGS S.R.L.</t>
  </si>
  <si>
    <t>12596141007</t>
  </si>
  <si>
    <t>151100</t>
  </si>
  <si>
    <t>ESPADA S.R.L.</t>
  </si>
  <si>
    <t>02368510505</t>
  </si>
  <si>
    <t>Pisa</t>
  </si>
  <si>
    <t>MIA S.R.L.</t>
  </si>
  <si>
    <t>02084720560</t>
  </si>
  <si>
    <t>Viterbo</t>
  </si>
  <si>
    <t>ALESSANDRO PIACENTINI S.R.L.</t>
  </si>
  <si>
    <t>02253420463</t>
  </si>
  <si>
    <t>Lucca</t>
  </si>
  <si>
    <t>151209</t>
  </si>
  <si>
    <t>GENESI 3 SRL</t>
  </si>
  <si>
    <t>01895270435</t>
  </si>
  <si>
    <t>Macerata</t>
  </si>
  <si>
    <t>Marche</t>
  </si>
  <si>
    <t>EMOZIONI IN LIBERTA' CONFEZIONI SOCIETA' A RESPONSABILITA' LIMITATA SEMPLIFICATA</t>
  </si>
  <si>
    <t>04865050753</t>
  </si>
  <si>
    <t>Lecce</t>
  </si>
  <si>
    <t>Puglia</t>
  </si>
  <si>
    <t>151100</t>
  </si>
  <si>
    <t>CONCERIA TRE GAZZELLE S.R.L. IN LIQUIDAZIONE</t>
  </si>
  <si>
    <t>00115490500</t>
  </si>
  <si>
    <t>Pisa</t>
  </si>
  <si>
    <t>Toscana</t>
  </si>
  <si>
    <t>Milano</t>
  </si>
  <si>
    <t>Lombardia</t>
  </si>
  <si>
    <t>BE INITIA SRL</t>
  </si>
  <si>
    <t>10984540962</t>
  </si>
  <si>
    <t>151209</t>
  </si>
  <si>
    <t>151100</t>
  </si>
  <si>
    <t>YUMAN S.R.L.</t>
  </si>
  <si>
    <t>03656320409</t>
  </si>
  <si>
    <t>Bologna</t>
  </si>
  <si>
    <t>Emilia-Romagna</t>
  </si>
  <si>
    <t>152010</t>
  </si>
  <si>
    <t>Toscana</t>
  </si>
  <si>
    <t>MAISON BAG SRL</t>
  </si>
  <si>
    <t>01854470497</t>
  </si>
  <si>
    <t>Livorno</t>
  </si>
  <si>
    <t>TECHNOSTIV S.R.L.</t>
  </si>
  <si>
    <t>02139030692</t>
  </si>
  <si>
    <t>Chieti</t>
  </si>
  <si>
    <t>Abruzzo</t>
  </si>
  <si>
    <t>Veneto</t>
  </si>
  <si>
    <t>Milano</t>
  </si>
  <si>
    <t>Lombardia</t>
  </si>
  <si>
    <t>ATLAS S.R.L. IN LIQUIDAZIONE</t>
  </si>
  <si>
    <t>01165060508</t>
  </si>
  <si>
    <t>152020</t>
  </si>
  <si>
    <t>Pisa</t>
  </si>
  <si>
    <t>CONCERIA BOMAR S.P.A. IN LIQUIDAZIONE</t>
  </si>
  <si>
    <t>00144950508</t>
  </si>
  <si>
    <t>EFIS SRL</t>
  </si>
  <si>
    <t>04323800278</t>
  </si>
  <si>
    <t>Padova</t>
  </si>
  <si>
    <t>F.LLI SANTANGELO S.R.L.</t>
  </si>
  <si>
    <t>12789260150</t>
  </si>
  <si>
    <t>152010</t>
  </si>
  <si>
    <t>Verona</t>
  </si>
  <si>
    <t>Veneto</t>
  </si>
  <si>
    <t>STILE UNICO S.R.L.</t>
  </si>
  <si>
    <t>04942530231</t>
  </si>
  <si>
    <t>BETTANIN &amp; VENTURI S.R.L.</t>
  </si>
  <si>
    <t>04683620233</t>
  </si>
  <si>
    <t>151100</t>
  </si>
  <si>
    <t>Vicenza</t>
  </si>
  <si>
    <t>THIMECO S.R.L.</t>
  </si>
  <si>
    <t>04445300249</t>
  </si>
  <si>
    <t>GATTO D'ORO ITALIA SOCIETA' A RESPONSABILITA' LIMITATA SEMPLIFICATA</t>
  </si>
  <si>
    <t>04026850240</t>
  </si>
  <si>
    <t>152010</t>
  </si>
  <si>
    <t>Vicenza</t>
  </si>
  <si>
    <t>Veneto</t>
  </si>
  <si>
    <t>151100</t>
  </si>
  <si>
    <t>CLIC LEATHER SRL</t>
  </si>
  <si>
    <t>03727220240</t>
  </si>
  <si>
    <t>Venezia</t>
  </si>
  <si>
    <t>EMMEPI VENEZIA SOCIETA' A RESPONSABILITA' LIMITATA SEMPLIFICATA</t>
  </si>
  <si>
    <t>04805140276</t>
  </si>
  <si>
    <t>152020</t>
  </si>
  <si>
    <t>BARBATO SRL</t>
  </si>
  <si>
    <t>04784860274</t>
  </si>
  <si>
    <t>151209</t>
  </si>
  <si>
    <t>MASTRO SEGALIN SOCIETA' A RESPONSABILITA' LIMITATA SEMPLIFICATA</t>
  </si>
  <si>
    <t>04662950270</t>
  </si>
  <si>
    <t>DEGLUPTA SRL</t>
  </si>
  <si>
    <t>04655540278</t>
  </si>
  <si>
    <t>HI-VENICE PELLE DI MARE MANUFACTURING COMPANY S.R.L.</t>
  </si>
  <si>
    <t>04180590277</t>
  </si>
  <si>
    <t>PENAZZATO UBALDINO &amp; C. S.R.L.</t>
  </si>
  <si>
    <t>04157450273</t>
  </si>
  <si>
    <t>151209</t>
  </si>
  <si>
    <t>152010</t>
  </si>
  <si>
    <t>Treviso</t>
  </si>
  <si>
    <t>Veneto</t>
  </si>
  <si>
    <t>MONDEOX SRL</t>
  </si>
  <si>
    <t>05424420262</t>
  </si>
  <si>
    <t>REVEXS S.R.L.</t>
  </si>
  <si>
    <t>08646761216</t>
  </si>
  <si>
    <t>GIAC &amp; POL S.R.L.</t>
  </si>
  <si>
    <t>04348070261</t>
  </si>
  <si>
    <t>ARTE IN BORSE SOCIETA' A RESPONSABILITA' LIMITATA SEMPLIFICATA</t>
  </si>
  <si>
    <t>11794330016</t>
  </si>
  <si>
    <t>Torino</t>
  </si>
  <si>
    <t>Piemonte</t>
  </si>
  <si>
    <t>151209</t>
  </si>
  <si>
    <t>DAVIICLE SRL</t>
  </si>
  <si>
    <t>01571040524</t>
  </si>
  <si>
    <t>Siena</t>
  </si>
  <si>
    <t>Toscana</t>
  </si>
  <si>
    <t>Roma</t>
  </si>
  <si>
    <t>Lazio</t>
  </si>
  <si>
    <t>152010</t>
  </si>
  <si>
    <t>151209</t>
  </si>
  <si>
    <t>151200</t>
  </si>
  <si>
    <t>GRANATA SELLERIA - SOCIETA' A RESPONSABILITA' LIMITATA</t>
  </si>
  <si>
    <t>01521311009</t>
  </si>
  <si>
    <t>Ragusa</t>
  </si>
  <si>
    <t>Sicilia</t>
  </si>
  <si>
    <t>MONYA GRANA S.R.L.</t>
  </si>
  <si>
    <t>01537260885</t>
  </si>
  <si>
    <t>CAMMINARE BENE SRL</t>
  </si>
  <si>
    <t>02966840353</t>
  </si>
  <si>
    <t>Reggio nell'Emilia</t>
  </si>
  <si>
    <t>Emilia-Romagna</t>
  </si>
  <si>
    <t>Pavia</t>
  </si>
  <si>
    <t>Lombardia</t>
  </si>
  <si>
    <t>TRE - G S.R.L.</t>
  </si>
  <si>
    <t>02708180183</t>
  </si>
  <si>
    <t>BELLEMARIE MILANO ITALIA S.R.L. DETTA ANCHE BMI S.R.L. DETTA ANCHE BIEMAI S.R.L.</t>
  </si>
  <si>
    <t>02642670182</t>
  </si>
  <si>
    <t>Pavia</t>
  </si>
  <si>
    <t>Lombardia</t>
  </si>
  <si>
    <t>CALZATURIFICIO DI VIGEVANO SRL</t>
  </si>
  <si>
    <t>01304760182</t>
  </si>
  <si>
    <t>152000</t>
  </si>
  <si>
    <t>Toscana</t>
  </si>
  <si>
    <t>152020</t>
  </si>
  <si>
    <t>Pisa</t>
  </si>
  <si>
    <t>TACCHIFICIO DAMA S.R.L.</t>
  </si>
  <si>
    <t>02456420500</t>
  </si>
  <si>
    <t>152000</t>
  </si>
  <si>
    <t>Pisa</t>
  </si>
  <si>
    <t>Toscana</t>
  </si>
  <si>
    <t>INDUSTRIA CALZATURIERA MARROS S.R.L. IN LIQUIDAZIONE</t>
  </si>
  <si>
    <t>04998640488</t>
  </si>
  <si>
    <t>152010</t>
  </si>
  <si>
    <t>SOCIETE' DES CHAUSSURES SEDUCTA CHARLES JOURDAN ET FILS</t>
  </si>
  <si>
    <t>Padova</t>
  </si>
  <si>
    <t>Veneto</t>
  </si>
  <si>
    <t>151209</t>
  </si>
  <si>
    <t>MY BAG S.R.L.</t>
  </si>
  <si>
    <t>04945470286</t>
  </si>
  <si>
    <t>152010</t>
  </si>
  <si>
    <t>Napoli</t>
  </si>
  <si>
    <t>Campania</t>
  </si>
  <si>
    <t>M.C.N. MANIFATTURA CALZATURE NAPOLETANE S.R.L.</t>
  </si>
  <si>
    <t>10057861212</t>
  </si>
  <si>
    <t>Napoli</t>
  </si>
  <si>
    <t>Campania</t>
  </si>
  <si>
    <t>152010</t>
  </si>
  <si>
    <t>EMERALD S.R.L</t>
  </si>
  <si>
    <t>09238381215</t>
  </si>
  <si>
    <t>151209</t>
  </si>
  <si>
    <t>Napoli</t>
  </si>
  <si>
    <t>Campania</t>
  </si>
  <si>
    <t>PRODUCTION BAGS SOCIETA' A RESPONSABILITA' LIMITATA SEMPLIFICATA</t>
  </si>
  <si>
    <t>08298351217</t>
  </si>
  <si>
    <t>FEBE S.R.L.</t>
  </si>
  <si>
    <t>07761371215</t>
  </si>
  <si>
    <t>Napoli</t>
  </si>
  <si>
    <t>Campania</t>
  </si>
  <si>
    <t>151209</t>
  </si>
  <si>
    <t>BORSETTIFICIO SCANU MADDALENA S.R.L.</t>
  </si>
  <si>
    <t>05633221212</t>
  </si>
  <si>
    <t>151209</t>
  </si>
  <si>
    <t>Milano</t>
  </si>
  <si>
    <t>Lombardia</t>
  </si>
  <si>
    <t>GIOSA S.R.L.</t>
  </si>
  <si>
    <t>08910100968</t>
  </si>
  <si>
    <t>Milano</t>
  </si>
  <si>
    <t>Lombardia</t>
  </si>
  <si>
    <t>152010</t>
  </si>
  <si>
    <t>ANI' ANI' S.R.L.</t>
  </si>
  <si>
    <t>05784530965</t>
  </si>
  <si>
    <t>151209</t>
  </si>
  <si>
    <t>Macerata</t>
  </si>
  <si>
    <t>Marche</t>
  </si>
  <si>
    <t>ZECCHINO D'ORO GROUP SRL</t>
  </si>
  <si>
    <t>02109450433</t>
  </si>
  <si>
    <t>152010</t>
  </si>
  <si>
    <t>Monza e della Brianza</t>
  </si>
  <si>
    <t>Lombardia</t>
  </si>
  <si>
    <t>151209</t>
  </si>
  <si>
    <t>LONG SRL</t>
  </si>
  <si>
    <t>07920120966</t>
  </si>
  <si>
    <t>Lucca</t>
  </si>
  <si>
    <t>Toscana</t>
  </si>
  <si>
    <t>ALEMA S.R.L.</t>
  </si>
  <si>
    <t>02651450468</t>
  </si>
  <si>
    <t>SERENA CECCHINI DESIGN S.R.L.</t>
  </si>
  <si>
    <t>02371560463</t>
  </si>
  <si>
    <t>152010</t>
  </si>
  <si>
    <t>Lecce</t>
  </si>
  <si>
    <t>Puglia</t>
  </si>
  <si>
    <t>AURORA DI SPECCHIA S.R.L.</t>
  </si>
  <si>
    <t>05275240751</t>
  </si>
  <si>
    <t>152020</t>
  </si>
  <si>
    <t>Fermo</t>
  </si>
  <si>
    <t>Marche</t>
  </si>
  <si>
    <t>152010</t>
  </si>
  <si>
    <t>TIP TAP FACTORY S.R.L.</t>
  </si>
  <si>
    <t>02519720441</t>
  </si>
  <si>
    <t>CLONES S.R.L.</t>
  </si>
  <si>
    <t>02501000448</t>
  </si>
  <si>
    <t>152010</t>
  </si>
  <si>
    <t>Fermo</t>
  </si>
  <si>
    <t>Marche</t>
  </si>
  <si>
    <t>FASTEMA S.R.L.</t>
  </si>
  <si>
    <t>02356870440</t>
  </si>
  <si>
    <t>152010</t>
  </si>
  <si>
    <t>Fermo</t>
  </si>
  <si>
    <t>Marche</t>
  </si>
  <si>
    <t>CLEF SRL</t>
  </si>
  <si>
    <t>00481760445</t>
  </si>
  <si>
    <t>151209</t>
  </si>
  <si>
    <t>Firenze</t>
  </si>
  <si>
    <t>Toscana</t>
  </si>
  <si>
    <t>MANIFATTURA ITALIANA PELLETTERIE SOCIETA' A RESPONSABILITA' LIMIT ATA SEMPLIFICATA</t>
  </si>
  <si>
    <t>07229820480</t>
  </si>
  <si>
    <t>SPACCATRICE CAPPIANO SRL</t>
  </si>
  <si>
    <t>01964720500</t>
  </si>
  <si>
    <t>151100</t>
  </si>
  <si>
    <t>Firenze</t>
  </si>
  <si>
    <t>Toscana</t>
  </si>
  <si>
    <t>SA.GI. S.R.L.</t>
  </si>
  <si>
    <t>02085700785</t>
  </si>
  <si>
    <t>152000</t>
  </si>
  <si>
    <t>Cosenza</t>
  </si>
  <si>
    <t>Calabria</t>
  </si>
  <si>
    <t>152010</t>
  </si>
  <si>
    <t>Campania</t>
  </si>
  <si>
    <t>151209</t>
  </si>
  <si>
    <t>Puglia</t>
  </si>
  <si>
    <t>151100</t>
  </si>
  <si>
    <t>Bologna</t>
  </si>
  <si>
    <t>Emilia-Romagna</t>
  </si>
  <si>
    <t>AMO S.R.L.</t>
  </si>
  <si>
    <t>04072021209</t>
  </si>
  <si>
    <t>MADE FOR YOU S.R.L.</t>
  </si>
  <si>
    <t>03652771209</t>
  </si>
  <si>
    <t>Benevento</t>
  </si>
  <si>
    <t>RETE PELLI MEDITERRANEO</t>
  </si>
  <si>
    <t>01821080627</t>
  </si>
  <si>
    <t>PHOENIX SOCIETA' A RESPONSABILITA' LIMITATA</t>
  </si>
  <si>
    <t>08836210727</t>
  </si>
  <si>
    <t>Barletta-Andria-Trani</t>
  </si>
  <si>
    <t>Barletta-Andria-Trani</t>
  </si>
  <si>
    <t>Puglia</t>
  </si>
  <si>
    <t>TRANCERIA DIMONTE'S SOCIETA' A RESPONSABILITA' LIMITATA SEMPLIFIC ATA</t>
  </si>
  <si>
    <t>08228440726</t>
  </si>
  <si>
    <t>152020</t>
  </si>
  <si>
    <t>151100</t>
  </si>
  <si>
    <t>Avellino</t>
  </si>
  <si>
    <t>Campania</t>
  </si>
  <si>
    <t>MANIFATTURE CONCIARIE SRL</t>
  </si>
  <si>
    <t>02928580642</t>
  </si>
  <si>
    <t>151100</t>
  </si>
  <si>
    <t>Avellino</t>
  </si>
  <si>
    <t>Campania</t>
  </si>
  <si>
    <t>D.G. LEATHER INTERNATIONAL S.R.L.</t>
  </si>
  <si>
    <t>01809940644</t>
  </si>
  <si>
    <t>HAMANA S.R.L., IN LIQUIDAZIONE</t>
  </si>
  <si>
    <t>01705020640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</si>
</sst>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b/>
      <sz val="8.5"/>
      <color indexed="56"/>
      <name val="Verdana"/>
      <family val="2"/>
    </font>
    <font>
      <b/>
      <sz val="8.5"/>
      <color indexed="9"/>
      <name val="Verdana"/>
      <family val="2"/>
    </font>
    <font>
      <sz val="8.5"/>
      <color indexed="63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3" borderId="0" xfId="0" applyFill="1"/>
    <xf numFmtId="0" fontId="2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3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D819D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7EBF7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A3B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41"/>
  <sheetViews>
    <sheetView tabSelected="1" workbookViewId="0">
      <selection activeCell="I12" sqref="I12"/>
    </sheetView>
  </sheetViews>
  <sheetFormatPr defaultRowHeight="13.2" x14ac:dyDescent="0.25"/>
  <cols>
    <col min="1" max="1" width="30" style="2" customWidth="1"/>
    <col min="2" max="3" width="32.6640625" style="2" customWidth="1"/>
    <col min="4" max="4" width="18.77734375" style="2" customWidth="1"/>
    <col min="5" max="5" width="32.6640625" style="2" customWidth="1"/>
    <col min="6" max="6" width="30.21875" style="2" customWidth="1"/>
  </cols>
  <sheetData>
    <row r="1" spans="1:6" ht="37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95" customHeight="1" x14ac:dyDescent="0.25">
      <c r="A2" s="5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tr">
        <f>HYPERLINK("http://www.gucci.com/","www.gucci.com")</f>
        <v>www.gucci.com</v>
      </c>
    </row>
    <row r="3" spans="1:6" ht="16.95" customHeight="1" x14ac:dyDescent="0.25">
      <c r="A3" s="1" t="s">
        <v>11</v>
      </c>
      <c r="B3" s="6" t="s">
        <v>12</v>
      </c>
      <c r="C3" s="6" t="s">
        <v>8</v>
      </c>
      <c r="D3" s="6" t="s">
        <v>13</v>
      </c>
      <c r="E3" s="6" t="s">
        <v>14</v>
      </c>
      <c r="F3" s="6" t="str">
        <f>HYPERLINK("http://www.prada.com/","www.prada.com")</f>
        <v>www.prada.com</v>
      </c>
    </row>
    <row r="4" spans="1:6" ht="29.55" customHeight="1" x14ac:dyDescent="0.25">
      <c r="A4" s="5" t="s">
        <v>15</v>
      </c>
      <c r="B4" s="4" t="s">
        <v>16</v>
      </c>
      <c r="C4" s="4" t="s">
        <v>8</v>
      </c>
      <c r="D4" s="4" t="s">
        <v>9</v>
      </c>
      <c r="E4" s="4" t="s">
        <v>10</v>
      </c>
      <c r="F4" s="4" t="str">
        <f>HYPERLINK("http://www.gucci.com/","http://www.gucci.com")</f>
        <v>http://www.gucci.com</v>
      </c>
    </row>
    <row r="5" spans="1:6" ht="16.95" customHeight="1" x14ac:dyDescent="0.25">
      <c r="A5" s="1" t="s">
        <v>17</v>
      </c>
      <c r="B5" s="6" t="s">
        <v>18</v>
      </c>
      <c r="C5" s="6" t="s">
        <v>8</v>
      </c>
      <c r="D5" s="6" t="s">
        <v>19</v>
      </c>
      <c r="E5" s="6" t="s">
        <v>20</v>
      </c>
      <c r="F5" s="6" t="str">
        <f>HYPERLINK("http://www.bottegaveneta.com/","http://www.bottegaveneta.com")</f>
        <v>http://www.bottegaveneta.com</v>
      </c>
    </row>
    <row r="6" spans="1:6" ht="16.95" customHeight="1" x14ac:dyDescent="0.25">
      <c r="A6" s="5" t="s">
        <v>21</v>
      </c>
      <c r="B6" s="4" t="s">
        <v>22</v>
      </c>
      <c r="C6" s="4" t="s">
        <v>23</v>
      </c>
      <c r="D6" s="4" t="s">
        <v>9</v>
      </c>
      <c r="E6" s="4" t="s">
        <v>10</v>
      </c>
      <c r="F6" s="4" t="str">
        <f>HYPERLINK("http://group.ferragamo.com/","group.ferragamo.com")</f>
        <v>group.ferragamo.com</v>
      </c>
    </row>
    <row r="7" spans="1:6" ht="29.55" customHeight="1" x14ac:dyDescent="0.25">
      <c r="A7" s="1" t="s">
        <v>24</v>
      </c>
      <c r="B7" s="6" t="s">
        <v>25</v>
      </c>
      <c r="C7" s="6" t="s">
        <v>8</v>
      </c>
      <c r="D7" s="6" t="s">
        <v>9</v>
      </c>
      <c r="E7" s="6" t="s">
        <v>10</v>
      </c>
      <c r="F7" s="6" t="str">
        <f>HYPERLINK("http://www.ysl.com/","www.ysl.com")</f>
        <v>www.ysl.com</v>
      </c>
    </row>
    <row r="8" spans="1:6" ht="16.95" customHeight="1" x14ac:dyDescent="0.25">
      <c r="A8" s="1" t="s">
        <v>26</v>
      </c>
      <c r="B8" s="6" t="s">
        <v>27</v>
      </c>
      <c r="C8" s="6" t="s">
        <v>23</v>
      </c>
      <c r="D8" s="6" t="s">
        <v>28</v>
      </c>
      <c r="E8" s="6" t="s">
        <v>29</v>
      </c>
      <c r="F8" s="6" t="str">
        <f>HYPERLINK("http://www.todsgroup.com/","www.todsgroup.com")</f>
        <v>www.todsgroup.com</v>
      </c>
    </row>
    <row r="9" spans="1:6" ht="16.95" customHeight="1" x14ac:dyDescent="0.25">
      <c r="A9" s="5" t="s">
        <v>30</v>
      </c>
      <c r="B9" s="4" t="s">
        <v>31</v>
      </c>
      <c r="C9" s="4" t="s">
        <v>8</v>
      </c>
      <c r="D9" s="4" t="s">
        <v>9</v>
      </c>
      <c r="E9" s="4" t="s">
        <v>10</v>
      </c>
      <c r="F9" s="4" t="str">
        <f>HYPERLINK("http://www.balenciaga.com/","http://www.balenciaga.com")</f>
        <v>http://www.balenciaga.com</v>
      </c>
    </row>
    <row r="10" spans="1:6" ht="16.95" customHeight="1" x14ac:dyDescent="0.25">
      <c r="A10" s="5" t="s">
        <v>32</v>
      </c>
      <c r="B10" s="4" t="s">
        <v>33</v>
      </c>
      <c r="C10" s="4" t="s">
        <v>23</v>
      </c>
      <c r="D10" s="4" t="s">
        <v>34</v>
      </c>
      <c r="E10" s="4" t="s">
        <v>20</v>
      </c>
      <c r="F10" s="4" t="str">
        <f>HYPERLINK("http://www.geox.biz/","www.geox.biz")</f>
        <v>www.geox.biz</v>
      </c>
    </row>
    <row r="11" spans="1:6" ht="16.95" customHeight="1" x14ac:dyDescent="0.25">
      <c r="A11" s="1" t="s">
        <v>35</v>
      </c>
      <c r="B11" s="6" t="s">
        <v>36</v>
      </c>
      <c r="C11" s="6" t="s">
        <v>37</v>
      </c>
      <c r="D11" s="6" t="s">
        <v>19</v>
      </c>
      <c r="E11" s="6" t="s">
        <v>20</v>
      </c>
      <c r="F11" s="6" t="str">
        <f>HYPERLINK("http://www.pasubio.com/","http://www.pasubio.com")</f>
        <v>http://www.pasubio.com</v>
      </c>
    </row>
    <row r="12" spans="1:6" ht="16.95" customHeight="1" x14ac:dyDescent="0.25">
      <c r="A12" s="5" t="s">
        <v>38</v>
      </c>
      <c r="B12" s="4" t="s">
        <v>39</v>
      </c>
      <c r="C12" s="4" t="s">
        <v>37</v>
      </c>
      <c r="D12" s="4" t="s">
        <v>19</v>
      </c>
      <c r="E12" s="4" t="s">
        <v>20</v>
      </c>
      <c r="F12" s="4" t="str">
        <f>HYPERLINK("http://www.mastrotto.com/","www.mastrotto.com")</f>
        <v>www.mastrotto.com</v>
      </c>
    </row>
    <row r="13" spans="1:6" ht="16.95" customHeight="1" x14ac:dyDescent="0.25">
      <c r="A13" s="1" t="s">
        <v>40</v>
      </c>
      <c r="B13" s="6" t="s">
        <v>41</v>
      </c>
      <c r="C13" s="6" t="s">
        <v>23</v>
      </c>
      <c r="D13" s="6" t="s">
        <v>34</v>
      </c>
      <c r="E13" s="6" t="s">
        <v>20</v>
      </c>
      <c r="F13" s="6" t="str">
        <f>HYPERLINK("http://www.alpinestarsinc.com/","http://www.alpinestarsinc.com")</f>
        <v>http://www.alpinestarsinc.com</v>
      </c>
    </row>
    <row r="14" spans="1:6" ht="29.55" customHeight="1" x14ac:dyDescent="0.25">
      <c r="A14" s="5" t="s">
        <v>42</v>
      </c>
      <c r="B14" s="4" t="s">
        <v>43</v>
      </c>
      <c r="C14" s="4" t="s">
        <v>37</v>
      </c>
      <c r="D14" s="4" t="s">
        <v>19</v>
      </c>
      <c r="E14" s="4" t="s">
        <v>20</v>
      </c>
      <c r="F14" s="4" t="str">
        <f>HYPERLINK("http://www.rinomastrotto.com/","www.rinomastrotto.com")</f>
        <v>www.rinomastrotto.com</v>
      </c>
    </row>
    <row r="15" spans="1:6" ht="16.95" customHeight="1" x14ac:dyDescent="0.25">
      <c r="A15" s="1" t="s">
        <v>44</v>
      </c>
      <c r="B15" s="6" t="s">
        <v>45</v>
      </c>
      <c r="C15" s="6" t="s">
        <v>8</v>
      </c>
      <c r="D15" s="6" t="s">
        <v>9</v>
      </c>
      <c r="E15" s="6" t="s">
        <v>10</v>
      </c>
      <c r="F15" s="6" t="str">
        <f>HYPERLINK("http://www.celine.fr/","http://www.celine.fr")</f>
        <v>http://www.celine.fr</v>
      </c>
    </row>
    <row r="16" spans="1:6" ht="16.95" customHeight="1" x14ac:dyDescent="0.25">
      <c r="A16" s="5" t="s">
        <v>46</v>
      </c>
      <c r="B16" s="4" t="s">
        <v>47</v>
      </c>
      <c r="C16" s="4" t="s">
        <v>23</v>
      </c>
      <c r="D16" s="4" t="s">
        <v>48</v>
      </c>
      <c r="E16" s="4" t="s">
        <v>49</v>
      </c>
      <c r="F16" s="4" t="str">
        <f>HYPERLINK("http://www.leoshoes.it/","http://www.leoshoes.it")</f>
        <v>http://www.leoshoes.it</v>
      </c>
    </row>
    <row r="17" spans="1:6" ht="16.95" customHeight="1" x14ac:dyDescent="0.25">
      <c r="A17" s="1" t="s">
        <v>50</v>
      </c>
      <c r="B17" s="6" t="s">
        <v>51</v>
      </c>
      <c r="C17" s="6" t="s">
        <v>8</v>
      </c>
      <c r="D17" s="6" t="s">
        <v>13</v>
      </c>
      <c r="E17" s="6" t="s">
        <v>14</v>
      </c>
      <c r="F17" s="6" t="str">
        <f>HYPERLINK("http://www.renatocorti.it/","www.renatocorti.it")</f>
        <v>www.renatocorti.it</v>
      </c>
    </row>
    <row r="18" spans="1:6" ht="16.95" customHeight="1" x14ac:dyDescent="0.25">
      <c r="A18" s="5" t="s">
        <v>52</v>
      </c>
      <c r="B18" s="4" t="s">
        <v>53</v>
      </c>
      <c r="C18" s="4" t="s">
        <v>23</v>
      </c>
      <c r="D18" s="4" t="s">
        <v>54</v>
      </c>
      <c r="E18" s="4" t="s">
        <v>29</v>
      </c>
      <c r="F18" s="4" t="str">
        <f>HYPERLINK("http://www.igieco.it/","www.igieco.it")</f>
        <v>www.igieco.it</v>
      </c>
    </row>
    <row r="19" spans="1:6" ht="16.95" customHeight="1" x14ac:dyDescent="0.25">
      <c r="A19" s="1" t="s">
        <v>55</v>
      </c>
      <c r="B19" s="6" t="s">
        <v>56</v>
      </c>
      <c r="C19" s="6" t="s">
        <v>23</v>
      </c>
      <c r="D19" s="6" t="s">
        <v>34</v>
      </c>
      <c r="E19" s="6" t="s">
        <v>20</v>
      </c>
      <c r="F19" s="6" t="str">
        <f>HYPERLINK("http://grisport.it/","grisport.it")</f>
        <v>grisport.it</v>
      </c>
    </row>
    <row r="20" spans="1:6" ht="16.95" customHeight="1" x14ac:dyDescent="0.25">
      <c r="A20" s="5" t="s">
        <v>57</v>
      </c>
      <c r="B20" s="4" t="s">
        <v>58</v>
      </c>
      <c r="C20" s="4" t="s">
        <v>8</v>
      </c>
      <c r="D20" s="4" t="s">
        <v>59</v>
      </c>
      <c r="E20" s="4" t="s">
        <v>60</v>
      </c>
      <c r="F20" s="4" t="str">
        <f>HYPERLINK("http://mabi.it/","mabi.it")</f>
        <v>mabi.it</v>
      </c>
    </row>
    <row r="21" spans="1:6" ht="16.95" customHeight="1" x14ac:dyDescent="0.25">
      <c r="A21" s="1" t="s">
        <v>61</v>
      </c>
      <c r="B21" s="6" t="s">
        <v>62</v>
      </c>
      <c r="C21" s="6" t="s">
        <v>23</v>
      </c>
      <c r="D21" s="6" t="s">
        <v>34</v>
      </c>
      <c r="E21" s="6" t="s">
        <v>20</v>
      </c>
      <c r="F21" s="6" t="str">
        <f>HYPERLINK("http://www.diadora.com/","www.diadora.com")</f>
        <v>www.diadora.com</v>
      </c>
    </row>
    <row r="22" spans="1:6" ht="16.95" customHeight="1" x14ac:dyDescent="0.25">
      <c r="A22" s="5" t="s">
        <v>63</v>
      </c>
      <c r="B22" s="4" t="s">
        <v>64</v>
      </c>
      <c r="C22" s="4" t="s">
        <v>37</v>
      </c>
      <c r="D22" s="4" t="s">
        <v>19</v>
      </c>
      <c r="E22" s="4" t="s">
        <v>20</v>
      </c>
      <c r="F22" s="4" t="str">
        <f>HYPERLINK("http://www.faeda.com/","www.faeda.com")</f>
        <v>www.faeda.com</v>
      </c>
    </row>
    <row r="23" spans="1:6" ht="29.55" customHeight="1" x14ac:dyDescent="0.25">
      <c r="A23" s="1" t="s">
        <v>65</v>
      </c>
      <c r="B23" s="6" t="s">
        <v>66</v>
      </c>
      <c r="C23" s="6" t="s">
        <v>23</v>
      </c>
      <c r="D23" s="6" t="s">
        <v>34</v>
      </c>
      <c r="E23" s="6" t="s">
        <v>20</v>
      </c>
      <c r="F23" s="6" t="str">
        <f>HYPERLINK("http://world.scarpa.com/","world.scarpa.com")</f>
        <v>world.scarpa.com</v>
      </c>
    </row>
    <row r="24" spans="1:6" ht="16.95" customHeight="1" x14ac:dyDescent="0.25">
      <c r="A24" s="5" t="s">
        <v>67</v>
      </c>
      <c r="B24" s="4" t="s">
        <v>68</v>
      </c>
      <c r="C24" s="4" t="s">
        <v>23</v>
      </c>
      <c r="D24" s="4" t="s">
        <v>69</v>
      </c>
      <c r="E24" s="4" t="s">
        <v>70</v>
      </c>
      <c r="F24" s="4" t="str">
        <f>HYPERLINK("http://www.pollini.com/","http://www.pollini.com")</f>
        <v>http://www.pollini.com</v>
      </c>
    </row>
    <row r="25" spans="1:6" ht="16.95" customHeight="1" x14ac:dyDescent="0.25">
      <c r="A25" s="1" t="s">
        <v>71</v>
      </c>
      <c r="B25" s="6" t="s">
        <v>72</v>
      </c>
      <c r="C25" s="6" t="s">
        <v>37</v>
      </c>
      <c r="D25" s="6" t="s">
        <v>19</v>
      </c>
      <c r="E25" s="6" t="s">
        <v>20</v>
      </c>
      <c r="F25" s="6" t="str">
        <f>HYPERLINK("http://www.gruppodani.com/","www.gruppodani.com")</f>
        <v>www.gruppodani.com</v>
      </c>
    </row>
    <row r="26" spans="1:6" ht="16.95" customHeight="1" x14ac:dyDescent="0.25">
      <c r="A26" s="5" t="s">
        <v>73</v>
      </c>
      <c r="B26" s="4" t="s">
        <v>74</v>
      </c>
      <c r="C26" s="4" t="s">
        <v>23</v>
      </c>
      <c r="D26" s="4" t="s">
        <v>75</v>
      </c>
      <c r="E26" s="4" t="s">
        <v>49</v>
      </c>
      <c r="F26" s="4" t="str">
        <f>HYPERLINK("http://www.cofra.it/","www.cofra.it")</f>
        <v>www.cofra.it</v>
      </c>
    </row>
    <row r="27" spans="1:6" ht="29.55" customHeight="1" x14ac:dyDescent="0.25">
      <c r="A27" s="1" t="s">
        <v>76</v>
      </c>
      <c r="B27" s="6" t="s">
        <v>77</v>
      </c>
      <c r="C27" s="6" t="s">
        <v>23</v>
      </c>
      <c r="D27" s="6" t="s">
        <v>78</v>
      </c>
      <c r="E27" s="6" t="s">
        <v>79</v>
      </c>
      <c r="F27" s="6" t="str">
        <f>HYPERLINK("http://www.calzaturificiogensi.com/","www.calzaturificiogensi.com")</f>
        <v>www.calzaturificiogensi.com</v>
      </c>
    </row>
    <row r="28" spans="1:6" ht="16.95" customHeight="1" x14ac:dyDescent="0.25">
      <c r="A28" s="5" t="s">
        <v>80</v>
      </c>
      <c r="B28" s="4" t="s">
        <v>81</v>
      </c>
      <c r="C28" s="4" t="s">
        <v>8</v>
      </c>
      <c r="D28" s="4" t="s">
        <v>13</v>
      </c>
      <c r="E28" s="4" t="s">
        <v>14</v>
      </c>
      <c r="F28" s="4" t="str">
        <f>HYPERLINK("http://www.fontanamilano1915.it/","www.fontanamilano1915.it")</f>
        <v>www.fontanamilano1915.it</v>
      </c>
    </row>
    <row r="29" spans="1:6" ht="16.95" customHeight="1" x14ac:dyDescent="0.25">
      <c r="A29" s="1" t="s">
        <v>86</v>
      </c>
      <c r="B29" s="6" t="s">
        <v>87</v>
      </c>
      <c r="C29" s="6" t="s">
        <v>82</v>
      </c>
      <c r="D29" s="6" t="s">
        <v>88</v>
      </c>
      <c r="E29" s="6" t="s">
        <v>89</v>
      </c>
      <c r="F29" s="6" t="str">
        <f>HYPERLINK("http://nerogiardini.it/","nerogiardini.it")</f>
        <v>nerogiardini.it</v>
      </c>
    </row>
    <row r="30" spans="1:6" ht="16.95" customHeight="1" x14ac:dyDescent="0.25">
      <c r="A30" s="5" t="s">
        <v>90</v>
      </c>
      <c r="B30" s="4" t="s">
        <v>91</v>
      </c>
      <c r="C30" s="4" t="s">
        <v>92</v>
      </c>
      <c r="D30" s="4" t="s">
        <v>93</v>
      </c>
      <c r="E30" s="4" t="s">
        <v>94</v>
      </c>
      <c r="F30" s="4" t="str">
        <f>HYPERLINK("http://lowa.it/","lowa.it")</f>
        <v>lowa.it</v>
      </c>
    </row>
    <row r="31" spans="1:6" ht="16.95" customHeight="1" x14ac:dyDescent="0.25">
      <c r="A31" s="1" t="s">
        <v>95</v>
      </c>
      <c r="B31" s="6" t="s">
        <v>96</v>
      </c>
      <c r="C31" s="6" t="s">
        <v>82</v>
      </c>
      <c r="D31" s="6" t="s">
        <v>97</v>
      </c>
      <c r="E31" s="6" t="s">
        <v>98</v>
      </c>
      <c r="F31" s="6" t="str">
        <f>HYPERLINK("http://www.roveda1955.com/","www.roveda1955.com")</f>
        <v>www.roveda1955.com</v>
      </c>
    </row>
    <row r="32" spans="1:6" ht="16.95" customHeight="1" x14ac:dyDescent="0.25">
      <c r="A32" s="5" t="s">
        <v>99</v>
      </c>
      <c r="B32" s="4" t="s">
        <v>100</v>
      </c>
      <c r="C32" s="4" t="s">
        <v>101</v>
      </c>
      <c r="D32" s="4" t="s">
        <v>102</v>
      </c>
      <c r="E32" s="4" t="s">
        <v>103</v>
      </c>
      <c r="F32" s="4" t="str">
        <f>HYPERLINK("http://mariolevi.com/","mariolevi.com")</f>
        <v>mariolevi.com</v>
      </c>
    </row>
    <row r="33" spans="1:6" ht="16.95" customHeight="1" x14ac:dyDescent="0.25">
      <c r="A33" s="1" t="s">
        <v>104</v>
      </c>
      <c r="B33" s="6" t="s">
        <v>105</v>
      </c>
      <c r="C33" s="6" t="s">
        <v>82</v>
      </c>
      <c r="D33" s="6" t="s">
        <v>106</v>
      </c>
      <c r="E33" s="6" t="s">
        <v>94</v>
      </c>
      <c r="F33" s="6" t="str">
        <f>HYPERLINK("http://www.ciclostar.it/","www.ciclostar.it")</f>
        <v>www.ciclostar.it</v>
      </c>
    </row>
    <row r="34" spans="1:6" ht="16.95" customHeight="1" x14ac:dyDescent="0.25">
      <c r="A34" s="5" t="s">
        <v>107</v>
      </c>
      <c r="B34" s="4" t="s">
        <v>108</v>
      </c>
      <c r="C34" s="4" t="s">
        <v>82</v>
      </c>
      <c r="D34" s="4" t="s">
        <v>97</v>
      </c>
      <c r="E34" s="4" t="s">
        <v>98</v>
      </c>
      <c r="F34" s="4" t="str">
        <f>HYPERLINK("http://www.santonishoes.com/","www.santonishoes.com")</f>
        <v>www.santonishoes.com</v>
      </c>
    </row>
    <row r="35" spans="1:6" ht="16.95" customHeight="1" x14ac:dyDescent="0.25">
      <c r="A35" s="1" t="s">
        <v>109</v>
      </c>
      <c r="B35" s="6" t="s">
        <v>110</v>
      </c>
      <c r="C35" s="6" t="s">
        <v>101</v>
      </c>
      <c r="D35" s="6" t="s">
        <v>111</v>
      </c>
      <c r="E35" s="6" t="s">
        <v>84</v>
      </c>
      <c r="F35" s="6" t="str">
        <f>HYPERLINK("http://www.lamipel.it/","www.lamipel.it")</f>
        <v>www.lamipel.it</v>
      </c>
    </row>
    <row r="36" spans="1:6" ht="16.95" customHeight="1" x14ac:dyDescent="0.25">
      <c r="A36" s="1" t="s">
        <v>113</v>
      </c>
      <c r="B36" s="6" t="s">
        <v>114</v>
      </c>
      <c r="C36" s="6" t="s">
        <v>82</v>
      </c>
      <c r="D36" s="6" t="s">
        <v>115</v>
      </c>
      <c r="E36" s="6" t="s">
        <v>89</v>
      </c>
      <c r="F36" s="6" t="str">
        <f>HYPERLINK("http://www.falcotto.com/","www.falcotto.com")</f>
        <v>www.falcotto.com</v>
      </c>
    </row>
    <row r="37" spans="1:6" ht="16.95" customHeight="1" x14ac:dyDescent="0.25">
      <c r="A37" s="5" t="s">
        <v>116</v>
      </c>
      <c r="B37" s="4" t="s">
        <v>117</v>
      </c>
      <c r="C37" s="4" t="s">
        <v>82</v>
      </c>
      <c r="D37" s="4" t="s">
        <v>118</v>
      </c>
      <c r="E37" s="4" t="s">
        <v>119</v>
      </c>
      <c r="F37" s="4" t="str">
        <f>HYPERLINK("http://www.gianvitorossi.com/","www.gianvitorossi.com")</f>
        <v>www.gianvitorossi.com</v>
      </c>
    </row>
    <row r="38" spans="1:6" ht="29.55" customHeight="1" x14ac:dyDescent="0.25">
      <c r="A38" s="1" t="s">
        <v>120</v>
      </c>
      <c r="B38" s="6" t="s">
        <v>121</v>
      </c>
      <c r="C38" s="6" t="s">
        <v>85</v>
      </c>
      <c r="D38" s="6" t="s">
        <v>122</v>
      </c>
      <c r="E38" s="6" t="s">
        <v>123</v>
      </c>
      <c r="F38" s="6" t="str">
        <f>HYPERLINK("http://www.guerrierosrl.eu/","www.guerrierosrl.eu")</f>
        <v>www.guerrierosrl.eu</v>
      </c>
    </row>
    <row r="39" spans="1:6" ht="16.95" customHeight="1" x14ac:dyDescent="0.25">
      <c r="A39" s="5" t="s">
        <v>124</v>
      </c>
      <c r="B39" s="4" t="s">
        <v>125</v>
      </c>
      <c r="C39" s="4" t="s">
        <v>82</v>
      </c>
      <c r="D39" s="4" t="s">
        <v>97</v>
      </c>
      <c r="E39" s="4" t="s">
        <v>98</v>
      </c>
      <c r="F39" s="4" t="str">
        <f>HYPERLINK("http://mille885.com/","mille885.com")</f>
        <v>mille885.com</v>
      </c>
    </row>
    <row r="40" spans="1:6" ht="16.95" customHeight="1" x14ac:dyDescent="0.25">
      <c r="A40" s="1" t="s">
        <v>126</v>
      </c>
      <c r="B40" s="6" t="s">
        <v>127</v>
      </c>
      <c r="C40" s="6" t="s">
        <v>82</v>
      </c>
      <c r="D40" s="6" t="s">
        <v>112</v>
      </c>
      <c r="E40" s="6" t="s">
        <v>94</v>
      </c>
      <c r="F40" s="6" t="str">
        <f>HYPERLINK("http://rossimoda.com/","rossimoda.com")</f>
        <v>rossimoda.com</v>
      </c>
    </row>
    <row r="41" spans="1:6" ht="16.95" customHeight="1" x14ac:dyDescent="0.25">
      <c r="A41" s="5" t="s">
        <v>128</v>
      </c>
      <c r="B41" s="4" t="s">
        <v>129</v>
      </c>
      <c r="C41" s="4" t="s">
        <v>101</v>
      </c>
      <c r="D41" s="4" t="s">
        <v>130</v>
      </c>
      <c r="E41" s="4" t="s">
        <v>94</v>
      </c>
      <c r="F41" s="4" t="str">
        <f>HYPERLINK("http://www.crestleather.com/","www.crestleather.com")</f>
        <v>www.crestleather.com</v>
      </c>
    </row>
    <row r="42" spans="1:6" ht="16.95" customHeight="1" x14ac:dyDescent="0.25">
      <c r="A42" s="1" t="s">
        <v>131</v>
      </c>
      <c r="B42" s="6" t="s">
        <v>132</v>
      </c>
      <c r="C42" s="6" t="s">
        <v>133</v>
      </c>
      <c r="D42" s="6" t="s">
        <v>97</v>
      </c>
      <c r="E42" s="6" t="s">
        <v>98</v>
      </c>
      <c r="F42" s="6" t="str">
        <f>HYPERLINK("http://www.ama-milano.it/it/","http://www.ama-milano.it/it/")</f>
        <v>http://www.ama-milano.it/it/</v>
      </c>
    </row>
    <row r="43" spans="1:6" ht="16.95" customHeight="1" x14ac:dyDescent="0.25">
      <c r="A43" s="5" t="s">
        <v>134</v>
      </c>
      <c r="B43" s="4" t="s">
        <v>135</v>
      </c>
      <c r="C43" s="4" t="s">
        <v>85</v>
      </c>
      <c r="D43" s="4" t="s">
        <v>136</v>
      </c>
      <c r="E43" s="4" t="s">
        <v>119</v>
      </c>
      <c r="F43" s="4" t="str">
        <f>HYPERLINK("http://www.coccinelle.com/","http://www.coccinelle.com")</f>
        <v>http://www.coccinelle.com</v>
      </c>
    </row>
    <row r="44" spans="1:6" ht="29.55" customHeight="1" x14ac:dyDescent="0.25">
      <c r="A44" s="1" t="s">
        <v>137</v>
      </c>
      <c r="B44" s="6" t="s">
        <v>138</v>
      </c>
      <c r="C44" s="6" t="s">
        <v>101</v>
      </c>
      <c r="D44" s="6" t="s">
        <v>111</v>
      </c>
      <c r="E44" s="6" t="s">
        <v>84</v>
      </c>
      <c r="F44" s="6" t="str">
        <f>HYPERLINK("http://www.nutiivo.it/nutiivo","www.nutiivo.it/nutiivo")</f>
        <v>www.nutiivo.it/nutiivo</v>
      </c>
    </row>
    <row r="45" spans="1:6" ht="16.95" customHeight="1" x14ac:dyDescent="0.25">
      <c r="A45" s="1" t="s">
        <v>139</v>
      </c>
      <c r="B45" s="6" t="s">
        <v>140</v>
      </c>
      <c r="C45" s="6" t="s">
        <v>85</v>
      </c>
      <c r="D45" s="6" t="s">
        <v>83</v>
      </c>
      <c r="E45" s="6" t="s">
        <v>84</v>
      </c>
      <c r="F45" s="6" t="str">
        <f>HYPERLINK("http://tripeldue.it/","tripeldue.it")</f>
        <v>tripeldue.it</v>
      </c>
    </row>
    <row r="46" spans="1:6" ht="16.95" customHeight="1" x14ac:dyDescent="0.25">
      <c r="A46" s="5" t="s">
        <v>141</v>
      </c>
      <c r="B46" s="4" t="s">
        <v>142</v>
      </c>
      <c r="C46" s="4" t="s">
        <v>82</v>
      </c>
      <c r="D46" s="4" t="s">
        <v>97</v>
      </c>
      <c r="E46" s="4" t="s">
        <v>98</v>
      </c>
      <c r="F46" s="4" t="str">
        <f>HYPERLINK("http://dsquared2.com/","dsquared2.com")</f>
        <v>dsquared2.com</v>
      </c>
    </row>
    <row r="47" spans="1:6" ht="16.95" customHeight="1" x14ac:dyDescent="0.25">
      <c r="A47" s="1" t="s">
        <v>143</v>
      </c>
      <c r="B47" s="6" t="s">
        <v>144</v>
      </c>
      <c r="C47" s="6" t="s">
        <v>85</v>
      </c>
      <c r="D47" s="6" t="s">
        <v>145</v>
      </c>
      <c r="E47" s="6" t="s">
        <v>119</v>
      </c>
      <c r="F47" s="6" t="str">
        <f>HYPERLINK("http://ru.piquadro.com/","ru.piquadro.com")</f>
        <v>ru.piquadro.com</v>
      </c>
    </row>
    <row r="48" spans="1:6" ht="16.95" customHeight="1" x14ac:dyDescent="0.25">
      <c r="A48" s="5" t="s">
        <v>146</v>
      </c>
      <c r="B48" s="4" t="s">
        <v>147</v>
      </c>
      <c r="C48" s="4" t="s">
        <v>82</v>
      </c>
      <c r="D48" s="4" t="s">
        <v>118</v>
      </c>
      <c r="E48" s="4" t="s">
        <v>119</v>
      </c>
      <c r="F48" s="4" t="str">
        <f>HYPERLINK("http://www.giuseppezanotti.ru/","www.giuseppezanotti.ru")</f>
        <v>www.giuseppezanotti.ru</v>
      </c>
    </row>
    <row r="49" spans="1:6" ht="16.95" customHeight="1" x14ac:dyDescent="0.25">
      <c r="A49" s="1" t="s">
        <v>148</v>
      </c>
      <c r="B49" s="6" t="s">
        <v>149</v>
      </c>
      <c r="C49" s="6" t="s">
        <v>82</v>
      </c>
      <c r="D49" s="6" t="s">
        <v>83</v>
      </c>
      <c r="E49" s="6" t="s">
        <v>84</v>
      </c>
      <c r="F49" s="6" t="str">
        <f>HYPERLINK("http://www.freelandcalzature.it/","www.freelandcalzature.it")</f>
        <v>www.freelandcalzature.it</v>
      </c>
    </row>
    <row r="50" spans="1:6" ht="29.55" customHeight="1" x14ac:dyDescent="0.25">
      <c r="A50" s="1" t="s">
        <v>150</v>
      </c>
      <c r="B50" s="6" t="s">
        <v>151</v>
      </c>
      <c r="C50" s="6" t="s">
        <v>85</v>
      </c>
      <c r="D50" s="6" t="s">
        <v>130</v>
      </c>
      <c r="E50" s="6" t="s">
        <v>94</v>
      </c>
      <c r="F50" s="6" t="str">
        <f>HYPERLINK("http://pelletteriepalladio.it/","pelletteriepalladio.it")</f>
        <v>pelletteriepalladio.it</v>
      </c>
    </row>
    <row r="51" spans="1:6" ht="16.95" customHeight="1" x14ac:dyDescent="0.25">
      <c r="A51" s="5" t="s">
        <v>152</v>
      </c>
      <c r="B51" s="4" t="s">
        <v>153</v>
      </c>
      <c r="C51" s="4" t="s">
        <v>82</v>
      </c>
      <c r="D51" s="4" t="s">
        <v>88</v>
      </c>
      <c r="E51" s="4" t="s">
        <v>89</v>
      </c>
      <c r="F51" s="4" t="str">
        <f>HYPERLINK("http://www.italianshoes.com/","http://www.italianshoes.com")</f>
        <v>http://www.italianshoes.com</v>
      </c>
    </row>
    <row r="52" spans="1:6" ht="16.95" customHeight="1" x14ac:dyDescent="0.25">
      <c r="A52" s="1" t="s">
        <v>154</v>
      </c>
      <c r="B52" s="6" t="s">
        <v>155</v>
      </c>
      <c r="C52" s="6" t="s">
        <v>101</v>
      </c>
      <c r="D52" s="6" t="s">
        <v>97</v>
      </c>
      <c r="E52" s="6" t="s">
        <v>98</v>
      </c>
      <c r="F52" s="6" t="str">
        <f>HYPERLINK("http://www.bonaudo.com/","http://www.bonaudo.com")</f>
        <v>http://www.bonaudo.com</v>
      </c>
    </row>
    <row r="53" spans="1:6" ht="16.95" customHeight="1" x14ac:dyDescent="0.25">
      <c r="A53" s="5" t="s">
        <v>156</v>
      </c>
      <c r="B53" s="4" t="s">
        <v>157</v>
      </c>
      <c r="C53" s="4" t="s">
        <v>101</v>
      </c>
      <c r="D53" s="4" t="s">
        <v>122</v>
      </c>
      <c r="E53" s="4" t="s">
        <v>123</v>
      </c>
      <c r="F53" s="4" t="str">
        <f>HYPERLINK("http://www.russodicasandrino.com/","www.russodicasandrino.com")</f>
        <v>www.russodicasandrino.com</v>
      </c>
    </row>
    <row r="54" spans="1:6" ht="29.55" customHeight="1" x14ac:dyDescent="0.25">
      <c r="A54" s="1" t="s">
        <v>158</v>
      </c>
      <c r="B54" s="6" t="s">
        <v>159</v>
      </c>
      <c r="C54" s="6" t="s">
        <v>101</v>
      </c>
      <c r="D54" s="6" t="s">
        <v>130</v>
      </c>
      <c r="E54" s="6" t="s">
        <v>94</v>
      </c>
      <c r="F54" s="6" t="str">
        <f>HYPERLINK("http://www.gruppoperetti.com/","http://www.gruppoperetti.com")</f>
        <v>http://www.gruppoperetti.com</v>
      </c>
    </row>
    <row r="55" spans="1:6" ht="16.95" customHeight="1" x14ac:dyDescent="0.25">
      <c r="A55" s="5" t="s">
        <v>160</v>
      </c>
      <c r="B55" s="4" t="s">
        <v>161</v>
      </c>
      <c r="C55" s="4" t="s">
        <v>85</v>
      </c>
      <c r="D55" s="4" t="s">
        <v>102</v>
      </c>
      <c r="E55" s="4" t="s">
        <v>103</v>
      </c>
      <c r="F55" s="4" t="str">
        <f>HYPERLINK("http://yub.it/","yub.it")</f>
        <v>yub.it</v>
      </c>
    </row>
    <row r="56" spans="1:6" ht="16.95" customHeight="1" x14ac:dyDescent="0.25">
      <c r="A56" s="1" t="s">
        <v>162</v>
      </c>
      <c r="B56" s="6" t="s">
        <v>163</v>
      </c>
      <c r="C56" s="6" t="s">
        <v>164</v>
      </c>
      <c r="D56" s="6" t="s">
        <v>165</v>
      </c>
      <c r="E56" s="6" t="s">
        <v>166</v>
      </c>
      <c r="F56" s="6" t="str">
        <f>HYPERLINK("http://www.calzaturificiojumbo.it/","www.calzaturificiojumbo.it")</f>
        <v>www.calzaturificiojumbo.it</v>
      </c>
    </row>
    <row r="57" spans="1:6" ht="16.95" customHeight="1" x14ac:dyDescent="0.25">
      <c r="A57" s="5" t="s">
        <v>167</v>
      </c>
      <c r="B57" s="4" t="s">
        <v>168</v>
      </c>
      <c r="C57" s="4" t="s">
        <v>169</v>
      </c>
      <c r="D57" s="4" t="s">
        <v>170</v>
      </c>
      <c r="E57" s="4" t="s">
        <v>171</v>
      </c>
      <c r="F57" s="4" t="str">
        <f>HYPERLINK("http://www.eurosuole.com/","www.eurosuole.com")</f>
        <v>www.eurosuole.com</v>
      </c>
    </row>
    <row r="58" spans="1:6" ht="16.95" customHeight="1" x14ac:dyDescent="0.25">
      <c r="A58" s="1" t="s">
        <v>172</v>
      </c>
      <c r="B58" s="6" t="s">
        <v>173</v>
      </c>
      <c r="C58" s="6" t="s">
        <v>164</v>
      </c>
      <c r="D58" s="6" t="s">
        <v>165</v>
      </c>
      <c r="E58" s="6" t="s">
        <v>166</v>
      </c>
      <c r="F58" s="6" t="str">
        <f>HYPERLINK("http://www.as-98.com/","www.as-98.com")</f>
        <v>www.as-98.com</v>
      </c>
    </row>
    <row r="59" spans="1:6" ht="16.95" customHeight="1" x14ac:dyDescent="0.25">
      <c r="A59" s="5" t="s">
        <v>174</v>
      </c>
      <c r="B59" s="4" t="s">
        <v>175</v>
      </c>
      <c r="C59" s="4" t="s">
        <v>176</v>
      </c>
      <c r="D59" s="4" t="s">
        <v>177</v>
      </c>
      <c r="E59" s="4" t="s">
        <v>178</v>
      </c>
      <c r="F59" s="4" t="str">
        <f>HYPERLINK("http://www.conceriamarbella.it/","www.conceriamarbella.it")</f>
        <v>www.conceriamarbella.it</v>
      </c>
    </row>
    <row r="60" spans="1:6" ht="16.95" customHeight="1" x14ac:dyDescent="0.25">
      <c r="A60" s="1" t="s">
        <v>179</v>
      </c>
      <c r="B60" s="6" t="s">
        <v>180</v>
      </c>
      <c r="C60" s="6" t="s">
        <v>164</v>
      </c>
      <c r="D60" s="6" t="s">
        <v>181</v>
      </c>
      <c r="E60" s="6" t="s">
        <v>182</v>
      </c>
      <c r="F60" s="6" t="str">
        <f>HYPERLINK("http://www.berluti.com/","http://www.berluti.com")</f>
        <v>http://www.berluti.com</v>
      </c>
    </row>
    <row r="61" spans="1:6" ht="16.95" customHeight="1" x14ac:dyDescent="0.25">
      <c r="A61" s="5" t="s">
        <v>183</v>
      </c>
      <c r="B61" s="4" t="s">
        <v>184</v>
      </c>
      <c r="C61" s="4" t="s">
        <v>164</v>
      </c>
      <c r="D61" s="4" t="s">
        <v>185</v>
      </c>
      <c r="E61" s="4" t="s">
        <v>166</v>
      </c>
      <c r="F61" s="4" t="str">
        <f>HYPERLINK("http://lottosport.com/","lottosport.com")</f>
        <v>lottosport.com</v>
      </c>
    </row>
    <row r="62" spans="1:6" ht="29.55" customHeight="1" x14ac:dyDescent="0.25">
      <c r="A62" s="1" t="s">
        <v>188</v>
      </c>
      <c r="B62" s="6" t="s">
        <v>189</v>
      </c>
      <c r="C62" s="6" t="s">
        <v>176</v>
      </c>
      <c r="D62" s="6" t="s">
        <v>177</v>
      </c>
      <c r="E62" s="6" t="s">
        <v>178</v>
      </c>
      <c r="F62" s="6" t="str">
        <f>HYPERLINK("http://www.masonispa.com/","www.masonispa.com")</f>
        <v>www.masonispa.com</v>
      </c>
    </row>
    <row r="63" spans="1:6" ht="16.95" customHeight="1" x14ac:dyDescent="0.25">
      <c r="A63" s="5" t="s">
        <v>190</v>
      </c>
      <c r="B63" s="4" t="s">
        <v>191</v>
      </c>
      <c r="C63" s="4" t="s">
        <v>164</v>
      </c>
      <c r="D63" s="4" t="s">
        <v>192</v>
      </c>
      <c r="E63" s="4" t="s">
        <v>193</v>
      </c>
      <c r="F63" s="4" t="str">
        <f>HYPERLINK("http://www.baseprotection.fr/","www.baseprotection.fr")</f>
        <v>www.baseprotection.fr</v>
      </c>
    </row>
    <row r="64" spans="1:6" ht="43.05" customHeight="1" x14ac:dyDescent="0.25">
      <c r="A64" s="1" t="s">
        <v>194</v>
      </c>
      <c r="B64" s="6" t="s">
        <v>195</v>
      </c>
      <c r="C64" s="6" t="s">
        <v>176</v>
      </c>
      <c r="D64" s="6" t="s">
        <v>177</v>
      </c>
      <c r="E64" s="6" t="s">
        <v>178</v>
      </c>
      <c r="F64" s="6" t="str">
        <f>HYPERLINK("http://www.cuoioditoscana.it/","www.cuoioditoscana.it")</f>
        <v>www.cuoioditoscana.it</v>
      </c>
    </row>
    <row r="65" spans="1:6" ht="29.55" customHeight="1" x14ac:dyDescent="0.25">
      <c r="A65" s="5" t="s">
        <v>196</v>
      </c>
      <c r="B65" s="4" t="s">
        <v>197</v>
      </c>
      <c r="C65" s="4" t="s">
        <v>164</v>
      </c>
      <c r="D65" s="4" t="s">
        <v>198</v>
      </c>
      <c r="E65" s="4" t="s">
        <v>166</v>
      </c>
      <c r="F65" s="4" t="str">
        <f>HYPERLINK("http://www.nillab.it/","www.nillab.it")</f>
        <v>www.nillab.it</v>
      </c>
    </row>
    <row r="66" spans="1:6" ht="16.95" customHeight="1" x14ac:dyDescent="0.25">
      <c r="A66" s="1" t="s">
        <v>199</v>
      </c>
      <c r="B66" s="6" t="s">
        <v>200</v>
      </c>
      <c r="C66" s="6" t="s">
        <v>176</v>
      </c>
      <c r="D66" s="6" t="s">
        <v>201</v>
      </c>
      <c r="E66" s="6" t="s">
        <v>166</v>
      </c>
      <c r="F66" s="6" t="str">
        <f>HYPERLINK("http://www.sirp.com/","http://www.sirp.com")</f>
        <v>http://www.sirp.com</v>
      </c>
    </row>
    <row r="67" spans="1:6" ht="16.95" customHeight="1" x14ac:dyDescent="0.25">
      <c r="A67" s="5" t="s">
        <v>202</v>
      </c>
      <c r="B67" s="4" t="s">
        <v>203</v>
      </c>
      <c r="C67" s="4" t="s">
        <v>176</v>
      </c>
      <c r="D67" s="4" t="s">
        <v>177</v>
      </c>
      <c r="E67" s="4" t="s">
        <v>178</v>
      </c>
      <c r="F67" s="4" t="str">
        <f>HYPERLINK("http://www.antiba.it/","www.antiba.it")</f>
        <v>www.antiba.it</v>
      </c>
    </row>
    <row r="68" spans="1:6" ht="16.95" customHeight="1" x14ac:dyDescent="0.25">
      <c r="A68" s="1" t="s">
        <v>204</v>
      </c>
      <c r="B68" s="6" t="s">
        <v>205</v>
      </c>
      <c r="C68" s="6" t="s">
        <v>186</v>
      </c>
      <c r="D68" s="6" t="s">
        <v>187</v>
      </c>
      <c r="E68" s="6" t="s">
        <v>178</v>
      </c>
      <c r="F68" s="6" t="str">
        <f>HYPERLINK("http://lancel.com/","lancel.com")</f>
        <v>lancel.com</v>
      </c>
    </row>
    <row r="69" spans="1:6" ht="16.95" customHeight="1" x14ac:dyDescent="0.25">
      <c r="A69" s="1" t="s">
        <v>206</v>
      </c>
      <c r="B69" s="6" t="s">
        <v>207</v>
      </c>
      <c r="C69" s="6" t="s">
        <v>186</v>
      </c>
      <c r="D69" s="6" t="s">
        <v>208</v>
      </c>
      <c r="E69" s="6" t="s">
        <v>209</v>
      </c>
      <c r="F69" s="6" t="str">
        <f>HYPERLINK("http://www.dimargroup.com/","www.dimargroup.com")</f>
        <v>www.dimargroup.com</v>
      </c>
    </row>
    <row r="70" spans="1:6" ht="29.55" customHeight="1" x14ac:dyDescent="0.25">
      <c r="A70" s="5" t="s">
        <v>210</v>
      </c>
      <c r="B70" s="4" t="s">
        <v>211</v>
      </c>
      <c r="C70" s="4" t="s">
        <v>176</v>
      </c>
      <c r="D70" s="4" t="s">
        <v>177</v>
      </c>
      <c r="E70" s="4" t="s">
        <v>178</v>
      </c>
      <c r="F70" s="4" t="str">
        <f>HYPERLINK("http://www.iniziativeconciarieassociate.it/","www.iniziativeconciarieassociate.it")</f>
        <v>www.iniziativeconciarieassociate.it</v>
      </c>
    </row>
    <row r="71" spans="1:6" ht="29.55" customHeight="1" x14ac:dyDescent="0.25">
      <c r="A71" s="1" t="s">
        <v>212</v>
      </c>
      <c r="B71" s="6" t="s">
        <v>213</v>
      </c>
      <c r="C71" s="6" t="s">
        <v>186</v>
      </c>
      <c r="D71" s="6" t="s">
        <v>214</v>
      </c>
      <c r="E71" s="6" t="s">
        <v>209</v>
      </c>
      <c r="F71" s="6" t="str">
        <f>HYPERLINK("http://www.tivoligroup.it/","www.tivoligroup.it")</f>
        <v>www.tivoligroup.it</v>
      </c>
    </row>
    <row r="72" spans="1:6" ht="43.05" customHeight="1" x14ac:dyDescent="0.25">
      <c r="A72" s="5" t="s">
        <v>215</v>
      </c>
      <c r="B72" s="4" t="s">
        <v>216</v>
      </c>
      <c r="C72" s="4" t="s">
        <v>164</v>
      </c>
      <c r="D72" s="4" t="s">
        <v>217</v>
      </c>
      <c r="E72" s="4" t="s">
        <v>218</v>
      </c>
      <c r="F72" s="4" t="str">
        <f>HYPERLINK("http://www.menghishoes.com/","www.menghishoes.com")</f>
        <v>www.menghishoes.com</v>
      </c>
    </row>
    <row r="73" spans="1:6" ht="16.95" customHeight="1" x14ac:dyDescent="0.25">
      <c r="A73" s="1" t="s">
        <v>219</v>
      </c>
      <c r="B73" s="6" t="s">
        <v>220</v>
      </c>
      <c r="C73" s="6" t="s">
        <v>176</v>
      </c>
      <c r="D73" s="6" t="s">
        <v>201</v>
      </c>
      <c r="E73" s="6" t="s">
        <v>166</v>
      </c>
      <c r="F73" s="6" t="str">
        <f>HYPERLINK("http://www.finco1865.it/","www.finco1865.it")</f>
        <v>www.finco1865.it</v>
      </c>
    </row>
    <row r="74" spans="1:6" ht="16.95" customHeight="1" x14ac:dyDescent="0.25">
      <c r="A74" s="5" t="s">
        <v>221</v>
      </c>
      <c r="B74" s="4" t="s">
        <v>222</v>
      </c>
      <c r="C74" s="4" t="s">
        <v>169</v>
      </c>
      <c r="D74" s="4" t="s">
        <v>177</v>
      </c>
      <c r="E74" s="4" t="s">
        <v>178</v>
      </c>
      <c r="F74" s="4" t="str">
        <f>HYPERLINK("http://www.trezetagroup.com/","www.trezetagroup.com")</f>
        <v>www.trezetagroup.com</v>
      </c>
    </row>
    <row r="75" spans="1:6" ht="16.95" customHeight="1" x14ac:dyDescent="0.25">
      <c r="A75" s="1" t="s">
        <v>223</v>
      </c>
      <c r="B75" s="6" t="s">
        <v>224</v>
      </c>
      <c r="C75" s="6" t="s">
        <v>176</v>
      </c>
      <c r="D75" s="6" t="s">
        <v>201</v>
      </c>
      <c r="E75" s="6" t="s">
        <v>166</v>
      </c>
      <c r="F75" s="6" t="str">
        <f>HYPERLINK("http://conceriacadore.it/","conceriacadore.it")</f>
        <v>conceriacadore.it</v>
      </c>
    </row>
    <row r="76" spans="1:6" ht="16.95" customHeight="1" x14ac:dyDescent="0.25">
      <c r="A76" s="5" t="s">
        <v>225</v>
      </c>
      <c r="B76" s="4" t="s">
        <v>226</v>
      </c>
      <c r="C76" s="4" t="s">
        <v>164</v>
      </c>
      <c r="D76" s="4" t="s">
        <v>185</v>
      </c>
      <c r="E76" s="4" t="s">
        <v>166</v>
      </c>
      <c r="F76" s="4" t="str">
        <f>HYPERLINK("http://www.dalbello.it/","www.dalbello.it")</f>
        <v>www.dalbello.it</v>
      </c>
    </row>
    <row r="77" spans="1:6" ht="16.95" customHeight="1" x14ac:dyDescent="0.25">
      <c r="A77" s="5" t="s">
        <v>227</v>
      </c>
      <c r="B77" s="4" t="s">
        <v>228</v>
      </c>
      <c r="C77" s="4" t="s">
        <v>176</v>
      </c>
      <c r="D77" s="4" t="s">
        <v>201</v>
      </c>
      <c r="E77" s="4" t="s">
        <v>166</v>
      </c>
      <c r="F77" s="4" t="str">
        <f>HYPERLINK("http://www.montebello-tannery.it/","www.montebello-tannery.it")</f>
        <v>www.montebello-tannery.it</v>
      </c>
    </row>
    <row r="78" spans="1:6" ht="16.95" customHeight="1" x14ac:dyDescent="0.25">
      <c r="A78" s="1" t="s">
        <v>229</v>
      </c>
      <c r="B78" s="6" t="s">
        <v>230</v>
      </c>
      <c r="C78" s="6" t="s">
        <v>164</v>
      </c>
      <c r="D78" s="6" t="s">
        <v>231</v>
      </c>
      <c r="E78" s="6" t="s">
        <v>232</v>
      </c>
      <c r="F78" s="6" t="str">
        <f>HYPERLINK("http://www.uvex.de/","http://www.uvex.de")</f>
        <v>http://www.uvex.de</v>
      </c>
    </row>
    <row r="79" spans="1:6" ht="16.95" customHeight="1" x14ac:dyDescent="0.25">
      <c r="A79" s="1" t="s">
        <v>233</v>
      </c>
      <c r="B79" s="6" t="s">
        <v>234</v>
      </c>
      <c r="C79" s="6" t="s">
        <v>164</v>
      </c>
      <c r="D79" s="6" t="s">
        <v>198</v>
      </c>
      <c r="E79" s="6" t="s">
        <v>166</v>
      </c>
      <c r="F79" s="6" t="str">
        <f>HYPERLINK("http://www.caovilla.com/","www.caovilla.com")</f>
        <v>www.caovilla.com</v>
      </c>
    </row>
    <row r="80" spans="1:6" ht="16.95" customHeight="1" x14ac:dyDescent="0.25">
      <c r="A80" s="5" t="s">
        <v>235</v>
      </c>
      <c r="B80" s="4" t="s">
        <v>236</v>
      </c>
      <c r="C80" s="4" t="s">
        <v>164</v>
      </c>
      <c r="D80" s="4" t="s">
        <v>237</v>
      </c>
      <c r="E80" s="4" t="s">
        <v>182</v>
      </c>
      <c r="F80" s="4" t="str">
        <f>HYPERLINK("http://www.sergiorossi.com/","www.sergiorossi.com")</f>
        <v>www.sergiorossi.com</v>
      </c>
    </row>
    <row r="81" spans="1:6" ht="16.95" customHeight="1" x14ac:dyDescent="0.25">
      <c r="A81" s="1" t="s">
        <v>238</v>
      </c>
      <c r="B81" s="6" t="s">
        <v>239</v>
      </c>
      <c r="C81" s="6" t="s">
        <v>164</v>
      </c>
      <c r="D81" s="6" t="s">
        <v>240</v>
      </c>
      <c r="E81" s="6" t="s">
        <v>166</v>
      </c>
      <c r="F81" s="6" t="str">
        <f>HYPERLINK("http://www.sixton.it/","www.sixton.it")</f>
        <v>www.sixton.it</v>
      </c>
    </row>
    <row r="82" spans="1:6" ht="16.95" customHeight="1" x14ac:dyDescent="0.25">
      <c r="A82" s="5" t="s">
        <v>241</v>
      </c>
      <c r="B82" s="4" t="s">
        <v>242</v>
      </c>
      <c r="C82" s="4" t="s">
        <v>164</v>
      </c>
      <c r="D82" s="4" t="s">
        <v>237</v>
      </c>
      <c r="E82" s="4" t="s">
        <v>182</v>
      </c>
      <c r="F82" s="4" t="str">
        <f>HYPERLINK("http://shoesmyway.baldinini-shop.com/","shoesmyway.baldinini-shop.com")</f>
        <v>shoesmyway.baldinini-shop.com</v>
      </c>
    </row>
    <row r="83" spans="1:6" ht="16.95" customHeight="1" x14ac:dyDescent="0.25">
      <c r="A83" s="1" t="s">
        <v>243</v>
      </c>
      <c r="B83" s="6" t="s">
        <v>244</v>
      </c>
      <c r="C83" s="6" t="s">
        <v>245</v>
      </c>
      <c r="D83" s="6" t="s">
        <v>246</v>
      </c>
      <c r="E83" s="6" t="s">
        <v>247</v>
      </c>
      <c r="F83" s="6" t="str">
        <f>HYPERLINK("http://www.bonis-spa.com/","www.bonis-spa.com")</f>
        <v>www.bonis-spa.com</v>
      </c>
    </row>
    <row r="84" spans="1:6" ht="16.95" customHeight="1" x14ac:dyDescent="0.25">
      <c r="A84" s="5" t="s">
        <v>248</v>
      </c>
      <c r="B84" s="4" t="s">
        <v>249</v>
      </c>
      <c r="C84" s="4" t="s">
        <v>245</v>
      </c>
      <c r="D84" s="4" t="s">
        <v>250</v>
      </c>
      <c r="E84" s="4" t="s">
        <v>247</v>
      </c>
      <c r="F84" s="4" t="str">
        <f>HYPERLINK("http://www.renzofavero.com/","http://www.renzofavero.com")</f>
        <v>http://www.renzofavero.com</v>
      </c>
    </row>
    <row r="85" spans="1:6" ht="16.95" customHeight="1" x14ac:dyDescent="0.25">
      <c r="A85" s="1" t="s">
        <v>251</v>
      </c>
      <c r="B85" s="6" t="s">
        <v>252</v>
      </c>
      <c r="C85" s="6" t="s">
        <v>245</v>
      </c>
      <c r="D85" s="6" t="s">
        <v>253</v>
      </c>
      <c r="E85" s="6" t="s">
        <v>254</v>
      </c>
      <c r="F85" s="6" t="str">
        <f>HYPERLINK("http://elisabet.it/","elisabet.it")</f>
        <v>elisabet.it</v>
      </c>
    </row>
    <row r="86" spans="1:6" ht="16.95" customHeight="1" x14ac:dyDescent="0.25">
      <c r="A86" s="5" t="s">
        <v>255</v>
      </c>
      <c r="B86" s="4" t="s">
        <v>256</v>
      </c>
      <c r="C86" s="4" t="s">
        <v>257</v>
      </c>
      <c r="D86" s="4" t="s">
        <v>258</v>
      </c>
      <c r="E86" s="4" t="s">
        <v>247</v>
      </c>
      <c r="F86" s="4" t="str">
        <f>HYPERLINK("http://www.brandsindustry.com/","www.brandsindustry.com")</f>
        <v>www.brandsindustry.com</v>
      </c>
    </row>
    <row r="87" spans="1:6" ht="16.95" customHeight="1" x14ac:dyDescent="0.25">
      <c r="A87" s="1" t="s">
        <v>259</v>
      </c>
      <c r="B87" s="6" t="s">
        <v>260</v>
      </c>
      <c r="C87" s="6" t="s">
        <v>261</v>
      </c>
      <c r="D87" s="6" t="s">
        <v>258</v>
      </c>
      <c r="E87" s="6" t="s">
        <v>247</v>
      </c>
      <c r="F87" s="6" t="str">
        <f>HYPERLINK("http://www.hide.it/","www.hide.it")</f>
        <v>www.hide.it</v>
      </c>
    </row>
    <row r="88" spans="1:6" ht="16.95" customHeight="1" x14ac:dyDescent="0.25">
      <c r="A88" s="5" t="s">
        <v>262</v>
      </c>
      <c r="B88" s="4" t="s">
        <v>263</v>
      </c>
      <c r="C88" s="4" t="s">
        <v>245</v>
      </c>
      <c r="D88" s="4" t="s">
        <v>264</v>
      </c>
      <c r="E88" s="4" t="s">
        <v>254</v>
      </c>
      <c r="F88" s="4" t="str">
        <f>HYPERLINK("http://valmor.it/","valmor.it")</f>
        <v>valmor.it</v>
      </c>
    </row>
    <row r="89" spans="1:6" ht="16.95" customHeight="1" x14ac:dyDescent="0.25">
      <c r="A89" s="1" t="s">
        <v>265</v>
      </c>
      <c r="B89" s="6" t="s">
        <v>266</v>
      </c>
      <c r="C89" s="6" t="s">
        <v>245</v>
      </c>
      <c r="D89" s="6" t="s">
        <v>246</v>
      </c>
      <c r="E89" s="6" t="s">
        <v>247</v>
      </c>
      <c r="F89" s="6" t="str">
        <f>HYPERLINK("http://shop.garsport.it/","shop.garsport.it")</f>
        <v>shop.garsport.it</v>
      </c>
    </row>
    <row r="90" spans="1:6" ht="29.55" customHeight="1" x14ac:dyDescent="0.25">
      <c r="A90" s="5" t="s">
        <v>267</v>
      </c>
      <c r="B90" s="4" t="s">
        <v>268</v>
      </c>
      <c r="C90" s="4" t="s">
        <v>245</v>
      </c>
      <c r="D90" s="4" t="s">
        <v>269</v>
      </c>
      <c r="E90" s="4" t="s">
        <v>270</v>
      </c>
      <c r="F90" s="4" t="str">
        <f>HYPERLINK("http://www.gmitaliane.it/claudia/","www.gmitaliane.it/claudia/")</f>
        <v>www.gmitaliane.it/claudia/</v>
      </c>
    </row>
    <row r="91" spans="1:6" ht="16.95" customHeight="1" x14ac:dyDescent="0.25">
      <c r="A91" s="1" t="s">
        <v>271</v>
      </c>
      <c r="B91" s="6" t="s">
        <v>272</v>
      </c>
      <c r="C91" s="6" t="s">
        <v>261</v>
      </c>
      <c r="D91" s="6" t="s">
        <v>273</v>
      </c>
      <c r="E91" s="6" t="s">
        <v>270</v>
      </c>
      <c r="F91" s="6" t="str">
        <f>HYPERLINK("http://www.superior.it/","www.superior.it")</f>
        <v>www.superior.it</v>
      </c>
    </row>
    <row r="92" spans="1:6" ht="29.55" customHeight="1" x14ac:dyDescent="0.25">
      <c r="A92" s="5" t="s">
        <v>274</v>
      </c>
      <c r="B92" s="4" t="s">
        <v>275</v>
      </c>
      <c r="C92" s="4" t="s">
        <v>245</v>
      </c>
      <c r="D92" s="4" t="s">
        <v>246</v>
      </c>
      <c r="E92" s="4" t="s">
        <v>247</v>
      </c>
      <c r="F92" s="4" t="str">
        <f>HYPERLINK("http://skandiashoes.com/","skandiashoes.com")</f>
        <v>skandiashoes.com</v>
      </c>
    </row>
    <row r="93" spans="1:6" ht="43.05" customHeight="1" x14ac:dyDescent="0.25">
      <c r="A93" s="1" t="s">
        <v>276</v>
      </c>
      <c r="B93" s="6" t="s">
        <v>277</v>
      </c>
      <c r="C93" s="6" t="s">
        <v>257</v>
      </c>
      <c r="D93" s="6" t="s">
        <v>278</v>
      </c>
      <c r="E93" s="6" t="s">
        <v>279</v>
      </c>
      <c r="F93" s="6" t="str">
        <f>HYPERLINK("http://www.brics.it/","http://www.brics.it")</f>
        <v>http://www.brics.it</v>
      </c>
    </row>
    <row r="94" spans="1:6" ht="16.95" customHeight="1" x14ac:dyDescent="0.25">
      <c r="A94" s="5" t="s">
        <v>280</v>
      </c>
      <c r="B94" s="4" t="s">
        <v>281</v>
      </c>
      <c r="C94" s="4" t="s">
        <v>257</v>
      </c>
      <c r="D94" s="4" t="s">
        <v>282</v>
      </c>
      <c r="E94" s="4" t="s">
        <v>270</v>
      </c>
      <c r="F94" s="4" t="str">
        <f>HYPERLINK("http://www.bulgari.com/","www.bulgari.com")</f>
        <v>www.bulgari.com</v>
      </c>
    </row>
    <row r="95" spans="1:6" ht="16.95" customHeight="1" x14ac:dyDescent="0.25">
      <c r="A95" s="1" t="s">
        <v>283</v>
      </c>
      <c r="B95" s="6" t="s">
        <v>284</v>
      </c>
      <c r="C95" s="6" t="s">
        <v>261</v>
      </c>
      <c r="D95" s="6" t="s">
        <v>285</v>
      </c>
      <c r="E95" s="6" t="s">
        <v>279</v>
      </c>
      <c r="F95" s="6" t="str">
        <f>HYPERLINK("http://www.stefania.it/","www.stefania.it")</f>
        <v>www.stefania.it</v>
      </c>
    </row>
    <row r="96" spans="1:6" ht="16.95" customHeight="1" x14ac:dyDescent="0.25">
      <c r="A96" s="5" t="s">
        <v>286</v>
      </c>
      <c r="B96" s="4" t="s">
        <v>287</v>
      </c>
      <c r="C96" s="4" t="s">
        <v>261</v>
      </c>
      <c r="D96" s="4" t="s">
        <v>273</v>
      </c>
      <c r="E96" s="4" t="s">
        <v>270</v>
      </c>
      <c r="F96" s="4" t="str">
        <f>HYPERLINK("http://www.bcn.it/","www.bcn.it")</f>
        <v>www.bcn.it</v>
      </c>
    </row>
    <row r="97" spans="1:6" ht="16.95" customHeight="1" x14ac:dyDescent="0.25">
      <c r="A97" s="1" t="s">
        <v>288</v>
      </c>
      <c r="B97" s="6" t="s">
        <v>289</v>
      </c>
      <c r="C97" s="6" t="s">
        <v>245</v>
      </c>
      <c r="D97" s="6" t="s">
        <v>282</v>
      </c>
      <c r="E97" s="6" t="s">
        <v>270</v>
      </c>
      <c r="F97" s="6" t="str">
        <f>HYPERLINK("http://www.petrashoes.it/","http://www.petrashoes.it")</f>
        <v>http://www.petrashoes.it</v>
      </c>
    </row>
    <row r="98" spans="1:6" ht="16.95" customHeight="1" x14ac:dyDescent="0.25">
      <c r="A98" s="5" t="s">
        <v>290</v>
      </c>
      <c r="B98" s="4" t="s">
        <v>291</v>
      </c>
      <c r="C98" s="4" t="s">
        <v>245</v>
      </c>
      <c r="D98" s="4" t="s">
        <v>258</v>
      </c>
      <c r="E98" s="4" t="s">
        <v>247</v>
      </c>
      <c r="F98" s="4" t="str">
        <f>HYPERLINK("http://www.orionspa.com/","www.orionspa.com")</f>
        <v>www.orionspa.com</v>
      </c>
    </row>
    <row r="99" spans="1:6" ht="16.95" customHeight="1" x14ac:dyDescent="0.25">
      <c r="A99" s="5" t="s">
        <v>292</v>
      </c>
      <c r="B99" s="4" t="s">
        <v>293</v>
      </c>
      <c r="C99" s="4" t="s">
        <v>257</v>
      </c>
      <c r="D99" s="4" t="s">
        <v>294</v>
      </c>
      <c r="E99" s="4" t="s">
        <v>270</v>
      </c>
      <c r="F99" s="4" t="str">
        <f>HYPERLINK("http://www.portaliboutique.it/","www.portaliboutique.it")</f>
        <v>www.portaliboutique.it</v>
      </c>
    </row>
    <row r="100" spans="1:6" ht="29.55" customHeight="1" x14ac:dyDescent="0.25">
      <c r="A100" s="1" t="s">
        <v>295</v>
      </c>
      <c r="B100" s="6" t="s">
        <v>296</v>
      </c>
      <c r="C100" s="6" t="s">
        <v>245</v>
      </c>
      <c r="D100" s="6" t="s">
        <v>258</v>
      </c>
      <c r="E100" s="6" t="s">
        <v>247</v>
      </c>
      <c r="F100" s="6" t="str">
        <f>HYPERLINK("http://www.carmens.it/","www.carmens.it")</f>
        <v>www.carmens.it</v>
      </c>
    </row>
    <row r="101" spans="1:6" ht="16.95" customHeight="1" x14ac:dyDescent="0.25">
      <c r="A101" s="5" t="s">
        <v>297</v>
      </c>
      <c r="B101" s="4" t="s">
        <v>298</v>
      </c>
      <c r="C101" s="4" t="s">
        <v>299</v>
      </c>
      <c r="D101" s="4" t="s">
        <v>246</v>
      </c>
      <c r="E101" s="4" t="s">
        <v>247</v>
      </c>
      <c r="F101" s="4" t="str">
        <f>HYPERLINK("http://us.devselle.it/","us.devselle.it")</f>
        <v>us.devselle.it</v>
      </c>
    </row>
    <row r="102" spans="1:6" ht="29.55" customHeight="1" x14ac:dyDescent="0.25">
      <c r="A102" s="1" t="s">
        <v>300</v>
      </c>
      <c r="B102" s="6" t="s">
        <v>301</v>
      </c>
      <c r="C102" s="6" t="s">
        <v>261</v>
      </c>
      <c r="D102" s="6" t="s">
        <v>273</v>
      </c>
      <c r="E102" s="6" t="s">
        <v>270</v>
      </c>
      <c r="F102" s="6" t="str">
        <f>HYPERLINK("http://www.zumapellipregiate.com/","www.zumapellipregiate.com")</f>
        <v>www.zumapellipregiate.com</v>
      </c>
    </row>
    <row r="103" spans="1:6" ht="16.95" customHeight="1" x14ac:dyDescent="0.25">
      <c r="A103" s="5" t="s">
        <v>302</v>
      </c>
      <c r="B103" s="4" t="s">
        <v>303</v>
      </c>
      <c r="C103" s="4" t="s">
        <v>245</v>
      </c>
      <c r="D103" s="4" t="s">
        <v>258</v>
      </c>
      <c r="E103" s="4" t="s">
        <v>247</v>
      </c>
      <c r="F103" s="4" t="str">
        <f>HYPERLINK("http://www.philippemodel.com/","www.philippemodel.com")</f>
        <v>www.philippemodel.com</v>
      </c>
    </row>
    <row r="104" spans="1:6" ht="29.55" customHeight="1" x14ac:dyDescent="0.25">
      <c r="A104" s="1" t="s">
        <v>304</v>
      </c>
      <c r="B104" s="6" t="s">
        <v>305</v>
      </c>
      <c r="C104" s="6" t="s">
        <v>245</v>
      </c>
      <c r="D104" s="6" t="s">
        <v>253</v>
      </c>
      <c r="E104" s="6" t="s">
        <v>254</v>
      </c>
      <c r="F104" s="6" t="str">
        <f>HYPERLINK("http://www.rodolfozengariniofficial.com/","www.rodolfozengariniofficial.com")</f>
        <v>www.rodolfozengariniofficial.com</v>
      </c>
    </row>
    <row r="105" spans="1:6" ht="16.95" customHeight="1" x14ac:dyDescent="0.25">
      <c r="A105" s="5" t="s">
        <v>306</v>
      </c>
      <c r="B105" s="4" t="s">
        <v>307</v>
      </c>
      <c r="C105" s="4" t="s">
        <v>245</v>
      </c>
      <c r="D105" s="4" t="s">
        <v>285</v>
      </c>
      <c r="E105" s="4" t="s">
        <v>279</v>
      </c>
      <c r="F105" s="4" t="str">
        <f>HYPERLINK("http://eu.christianlouboutin.com/it_en/","eu.christianlouboutin.com/it_en/")</f>
        <v>eu.christianlouboutin.com/it_en/</v>
      </c>
    </row>
    <row r="106" spans="1:6" ht="29.55" customHeight="1" x14ac:dyDescent="0.25">
      <c r="A106" s="1" t="s">
        <v>308</v>
      </c>
      <c r="B106" s="6" t="s">
        <v>309</v>
      </c>
      <c r="C106" s="6" t="s">
        <v>257</v>
      </c>
      <c r="D106" s="6" t="s">
        <v>285</v>
      </c>
      <c r="E106" s="6" t="s">
        <v>279</v>
      </c>
      <c r="F106" s="6" t="str">
        <f>HYPERLINK("http://www.manifatturelombarde.it/","www.manifatturelombarde.it")</f>
        <v>www.manifatturelombarde.it</v>
      </c>
    </row>
    <row r="107" spans="1:6" ht="16.95" customHeight="1" x14ac:dyDescent="0.25">
      <c r="A107" s="5" t="s">
        <v>310</v>
      </c>
      <c r="B107" s="4" t="s">
        <v>311</v>
      </c>
      <c r="C107" s="4" t="s">
        <v>261</v>
      </c>
      <c r="D107" s="4" t="s">
        <v>312</v>
      </c>
      <c r="E107" s="4" t="s">
        <v>247</v>
      </c>
      <c r="F107" s="4" t="str">
        <f>HYPERLINK("http://www.gruppoperetti.com/","http://www.gruppoperetti.com")</f>
        <v>http://www.gruppoperetti.com</v>
      </c>
    </row>
    <row r="108" spans="1:6" ht="29.55" customHeight="1" x14ac:dyDescent="0.25">
      <c r="A108" s="1" t="s">
        <v>313</v>
      </c>
      <c r="B108" s="6" t="s">
        <v>314</v>
      </c>
      <c r="C108" s="6" t="s">
        <v>261</v>
      </c>
      <c r="D108" s="6" t="s">
        <v>273</v>
      </c>
      <c r="E108" s="6" t="s">
        <v>270</v>
      </c>
      <c r="F108" s="6" t="str">
        <f>HYPERLINK("http://www.caravelspa.com/","www.caravelspa.com")</f>
        <v>www.caravelspa.com</v>
      </c>
    </row>
    <row r="109" spans="1:6" ht="29.55" customHeight="1" x14ac:dyDescent="0.25">
      <c r="A109" s="5" t="s">
        <v>315</v>
      </c>
      <c r="B109" s="4" t="s">
        <v>316</v>
      </c>
      <c r="C109" s="4" t="s">
        <v>245</v>
      </c>
      <c r="D109" s="4" t="s">
        <v>317</v>
      </c>
      <c r="E109" s="4" t="s">
        <v>270</v>
      </c>
      <c r="F109" s="4" t="str">
        <f>HYPERLINK("http://www.albertogozzi.it/","www.albertogozzi.it")</f>
        <v>www.albertogozzi.it</v>
      </c>
    </row>
    <row r="110" spans="1:6" ht="16.95" customHeight="1" x14ac:dyDescent="0.25">
      <c r="A110" s="5" t="s">
        <v>318</v>
      </c>
      <c r="B110" s="4" t="s">
        <v>319</v>
      </c>
      <c r="C110" s="4" t="s">
        <v>245</v>
      </c>
      <c r="D110" s="4" t="s">
        <v>320</v>
      </c>
      <c r="E110" s="4" t="s">
        <v>321</v>
      </c>
      <c r="F110" s="4" t="str">
        <f>HYPERLINK("http://www.decristofaroshoes.com/","www.decristofaroshoes.com")</f>
        <v>www.decristofaroshoes.com</v>
      </c>
    </row>
    <row r="111" spans="1:6" ht="16.95" customHeight="1" x14ac:dyDescent="0.25">
      <c r="A111" s="1" t="s">
        <v>322</v>
      </c>
      <c r="B111" s="6" t="s">
        <v>323</v>
      </c>
      <c r="C111" s="6" t="s">
        <v>324</v>
      </c>
      <c r="D111" s="6" t="s">
        <v>325</v>
      </c>
      <c r="E111" s="6" t="s">
        <v>326</v>
      </c>
      <c r="F111" s="6" t="str">
        <f>HYPERLINK("http://www.settebelloconceria.it/","www.settebelloconceria.it")</f>
        <v>www.settebelloconceria.it</v>
      </c>
    </row>
    <row r="112" spans="1:6" ht="29.55" customHeight="1" x14ac:dyDescent="0.25">
      <c r="A112" s="5" t="s">
        <v>327</v>
      </c>
      <c r="B112" s="4" t="s">
        <v>328</v>
      </c>
      <c r="C112" s="4" t="s">
        <v>324</v>
      </c>
      <c r="D112" s="4" t="s">
        <v>329</v>
      </c>
      <c r="E112" s="4" t="s">
        <v>330</v>
      </c>
      <c r="F112" s="4" t="str">
        <f>HYPERLINK("http://www.gaiera.eu/","www.gaiera.eu")</f>
        <v>www.gaiera.eu</v>
      </c>
    </row>
    <row r="113" spans="1:6" ht="16.95" customHeight="1" x14ac:dyDescent="0.25">
      <c r="A113" s="1" t="s">
        <v>331</v>
      </c>
      <c r="B113" s="6" t="s">
        <v>332</v>
      </c>
      <c r="C113" s="6" t="s">
        <v>333</v>
      </c>
      <c r="D113" s="6" t="s">
        <v>334</v>
      </c>
      <c r="E113" s="6" t="s">
        <v>335</v>
      </c>
      <c r="F113" s="6" t="str">
        <f>HYPERLINK("http://www.spirale.it/","www.spirale.it")</f>
        <v>www.spirale.it</v>
      </c>
    </row>
    <row r="114" spans="1:6" ht="16.95" customHeight="1" x14ac:dyDescent="0.25">
      <c r="A114" s="1" t="s">
        <v>336</v>
      </c>
      <c r="B114" s="6" t="s">
        <v>337</v>
      </c>
      <c r="C114" s="6" t="s">
        <v>333</v>
      </c>
      <c r="D114" s="6" t="s">
        <v>338</v>
      </c>
      <c r="E114" s="6" t="s">
        <v>339</v>
      </c>
      <c r="F114" s="6" t="str">
        <f>HYPERLINK("http://www.northwave.com/","www.northwave.com")</f>
        <v>www.northwave.com</v>
      </c>
    </row>
    <row r="115" spans="1:6" ht="16.95" customHeight="1" x14ac:dyDescent="0.25">
      <c r="A115" s="5" t="s">
        <v>340</v>
      </c>
      <c r="B115" s="4" t="s">
        <v>341</v>
      </c>
      <c r="C115" s="4" t="s">
        <v>333</v>
      </c>
      <c r="D115" s="4" t="s">
        <v>338</v>
      </c>
      <c r="E115" s="4" t="s">
        <v>339</v>
      </c>
      <c r="F115" s="4" t="str">
        <f>HYPERLINK("http://www.sidi.com/","www.sidi.com")</f>
        <v>www.sidi.com</v>
      </c>
    </row>
    <row r="116" spans="1:6" ht="16.95" customHeight="1" x14ac:dyDescent="0.25">
      <c r="A116" s="5" t="s">
        <v>342</v>
      </c>
      <c r="B116" s="4" t="s">
        <v>343</v>
      </c>
      <c r="C116" s="4" t="s">
        <v>344</v>
      </c>
      <c r="D116" s="4" t="s">
        <v>345</v>
      </c>
      <c r="E116" s="4" t="s">
        <v>326</v>
      </c>
      <c r="F116" s="4" t="str">
        <f>HYPERLINK("http://www.pelletteriaalmax.com/","www.pelletteriaalmax.com")</f>
        <v>www.pelletteriaalmax.com</v>
      </c>
    </row>
    <row r="117" spans="1:6" ht="29.55" customHeight="1" x14ac:dyDescent="0.25">
      <c r="A117" s="1" t="s">
        <v>346</v>
      </c>
      <c r="B117" s="6" t="s">
        <v>347</v>
      </c>
      <c r="C117" s="6" t="s">
        <v>324</v>
      </c>
      <c r="D117" s="6" t="s">
        <v>348</v>
      </c>
      <c r="E117" s="6" t="s">
        <v>339</v>
      </c>
      <c r="F117" s="6" t="str">
        <f>HYPERLINK("http://www.icaleather.it/","http://www.icaleather.it")</f>
        <v>http://www.icaleather.it</v>
      </c>
    </row>
    <row r="118" spans="1:6" ht="16.95" customHeight="1" x14ac:dyDescent="0.25">
      <c r="A118" s="5" t="s">
        <v>349</v>
      </c>
      <c r="B118" s="4" t="s">
        <v>350</v>
      </c>
      <c r="C118" s="4" t="s">
        <v>333</v>
      </c>
      <c r="D118" s="4" t="s">
        <v>338</v>
      </c>
      <c r="E118" s="4" t="s">
        <v>339</v>
      </c>
      <c r="F118" s="4" t="str">
        <f>HYPERLINK("http://www.crispi.it/","www.crispi.it")</f>
        <v>www.crispi.it</v>
      </c>
    </row>
    <row r="119" spans="1:6" ht="16.95" customHeight="1" x14ac:dyDescent="0.25">
      <c r="A119" s="1" t="s">
        <v>351</v>
      </c>
      <c r="B119" s="6" t="s">
        <v>352</v>
      </c>
      <c r="C119" s="6" t="s">
        <v>333</v>
      </c>
      <c r="D119" s="6" t="s">
        <v>338</v>
      </c>
      <c r="E119" s="6" t="s">
        <v>339</v>
      </c>
      <c r="F119" s="6" t="str">
        <f>HYPERLINK("http://frasson.com/","frasson.com")</f>
        <v>frasson.com</v>
      </c>
    </row>
    <row r="120" spans="1:6" ht="16.95" customHeight="1" x14ac:dyDescent="0.25">
      <c r="A120" s="5" t="s">
        <v>353</v>
      </c>
      <c r="B120" s="4" t="s">
        <v>354</v>
      </c>
      <c r="C120" s="4" t="s">
        <v>333</v>
      </c>
      <c r="D120" s="4" t="s">
        <v>355</v>
      </c>
      <c r="E120" s="4" t="s">
        <v>356</v>
      </c>
      <c r="F120" s="4" t="str">
        <f>HYPERLINK("http://www.exena.it/","www.exena.it")</f>
        <v>www.exena.it</v>
      </c>
    </row>
    <row r="121" spans="1:6" ht="16.95" customHeight="1" x14ac:dyDescent="0.25">
      <c r="A121" s="1" t="s">
        <v>357</v>
      </c>
      <c r="B121" s="6" t="s">
        <v>358</v>
      </c>
      <c r="C121" s="6" t="s">
        <v>344</v>
      </c>
      <c r="D121" s="6" t="s">
        <v>345</v>
      </c>
      <c r="E121" s="6" t="s">
        <v>326</v>
      </c>
      <c r="F121" s="6" t="str">
        <f>HYPERLINK("http://www.ilbisonte.com/","www.ilbisonte.com")</f>
        <v>www.ilbisonte.com</v>
      </c>
    </row>
    <row r="122" spans="1:6" ht="16.95" customHeight="1" x14ac:dyDescent="0.25">
      <c r="A122" s="5" t="s">
        <v>359</v>
      </c>
      <c r="B122" s="4" t="s">
        <v>360</v>
      </c>
      <c r="C122" s="4" t="s">
        <v>361</v>
      </c>
      <c r="D122" s="4" t="s">
        <v>362</v>
      </c>
      <c r="E122" s="4" t="s">
        <v>363</v>
      </c>
      <c r="F122" s="4" t="str">
        <f>HYPERLINK("http://www.pscomponents.eu/","www.pscomponents.eu")</f>
        <v>www.pscomponents.eu</v>
      </c>
    </row>
    <row r="123" spans="1:6" ht="16.95" customHeight="1" x14ac:dyDescent="0.25">
      <c r="A123" s="1" t="s">
        <v>364</v>
      </c>
      <c r="B123" s="6" t="s">
        <v>365</v>
      </c>
      <c r="C123" s="6" t="s">
        <v>333</v>
      </c>
      <c r="D123" s="6" t="s">
        <v>345</v>
      </c>
      <c r="E123" s="6" t="s">
        <v>326</v>
      </c>
      <c r="F123" s="6" t="str">
        <f>HYPERLINK("http://www.gmitaliane.it/","www.gmitaliane.it")</f>
        <v>www.gmitaliane.it</v>
      </c>
    </row>
    <row r="124" spans="1:6" ht="16.95" customHeight="1" x14ac:dyDescent="0.25">
      <c r="A124" s="1" t="s">
        <v>367</v>
      </c>
      <c r="B124" s="6" t="s">
        <v>368</v>
      </c>
      <c r="C124" s="6" t="s">
        <v>333</v>
      </c>
      <c r="D124" s="6" t="s">
        <v>345</v>
      </c>
      <c r="E124" s="6" t="s">
        <v>326</v>
      </c>
      <c r="F124" s="6" t="str">
        <f>HYPERLINK("http://www.benit.it/","www.benit.it")</f>
        <v>www.benit.it</v>
      </c>
    </row>
    <row r="125" spans="1:6" ht="16.95" customHeight="1" x14ac:dyDescent="0.25">
      <c r="A125" s="5" t="s">
        <v>369</v>
      </c>
      <c r="B125" s="4" t="s">
        <v>370</v>
      </c>
      <c r="C125" s="4" t="s">
        <v>324</v>
      </c>
      <c r="D125" s="4" t="s">
        <v>348</v>
      </c>
      <c r="E125" s="4" t="s">
        <v>339</v>
      </c>
      <c r="F125" s="4" t="str">
        <f>HYPERLINK("http://www.conceriavolpiana.it/","www.conceriavolpiana.it")</f>
        <v>www.conceriavolpiana.it</v>
      </c>
    </row>
    <row r="126" spans="1:6" ht="16.95" customHeight="1" x14ac:dyDescent="0.25">
      <c r="A126" s="1" t="s">
        <v>371</v>
      </c>
      <c r="B126" s="6" t="s">
        <v>372</v>
      </c>
      <c r="C126" s="6" t="s">
        <v>344</v>
      </c>
      <c r="D126" s="6" t="s">
        <v>329</v>
      </c>
      <c r="E126" s="6" t="s">
        <v>330</v>
      </c>
      <c r="F126" s="6" t="str">
        <f>HYPERLINK("http://www.borbonese.com/","http://www.borbonese.com")</f>
        <v>http://www.borbonese.com</v>
      </c>
    </row>
    <row r="127" spans="1:6" ht="16.95" customHeight="1" x14ac:dyDescent="0.25">
      <c r="A127" s="5" t="s">
        <v>373</v>
      </c>
      <c r="B127" s="4" t="s">
        <v>374</v>
      </c>
      <c r="C127" s="4" t="s">
        <v>375</v>
      </c>
      <c r="D127" s="4" t="s">
        <v>376</v>
      </c>
      <c r="E127" s="4" t="s">
        <v>356</v>
      </c>
      <c r="F127" s="4" t="str">
        <f>HYPERLINK("http://goretti.it/","goretti.it")</f>
        <v>goretti.it</v>
      </c>
    </row>
    <row r="128" spans="1:6" ht="16.95" customHeight="1" x14ac:dyDescent="0.25">
      <c r="A128" s="1" t="s">
        <v>377</v>
      </c>
      <c r="B128" s="6" t="s">
        <v>378</v>
      </c>
      <c r="C128" s="6" t="s">
        <v>333</v>
      </c>
      <c r="D128" s="6" t="s">
        <v>379</v>
      </c>
      <c r="E128" s="6" t="s">
        <v>356</v>
      </c>
      <c r="F128" s="6" t="str">
        <f>HYPERLINK("http://www.assoitaly.it/","http://www.assoitaly.it")</f>
        <v>http://www.assoitaly.it</v>
      </c>
    </row>
    <row r="129" spans="1:6" ht="29.55" customHeight="1" x14ac:dyDescent="0.25">
      <c r="A129" s="5" t="s">
        <v>380</v>
      </c>
      <c r="B129" s="4" t="s">
        <v>381</v>
      </c>
      <c r="C129" s="4" t="s">
        <v>344</v>
      </c>
      <c r="D129" s="4" t="s">
        <v>345</v>
      </c>
      <c r="E129" s="4" t="s">
        <v>326</v>
      </c>
      <c r="F129" s="4" t="str">
        <f>HYPERLINK("http://www.bmb-manifatturaborse.com/","www.bmb-manifatturaborse.com")</f>
        <v>www.bmb-manifatturaborse.com</v>
      </c>
    </row>
    <row r="130" spans="1:6" ht="16.95" customHeight="1" x14ac:dyDescent="0.25">
      <c r="A130" s="1" t="s">
        <v>382</v>
      </c>
      <c r="B130" s="6" t="s">
        <v>383</v>
      </c>
      <c r="C130" s="6" t="s">
        <v>324</v>
      </c>
      <c r="D130" s="6" t="s">
        <v>325</v>
      </c>
      <c r="E130" s="6" t="s">
        <v>326</v>
      </c>
      <c r="F130" s="6" t="str">
        <f>HYPERLINK("http://www.dolmenspa.com/","www.dolmenspa.com")</f>
        <v>www.dolmenspa.com</v>
      </c>
    </row>
    <row r="131" spans="1:6" ht="16.95" customHeight="1" x14ac:dyDescent="0.25">
      <c r="A131" s="1" t="s">
        <v>384</v>
      </c>
      <c r="B131" s="6" t="s">
        <v>385</v>
      </c>
      <c r="C131" s="6" t="s">
        <v>333</v>
      </c>
      <c r="D131" s="6" t="s">
        <v>338</v>
      </c>
      <c r="E131" s="6" t="s">
        <v>339</v>
      </c>
      <c r="F131" s="6" t="str">
        <f>HYPERLINK("http://www.aku.it/","www.aku.it")</f>
        <v>www.aku.it</v>
      </c>
    </row>
    <row r="132" spans="1:6" ht="16.95" customHeight="1" x14ac:dyDescent="0.25">
      <c r="A132" s="5" t="s">
        <v>386</v>
      </c>
      <c r="B132" s="4" t="s">
        <v>387</v>
      </c>
      <c r="C132" s="4" t="s">
        <v>324</v>
      </c>
      <c r="D132" s="4" t="s">
        <v>388</v>
      </c>
      <c r="E132" s="4" t="s">
        <v>366</v>
      </c>
      <c r="F132" s="4" t="str">
        <f>HYPERLINK("http://www.carismaleather.it/","http://www.carismaleather.it")</f>
        <v>http://www.carismaleather.it</v>
      </c>
    </row>
    <row r="133" spans="1:6" ht="29.55" customHeight="1" x14ac:dyDescent="0.25">
      <c r="A133" s="1" t="s">
        <v>389</v>
      </c>
      <c r="B133" s="6" t="s">
        <v>390</v>
      </c>
      <c r="C133" s="6" t="s">
        <v>333</v>
      </c>
      <c r="D133" s="6" t="s">
        <v>338</v>
      </c>
      <c r="E133" s="6" t="s">
        <v>339</v>
      </c>
      <c r="F133" s="6" t="str">
        <f>HYPERLINK("http://uk.garmont.com/","uk.garmont.com")</f>
        <v>uk.garmont.com</v>
      </c>
    </row>
    <row r="134" spans="1:6" ht="16.95" customHeight="1" x14ac:dyDescent="0.25">
      <c r="A134" s="5" t="s">
        <v>391</v>
      </c>
      <c r="B134" s="4" t="s">
        <v>392</v>
      </c>
      <c r="C134" s="4" t="s">
        <v>333</v>
      </c>
      <c r="D134" s="4" t="s">
        <v>338</v>
      </c>
      <c r="E134" s="4" t="s">
        <v>339</v>
      </c>
      <c r="F134" s="4" t="str">
        <f>HYPERLINK("http://www.febos.com/","www.febos.com")</f>
        <v>www.febos.com</v>
      </c>
    </row>
    <row r="135" spans="1:6" ht="16.95" customHeight="1" x14ac:dyDescent="0.25">
      <c r="A135" s="1" t="s">
        <v>393</v>
      </c>
      <c r="B135" s="6" t="s">
        <v>394</v>
      </c>
      <c r="C135" s="6" t="s">
        <v>333</v>
      </c>
      <c r="D135" s="6" t="s">
        <v>395</v>
      </c>
      <c r="E135" s="6" t="s">
        <v>330</v>
      </c>
      <c r="F135" s="6" t="str">
        <f>HYPERLINK("http://www.flyflot.it/","www.flyflot.it")</f>
        <v>www.flyflot.it</v>
      </c>
    </row>
    <row r="136" spans="1:6" ht="55.65" customHeight="1" x14ac:dyDescent="0.25">
      <c r="A136" s="5" t="s">
        <v>396</v>
      </c>
      <c r="B136" s="4" t="s">
        <v>397</v>
      </c>
      <c r="C136" s="4" t="s">
        <v>324</v>
      </c>
      <c r="D136" s="4" t="s">
        <v>345</v>
      </c>
      <c r="E136" s="4" t="s">
        <v>326</v>
      </c>
      <c r="F136" s="4" t="str">
        <f>HYPERLINK("http://www.ingropelli.it/","www.ingropelli.it")</f>
        <v>www.ingropelli.it</v>
      </c>
    </row>
    <row r="137" spans="1:6" ht="16.95" customHeight="1" x14ac:dyDescent="0.25">
      <c r="A137" s="1" t="s">
        <v>398</v>
      </c>
      <c r="B137" s="6" t="s">
        <v>399</v>
      </c>
      <c r="C137" s="6" t="s">
        <v>324</v>
      </c>
      <c r="D137" s="6" t="s">
        <v>329</v>
      </c>
      <c r="E137" s="6" t="s">
        <v>330</v>
      </c>
      <c r="F137" s="6" t="str">
        <f>HYPERLINK("http://www.deviconcia.it/","www.deviconcia.it")</f>
        <v>www.deviconcia.it</v>
      </c>
    </row>
    <row r="138" spans="1:6" ht="43.05" customHeight="1" x14ac:dyDescent="0.25">
      <c r="A138" s="5" t="s">
        <v>400</v>
      </c>
      <c r="B138" s="4" t="s">
        <v>401</v>
      </c>
      <c r="C138" s="4" t="s">
        <v>324</v>
      </c>
      <c r="D138" s="4" t="s">
        <v>325</v>
      </c>
      <c r="E138" s="4" t="s">
        <v>326</v>
      </c>
      <c r="F138" s="4" t="str">
        <f>HYPERLINK("http://www.valdarno.it/","www.valdarno.it")</f>
        <v>www.valdarno.it</v>
      </c>
    </row>
    <row r="139" spans="1:6" ht="16.95" customHeight="1" x14ac:dyDescent="0.25">
      <c r="A139" s="5" t="s">
        <v>405</v>
      </c>
      <c r="B139" s="4" t="s">
        <v>406</v>
      </c>
      <c r="C139" s="4" t="s">
        <v>407</v>
      </c>
      <c r="D139" s="4" t="s">
        <v>408</v>
      </c>
      <c r="E139" s="4" t="s">
        <v>409</v>
      </c>
      <c r="F139" s="4" t="str">
        <f>HYPERLINK("http://www.maretto.it/","www.maretto.it")</f>
        <v>www.maretto.it</v>
      </c>
    </row>
    <row r="140" spans="1:6" ht="16.95" customHeight="1" x14ac:dyDescent="0.25">
      <c r="A140" s="1" t="s">
        <v>410</v>
      </c>
      <c r="B140" s="6" t="s">
        <v>411</v>
      </c>
      <c r="C140" s="6" t="s">
        <v>412</v>
      </c>
      <c r="D140" s="6" t="s">
        <v>413</v>
      </c>
      <c r="E140" s="6" t="s">
        <v>409</v>
      </c>
      <c r="F140" s="6" t="str">
        <f>HYPERLINK("http://www.artigianiveneziani.it/","www.artigianiveneziani.it")</f>
        <v>www.artigianiveneziani.it</v>
      </c>
    </row>
    <row r="141" spans="1:6" ht="29.55" customHeight="1" x14ac:dyDescent="0.25">
      <c r="A141" s="5" t="s">
        <v>414</v>
      </c>
      <c r="B141" s="4" t="s">
        <v>415</v>
      </c>
      <c r="C141" s="4" t="s">
        <v>402</v>
      </c>
      <c r="D141" s="4" t="s">
        <v>416</v>
      </c>
      <c r="E141" s="4" t="s">
        <v>409</v>
      </c>
      <c r="F141" s="4" t="str">
        <f>HYPERLINK("http://www.conceria3c.it/","www.conceria3c.it")</f>
        <v>www.conceria3c.it</v>
      </c>
    </row>
    <row r="142" spans="1:6" ht="16.95" customHeight="1" x14ac:dyDescent="0.25">
      <c r="A142" s="1" t="s">
        <v>417</v>
      </c>
      <c r="B142" s="6" t="s">
        <v>418</v>
      </c>
      <c r="C142" s="6" t="s">
        <v>412</v>
      </c>
      <c r="D142" s="6" t="s">
        <v>419</v>
      </c>
      <c r="E142" s="6" t="s">
        <v>420</v>
      </c>
      <c r="F142" s="6" t="str">
        <f>HYPERLINK("http://www.gabgroup.it/","www.gabgroup.it")</f>
        <v>www.gabgroup.it</v>
      </c>
    </row>
    <row r="143" spans="1:6" ht="16.95" customHeight="1" x14ac:dyDescent="0.25">
      <c r="A143" s="5" t="s">
        <v>421</v>
      </c>
      <c r="B143" s="4" t="s">
        <v>422</v>
      </c>
      <c r="C143" s="4" t="s">
        <v>407</v>
      </c>
      <c r="D143" s="4" t="s">
        <v>423</v>
      </c>
      <c r="E143" s="4" t="s">
        <v>404</v>
      </c>
      <c r="F143" s="4" t="str">
        <f>HYPERLINK("http://www.moreschi.it/","www.moreschi.it")</f>
        <v>www.moreschi.it</v>
      </c>
    </row>
    <row r="144" spans="1:6" ht="16.95" customHeight="1" x14ac:dyDescent="0.25">
      <c r="A144" s="1" t="s">
        <v>424</v>
      </c>
      <c r="B144" s="6" t="s">
        <v>425</v>
      </c>
      <c r="C144" s="6" t="s">
        <v>407</v>
      </c>
      <c r="D144" s="6" t="s">
        <v>426</v>
      </c>
      <c r="E144" s="6" t="s">
        <v>427</v>
      </c>
      <c r="F144" s="6" t="str">
        <f>HYPERLINK("http://www.greymer.it/","www.greymer.it")</f>
        <v>www.greymer.it</v>
      </c>
    </row>
    <row r="145" spans="1:6" ht="16.95" customHeight="1" x14ac:dyDescent="0.25">
      <c r="A145" s="5" t="s">
        <v>428</v>
      </c>
      <c r="B145" s="4" t="s">
        <v>429</v>
      </c>
      <c r="C145" s="4" t="s">
        <v>402</v>
      </c>
      <c r="D145" s="4" t="s">
        <v>430</v>
      </c>
      <c r="E145" s="4" t="s">
        <v>420</v>
      </c>
      <c r="F145" s="4" t="str">
        <f>HYPERLINK("http://lapatrie.it/","lapatrie.it")</f>
        <v>lapatrie.it</v>
      </c>
    </row>
    <row r="146" spans="1:6" ht="16.95" customHeight="1" x14ac:dyDescent="0.25">
      <c r="A146" s="1" t="s">
        <v>431</v>
      </c>
      <c r="B146" s="6" t="s">
        <v>432</v>
      </c>
      <c r="C146" s="6" t="s">
        <v>412</v>
      </c>
      <c r="D146" s="6" t="s">
        <v>416</v>
      </c>
      <c r="E146" s="6" t="s">
        <v>409</v>
      </c>
      <c r="F146" s="6" t="str">
        <f>HYPERLINK("http://sagipelletterie.com/","sagipelletterie.com")</f>
        <v>sagipelletterie.com</v>
      </c>
    </row>
    <row r="147" spans="1:6" ht="16.95" customHeight="1" x14ac:dyDescent="0.25">
      <c r="A147" s="1" t="s">
        <v>433</v>
      </c>
      <c r="B147" s="6" t="s">
        <v>434</v>
      </c>
      <c r="C147" s="6" t="s">
        <v>402</v>
      </c>
      <c r="D147" s="6" t="s">
        <v>416</v>
      </c>
      <c r="E147" s="6" t="s">
        <v>409</v>
      </c>
      <c r="F147" s="6" t="str">
        <f>HYPERLINK("http://www.conceriapriante.com/","http://www.conceriapriante.com")</f>
        <v>http://www.conceriapriante.com</v>
      </c>
    </row>
    <row r="148" spans="1:6" ht="16.95" customHeight="1" x14ac:dyDescent="0.25">
      <c r="A148" s="1" t="s">
        <v>435</v>
      </c>
      <c r="B148" s="6" t="s">
        <v>436</v>
      </c>
      <c r="C148" s="6" t="s">
        <v>407</v>
      </c>
      <c r="D148" s="6" t="s">
        <v>403</v>
      </c>
      <c r="E148" s="6" t="s">
        <v>404</v>
      </c>
      <c r="F148" s="6" t="str">
        <f>HYPERLINK("http://www.lagriffe.it/","www.lagriffe.it")</f>
        <v>www.lagriffe.it</v>
      </c>
    </row>
    <row r="149" spans="1:6" ht="16.95" customHeight="1" x14ac:dyDescent="0.25">
      <c r="A149" s="5" t="s">
        <v>437</v>
      </c>
      <c r="B149" s="4" t="s">
        <v>438</v>
      </c>
      <c r="C149" s="4" t="s">
        <v>402</v>
      </c>
      <c r="D149" s="4" t="s">
        <v>439</v>
      </c>
      <c r="E149" s="4" t="s">
        <v>440</v>
      </c>
      <c r="F149" s="4" t="str">
        <f>HYPERLINK("http://www.sivapelli.com/","www.sivapelli.com")</f>
        <v>www.sivapelli.com</v>
      </c>
    </row>
    <row r="150" spans="1:6" ht="16.95" customHeight="1" x14ac:dyDescent="0.25">
      <c r="A150" s="1" t="s">
        <v>441</v>
      </c>
      <c r="B150" s="6" t="s">
        <v>442</v>
      </c>
      <c r="C150" s="6" t="s">
        <v>407</v>
      </c>
      <c r="D150" s="6" t="s">
        <v>443</v>
      </c>
      <c r="E150" s="6" t="s">
        <v>427</v>
      </c>
      <c r="F150" s="6" t="str">
        <f>HYPERLINK("http://www.raftinggoldstar.com/","www.raftinggoldstar.com")</f>
        <v>www.raftinggoldstar.com</v>
      </c>
    </row>
    <row r="151" spans="1:6" ht="16.95" customHeight="1" x14ac:dyDescent="0.25">
      <c r="A151" s="5" t="s">
        <v>444</v>
      </c>
      <c r="B151" s="4" t="s">
        <v>445</v>
      </c>
      <c r="C151" s="4" t="s">
        <v>412</v>
      </c>
      <c r="D151" s="4" t="s">
        <v>403</v>
      </c>
      <c r="E151" s="4" t="s">
        <v>404</v>
      </c>
      <c r="F151" s="4" t="str">
        <f>HYPERLINK("http://www.stilema.com/","http://www.stilema.com")</f>
        <v>http://www.stilema.com</v>
      </c>
    </row>
    <row r="152" spans="1:6" ht="68.099999999999994" customHeight="1" x14ac:dyDescent="0.25">
      <c r="A152" s="5" t="s">
        <v>446</v>
      </c>
      <c r="B152" s="4" t="s">
        <v>447</v>
      </c>
      <c r="C152" s="4" t="s">
        <v>407</v>
      </c>
      <c r="D152" s="4" t="s">
        <v>426</v>
      </c>
      <c r="E152" s="4" t="s">
        <v>427</v>
      </c>
      <c r="F152" s="4" t="str">
        <f>HYPERLINK("http://casadei.com/","casadei.com")</f>
        <v>casadei.com</v>
      </c>
    </row>
    <row r="153" spans="1:6" ht="29.55" customHeight="1" x14ac:dyDescent="0.25">
      <c r="A153" s="1" t="s">
        <v>448</v>
      </c>
      <c r="B153" s="6" t="s">
        <v>449</v>
      </c>
      <c r="C153" s="6" t="s">
        <v>407</v>
      </c>
      <c r="D153" s="6" t="s">
        <v>450</v>
      </c>
      <c r="E153" s="6" t="s">
        <v>451</v>
      </c>
      <c r="F153" s="6" t="str">
        <f>HYPERLINK("http://www.agl.com/","www.agl.com")</f>
        <v>www.agl.com</v>
      </c>
    </row>
    <row r="154" spans="1:6" ht="29.55" customHeight="1" x14ac:dyDescent="0.25">
      <c r="A154" s="1" t="s">
        <v>453</v>
      </c>
      <c r="B154" s="6" t="s">
        <v>454</v>
      </c>
      <c r="C154" s="6" t="s">
        <v>402</v>
      </c>
      <c r="D154" s="6" t="s">
        <v>419</v>
      </c>
      <c r="E154" s="6" t="s">
        <v>420</v>
      </c>
      <c r="F154" s="6" t="str">
        <f>HYPERLINK("http://www.rinaldiconceria.com/","www.rinaldiconceria.com")</f>
        <v>www.rinaldiconceria.com</v>
      </c>
    </row>
    <row r="155" spans="1:6" ht="16.95" customHeight="1" x14ac:dyDescent="0.25">
      <c r="A155" s="5" t="s">
        <v>455</v>
      </c>
      <c r="B155" s="4" t="s">
        <v>456</v>
      </c>
      <c r="C155" s="4" t="s">
        <v>412</v>
      </c>
      <c r="D155" s="4" t="s">
        <v>403</v>
      </c>
      <c r="E155" s="4" t="s">
        <v>404</v>
      </c>
      <c r="F155" s="4" t="str">
        <f>HYPERLINK("http://utility.mandarinaduck.com/","utility.mandarinaduck.com")</f>
        <v>utility.mandarinaduck.com</v>
      </c>
    </row>
    <row r="156" spans="1:6" ht="29.55" customHeight="1" x14ac:dyDescent="0.25">
      <c r="A156" s="5" t="s">
        <v>457</v>
      </c>
      <c r="B156" s="4" t="s">
        <v>458</v>
      </c>
      <c r="C156" s="4" t="s">
        <v>407</v>
      </c>
      <c r="D156" s="4" t="s">
        <v>450</v>
      </c>
      <c r="E156" s="4" t="s">
        <v>451</v>
      </c>
      <c r="F156" s="4" t="str">
        <f>HYPERLINK("http://www.officinecreativeitalia.com/","www.officinecreativeitalia.com")</f>
        <v>www.officinecreativeitalia.com</v>
      </c>
    </row>
    <row r="157" spans="1:6" ht="16.95" customHeight="1" x14ac:dyDescent="0.25">
      <c r="A157" s="1" t="s">
        <v>459</v>
      </c>
      <c r="B157" s="6" t="s">
        <v>460</v>
      </c>
      <c r="C157" s="6" t="s">
        <v>402</v>
      </c>
      <c r="D157" s="6" t="s">
        <v>430</v>
      </c>
      <c r="E157" s="6" t="s">
        <v>420</v>
      </c>
      <c r="F157" s="6" t="str">
        <f>HYPERLINK("http://www.falco.it/","www.falco.it")</f>
        <v>www.falco.it</v>
      </c>
    </row>
    <row r="158" spans="1:6" ht="29.55" customHeight="1" x14ac:dyDescent="0.25">
      <c r="A158" s="1" t="s">
        <v>461</v>
      </c>
      <c r="B158" s="6" t="s">
        <v>462</v>
      </c>
      <c r="C158" s="6" t="s">
        <v>412</v>
      </c>
      <c r="D158" s="6" t="s">
        <v>452</v>
      </c>
      <c r="E158" s="6" t="s">
        <v>451</v>
      </c>
      <c r="F158" s="6" t="str">
        <f>HYPERLINK("http://www.cromia.it/","www.cromia.it")</f>
        <v>www.cromia.it</v>
      </c>
    </row>
    <row r="159" spans="1:6" ht="29.55" customHeight="1" x14ac:dyDescent="0.25">
      <c r="A159" s="5" t="s">
        <v>463</v>
      </c>
      <c r="B159" s="4" t="s">
        <v>464</v>
      </c>
      <c r="C159" s="4" t="s">
        <v>412</v>
      </c>
      <c r="D159" s="4" t="s">
        <v>465</v>
      </c>
      <c r="E159" s="4" t="s">
        <v>466</v>
      </c>
      <c r="F159" s="4" t="str">
        <f>HYPERLINK("http://www.colonnellimanifatture.com/","www.colonnellimanifatture.com")</f>
        <v>www.colonnellimanifatture.com</v>
      </c>
    </row>
    <row r="160" spans="1:6" ht="29.55" customHeight="1" x14ac:dyDescent="0.25">
      <c r="A160" s="1" t="s">
        <v>467</v>
      </c>
      <c r="B160" s="6" t="s">
        <v>468</v>
      </c>
      <c r="C160" s="6" t="s">
        <v>402</v>
      </c>
      <c r="D160" s="6" t="s">
        <v>419</v>
      </c>
      <c r="E160" s="6" t="s">
        <v>420</v>
      </c>
      <c r="F160" s="6" t="str">
        <f>HYPERLINK("http://www.english.ilceaconceria.it/","www.english.ilceaconceria.it")</f>
        <v>www.english.ilceaconceria.it</v>
      </c>
    </row>
    <row r="161" spans="1:6" ht="16.95" customHeight="1" x14ac:dyDescent="0.25">
      <c r="A161" s="5" t="s">
        <v>469</v>
      </c>
      <c r="B161" s="4" t="s">
        <v>470</v>
      </c>
      <c r="C161" s="4" t="s">
        <v>412</v>
      </c>
      <c r="D161" s="4" t="s">
        <v>416</v>
      </c>
      <c r="E161" s="4" t="s">
        <v>409</v>
      </c>
      <c r="F161" s="4" t="str">
        <f>HYPERLINK("http://www.prestigeitalia.com/","www.prestigeitalia.com")</f>
        <v>www.prestigeitalia.com</v>
      </c>
    </row>
    <row r="162" spans="1:6" ht="16.95" customHeight="1" x14ac:dyDescent="0.25">
      <c r="A162" s="1" t="s">
        <v>471</v>
      </c>
      <c r="B162" s="6" t="s">
        <v>472</v>
      </c>
      <c r="C162" s="6" t="s">
        <v>407</v>
      </c>
      <c r="D162" s="6" t="s">
        <v>403</v>
      </c>
      <c r="E162" s="6" t="s">
        <v>404</v>
      </c>
      <c r="F162" s="6" t="str">
        <f>HYPERLINK("http://www.calzaturificioarkte.com/","www.calzaturificioarkte.com")</f>
        <v>www.calzaturificioarkte.com</v>
      </c>
    </row>
    <row r="163" spans="1:6" ht="29.55" customHeight="1" x14ac:dyDescent="0.25">
      <c r="A163" s="5" t="s">
        <v>473</v>
      </c>
      <c r="B163" s="4" t="s">
        <v>474</v>
      </c>
      <c r="C163" s="4" t="s">
        <v>402</v>
      </c>
      <c r="D163" s="4" t="s">
        <v>430</v>
      </c>
      <c r="E163" s="4" t="s">
        <v>420</v>
      </c>
      <c r="F163" s="4" t="str">
        <f>HYPERLINK("http://www.nuovaimpala.com/","www.nuovaimpala.com")</f>
        <v>www.nuovaimpala.com</v>
      </c>
    </row>
    <row r="164" spans="1:6" ht="16.95" customHeight="1" x14ac:dyDescent="0.25">
      <c r="A164" s="1" t="s">
        <v>475</v>
      </c>
      <c r="B164" s="6" t="s">
        <v>476</v>
      </c>
      <c r="C164" s="6" t="s">
        <v>477</v>
      </c>
      <c r="D164" s="6" t="s">
        <v>478</v>
      </c>
      <c r="E164" s="6" t="s">
        <v>479</v>
      </c>
      <c r="F164" s="6" t="str">
        <f>HYPERLINK("http://www.perinspa.it/","www.perinspa.it")</f>
        <v>www.perinspa.it</v>
      </c>
    </row>
    <row r="165" spans="1:6" ht="16.95" customHeight="1" x14ac:dyDescent="0.25">
      <c r="A165" s="5" t="s">
        <v>480</v>
      </c>
      <c r="B165" s="4" t="s">
        <v>481</v>
      </c>
      <c r="C165" s="4" t="s">
        <v>477</v>
      </c>
      <c r="D165" s="4" t="s">
        <v>482</v>
      </c>
      <c r="E165" s="4" t="s">
        <v>479</v>
      </c>
      <c r="F165" s="4" t="str">
        <f>HYPERLINK("http://www.mgmspa.eu/","www.mgmspa.eu")</f>
        <v>www.mgmspa.eu</v>
      </c>
    </row>
    <row r="166" spans="1:6" ht="16.95" customHeight="1" x14ac:dyDescent="0.25">
      <c r="A166" s="1" t="s">
        <v>483</v>
      </c>
      <c r="B166" s="6" t="s">
        <v>484</v>
      </c>
      <c r="C166" s="6" t="s">
        <v>485</v>
      </c>
      <c r="D166" s="6" t="s">
        <v>482</v>
      </c>
      <c r="E166" s="6" t="s">
        <v>479</v>
      </c>
      <c r="F166" s="6" t="str">
        <f>HYPERLINK("http://www.asolo.com/","www.asolo.com")</f>
        <v>www.asolo.com</v>
      </c>
    </row>
    <row r="167" spans="1:6" ht="16.95" customHeight="1" x14ac:dyDescent="0.25">
      <c r="A167" s="5" t="s">
        <v>486</v>
      </c>
      <c r="B167" s="4" t="s">
        <v>487</v>
      </c>
      <c r="C167" s="4" t="s">
        <v>477</v>
      </c>
      <c r="D167" s="4" t="s">
        <v>488</v>
      </c>
      <c r="E167" s="4" t="s">
        <v>479</v>
      </c>
      <c r="F167" s="4" t="str">
        <f>HYPERLINK("http://www.derobert.com/","www.derobert.com")</f>
        <v>www.derobert.com</v>
      </c>
    </row>
    <row r="168" spans="1:6" ht="29.55" customHeight="1" x14ac:dyDescent="0.25">
      <c r="A168" s="1" t="s">
        <v>489</v>
      </c>
      <c r="B168" s="6" t="s">
        <v>490</v>
      </c>
      <c r="C168" s="6" t="s">
        <v>491</v>
      </c>
      <c r="D168" s="6" t="s">
        <v>492</v>
      </c>
      <c r="E168" s="6" t="s">
        <v>493</v>
      </c>
      <c r="F168" s="6" t="str">
        <f>HYPERLINK("http://www.campomaggi.com/","www.campomaggi.com")</f>
        <v>www.campomaggi.com</v>
      </c>
    </row>
    <row r="169" spans="1:6" ht="16.95" customHeight="1" x14ac:dyDescent="0.25">
      <c r="A169" s="5" t="s">
        <v>498</v>
      </c>
      <c r="B169" s="4" t="s">
        <v>499</v>
      </c>
      <c r="C169" s="4" t="s">
        <v>477</v>
      </c>
      <c r="D169" s="4" t="s">
        <v>500</v>
      </c>
      <c r="E169" s="4" t="s">
        <v>479</v>
      </c>
      <c r="F169" s="4" t="str">
        <f>HYPERLINK("http://www.cromier.it/","www.cromier.it")</f>
        <v>www.cromier.it</v>
      </c>
    </row>
    <row r="170" spans="1:6" ht="16.95" customHeight="1" x14ac:dyDescent="0.25">
      <c r="A170" s="1" t="s">
        <v>501</v>
      </c>
      <c r="B170" s="6" t="s">
        <v>502</v>
      </c>
      <c r="C170" s="6" t="s">
        <v>477</v>
      </c>
      <c r="D170" s="6" t="s">
        <v>482</v>
      </c>
      <c r="E170" s="6" t="s">
        <v>479</v>
      </c>
      <c r="F170" s="6" t="str">
        <f>HYPERLINK("http://www.gaerne.com/","www.gaerne.com")</f>
        <v>www.gaerne.com</v>
      </c>
    </row>
    <row r="171" spans="1:6" ht="16.95" customHeight="1" x14ac:dyDescent="0.25">
      <c r="A171" s="5" t="s">
        <v>503</v>
      </c>
      <c r="B171" s="4" t="s">
        <v>504</v>
      </c>
      <c r="C171" s="4" t="s">
        <v>491</v>
      </c>
      <c r="D171" s="4" t="s">
        <v>494</v>
      </c>
      <c r="E171" s="4" t="s">
        <v>495</v>
      </c>
      <c r="F171" s="4" t="str">
        <f>HYPERLINK("http://www.trendsrl.eu/","www.trendsrl.eu")</f>
        <v>www.trendsrl.eu</v>
      </c>
    </row>
    <row r="172" spans="1:6" ht="16.95" customHeight="1" x14ac:dyDescent="0.25">
      <c r="A172" s="1" t="s">
        <v>505</v>
      </c>
      <c r="B172" s="6" t="s">
        <v>506</v>
      </c>
      <c r="C172" s="6" t="s">
        <v>477</v>
      </c>
      <c r="D172" s="6" t="s">
        <v>507</v>
      </c>
      <c r="E172" s="6" t="s">
        <v>479</v>
      </c>
      <c r="F172" s="6" t="str">
        <f>HYPERLINK("http://medusashoes.com/","medusashoes.com")</f>
        <v>medusashoes.com</v>
      </c>
    </row>
    <row r="173" spans="1:6" ht="29.55" customHeight="1" x14ac:dyDescent="0.25">
      <c r="A173" s="1" t="s">
        <v>508</v>
      </c>
      <c r="B173" s="6" t="s">
        <v>509</v>
      </c>
      <c r="C173" s="6" t="s">
        <v>496</v>
      </c>
      <c r="D173" s="6" t="s">
        <v>497</v>
      </c>
      <c r="E173" s="6" t="s">
        <v>495</v>
      </c>
      <c r="F173" s="6" t="str">
        <f>HYPERLINK("http://gielleemme.it/","gielleemme.it")</f>
        <v>gielleemme.it</v>
      </c>
    </row>
    <row r="174" spans="1:6" ht="29.55" customHeight="1" x14ac:dyDescent="0.25">
      <c r="A174" s="5" t="s">
        <v>510</v>
      </c>
      <c r="B174" s="4" t="s">
        <v>511</v>
      </c>
      <c r="C174" s="4" t="s">
        <v>496</v>
      </c>
      <c r="D174" s="4" t="s">
        <v>497</v>
      </c>
      <c r="E174" s="4" t="s">
        <v>495</v>
      </c>
      <c r="F174" s="4" t="str">
        <f>HYPERLINK("http://www.sciarada.it/","http://www.sciarada.it")</f>
        <v>http://www.sciarada.it</v>
      </c>
    </row>
    <row r="175" spans="1:6" ht="16.95" customHeight="1" x14ac:dyDescent="0.25">
      <c r="A175" s="1" t="s">
        <v>512</v>
      </c>
      <c r="B175" s="6" t="s">
        <v>513</v>
      </c>
      <c r="C175" s="6" t="s">
        <v>491</v>
      </c>
      <c r="D175" s="6" t="s">
        <v>494</v>
      </c>
      <c r="E175" s="6" t="s">
        <v>495</v>
      </c>
      <c r="F175" s="6" t="str">
        <f>HYPERLINK("http://www.pelletteriegiancarlo.net/","www.pelletteriegiancarlo.net")</f>
        <v>www.pelletteriegiancarlo.net</v>
      </c>
    </row>
    <row r="176" spans="1:6" ht="16.95" customHeight="1" x14ac:dyDescent="0.25">
      <c r="A176" s="5" t="s">
        <v>514</v>
      </c>
      <c r="B176" s="4" t="s">
        <v>515</v>
      </c>
      <c r="C176" s="4" t="s">
        <v>477</v>
      </c>
      <c r="D176" s="4" t="s">
        <v>482</v>
      </c>
      <c r="E176" s="4" t="s">
        <v>479</v>
      </c>
      <c r="F176" s="4" t="str">
        <f>HYPERLINK("http://www.stonefly.it/","www.stonefly.it/")</f>
        <v>www.stonefly.it/</v>
      </c>
    </row>
    <row r="177" spans="1:6" ht="16.95" customHeight="1" x14ac:dyDescent="0.25">
      <c r="A177" s="1" t="s">
        <v>516</v>
      </c>
      <c r="B177" s="6" t="s">
        <v>517</v>
      </c>
      <c r="C177" s="6" t="s">
        <v>477</v>
      </c>
      <c r="D177" s="6" t="s">
        <v>518</v>
      </c>
      <c r="E177" s="6" t="s">
        <v>519</v>
      </c>
      <c r="F177" s="6" t="str">
        <f>HYPERLINK("http://www.lineacshoes.com/","www.lineacshoes.com")</f>
        <v>www.lineacshoes.com</v>
      </c>
    </row>
    <row r="178" spans="1:6" ht="16.95" customHeight="1" x14ac:dyDescent="0.25">
      <c r="A178" s="5" t="s">
        <v>520</v>
      </c>
      <c r="B178" s="4" t="s">
        <v>521</v>
      </c>
      <c r="C178" s="4" t="s">
        <v>496</v>
      </c>
      <c r="D178" s="4" t="s">
        <v>497</v>
      </c>
      <c r="E178" s="4" t="s">
        <v>495</v>
      </c>
      <c r="F178" s="4" t="str">
        <f>HYPERLINK("http://www.vestacorp.it/","www.vestacorp.it")</f>
        <v>www.vestacorp.it</v>
      </c>
    </row>
    <row r="179" spans="1:6" ht="16.95" customHeight="1" x14ac:dyDescent="0.25">
      <c r="A179" s="5" t="s">
        <v>522</v>
      </c>
      <c r="B179" s="4" t="s">
        <v>523</v>
      </c>
      <c r="C179" s="4" t="s">
        <v>477</v>
      </c>
      <c r="D179" s="4" t="s">
        <v>488</v>
      </c>
      <c r="E179" s="4" t="s">
        <v>479</v>
      </c>
      <c r="F179" s="4" t="str">
        <f>HYPERLINK("http://www.caravelleshoes.it/","www.caravelleshoes.it")</f>
        <v>www.caravelleshoes.it</v>
      </c>
    </row>
    <row r="180" spans="1:6" ht="29.55" customHeight="1" x14ac:dyDescent="0.25">
      <c r="A180" s="1" t="s">
        <v>524</v>
      </c>
      <c r="B180" s="6" t="s">
        <v>525</v>
      </c>
      <c r="C180" s="6" t="s">
        <v>526</v>
      </c>
      <c r="D180" s="6" t="s">
        <v>492</v>
      </c>
      <c r="E180" s="6" t="s">
        <v>493</v>
      </c>
      <c r="F180" s="6" t="str">
        <f>HYPERLINK("http://www.formificioromagnolo.com/","www.formificioromagnolo.com")</f>
        <v>www.formificioromagnolo.com</v>
      </c>
    </row>
    <row r="181" spans="1:6" ht="16.95" customHeight="1" x14ac:dyDescent="0.25">
      <c r="A181" s="1" t="s">
        <v>527</v>
      </c>
      <c r="B181" s="6" t="s">
        <v>528</v>
      </c>
      <c r="C181" s="6" t="s">
        <v>477</v>
      </c>
      <c r="D181" s="6" t="s">
        <v>478</v>
      </c>
      <c r="E181" s="6" t="s">
        <v>479</v>
      </c>
      <c r="F181" s="6" t="str">
        <f>HYPERLINK("http://www.walles.it/","www.walles.it")</f>
        <v>www.walles.it</v>
      </c>
    </row>
    <row r="182" spans="1:6" ht="16.95" customHeight="1" x14ac:dyDescent="0.25">
      <c r="A182" s="5" t="s">
        <v>529</v>
      </c>
      <c r="B182" s="4" t="s">
        <v>530</v>
      </c>
      <c r="C182" s="4" t="s">
        <v>477</v>
      </c>
      <c r="D182" s="4" t="s">
        <v>518</v>
      </c>
      <c r="E182" s="4" t="s">
        <v>519</v>
      </c>
      <c r="F182" s="4" t="str">
        <f>HYPERLINK("http://www.inblu.com/","www.inblu.com")</f>
        <v>www.inblu.com</v>
      </c>
    </row>
    <row r="183" spans="1:6" ht="29.55" customHeight="1" x14ac:dyDescent="0.25">
      <c r="A183" s="1" t="s">
        <v>531</v>
      </c>
      <c r="B183" s="6" t="s">
        <v>532</v>
      </c>
      <c r="C183" s="6" t="s">
        <v>485</v>
      </c>
      <c r="D183" s="6" t="s">
        <v>497</v>
      </c>
      <c r="E183" s="6" t="s">
        <v>495</v>
      </c>
      <c r="F183" s="6" t="str">
        <f>HYPERLINK("http://www.sangiorgiosrl.com/","www.sangiorgiosrl.com")</f>
        <v>www.sangiorgiosrl.com</v>
      </c>
    </row>
    <row r="184" spans="1:6" ht="29.55" customHeight="1" x14ac:dyDescent="0.25">
      <c r="A184" s="5" t="s">
        <v>533</v>
      </c>
      <c r="B184" s="4" t="s">
        <v>534</v>
      </c>
      <c r="C184" s="4" t="s">
        <v>496</v>
      </c>
      <c r="D184" s="4" t="s">
        <v>497</v>
      </c>
      <c r="E184" s="4" t="s">
        <v>495</v>
      </c>
      <c r="F184" s="4" t="str">
        <f>HYPERLINK("http://www.lamonti.it/","www.lamonti.it")</f>
        <v>www.lamonti.it</v>
      </c>
    </row>
    <row r="185" spans="1:6" ht="16.95" customHeight="1" x14ac:dyDescent="0.25">
      <c r="A185" s="1" t="s">
        <v>535</v>
      </c>
      <c r="B185" s="6" t="s">
        <v>536</v>
      </c>
      <c r="C185" s="6" t="s">
        <v>477</v>
      </c>
      <c r="D185" s="6" t="s">
        <v>537</v>
      </c>
      <c r="E185" s="6" t="s">
        <v>538</v>
      </c>
      <c r="F185" s="6" t="str">
        <f>HYPERLINK("http://www.bicap.it/","www.bicap.it")</f>
        <v>www.bicap.it</v>
      </c>
    </row>
    <row r="186" spans="1:6" ht="16.95" customHeight="1" x14ac:dyDescent="0.25">
      <c r="A186" s="5" t="s">
        <v>539</v>
      </c>
      <c r="B186" s="4" t="s">
        <v>540</v>
      </c>
      <c r="C186" s="4" t="s">
        <v>496</v>
      </c>
      <c r="D186" s="4" t="s">
        <v>478</v>
      </c>
      <c r="E186" s="4" t="s">
        <v>479</v>
      </c>
      <c r="F186" s="4" t="str">
        <f>HYPERLINK("http://www.marioleviitalia.it/","www.marioleviitalia.it")</f>
        <v>www.marioleviitalia.it</v>
      </c>
    </row>
    <row r="187" spans="1:6" ht="16.95" customHeight="1" x14ac:dyDescent="0.25">
      <c r="A187" s="1" t="s">
        <v>541</v>
      </c>
      <c r="B187" s="6" t="s">
        <v>542</v>
      </c>
      <c r="C187" s="6" t="s">
        <v>496</v>
      </c>
      <c r="D187" s="6" t="s">
        <v>478</v>
      </c>
      <c r="E187" s="6" t="s">
        <v>479</v>
      </c>
      <c r="F187" s="6" t="str">
        <f>HYPERLINK("http://www.ferrarilasi.it/conceria","http://www.ferrarilasi.it/conceria")</f>
        <v>http://www.ferrarilasi.it/conceria</v>
      </c>
    </row>
    <row r="188" spans="1:6" ht="16.95" customHeight="1" x14ac:dyDescent="0.25">
      <c r="A188" s="5" t="s">
        <v>543</v>
      </c>
      <c r="B188" s="4" t="s">
        <v>544</v>
      </c>
      <c r="C188" s="4" t="s">
        <v>496</v>
      </c>
      <c r="D188" s="4" t="s">
        <v>478</v>
      </c>
      <c r="E188" s="4" t="s">
        <v>479</v>
      </c>
      <c r="F188" s="4" t="str">
        <f>HYPERLINK("http://www.vicenzapelli.com/","www.vicenzapelli.com")</f>
        <v>www.vicenzapelli.com</v>
      </c>
    </row>
    <row r="189" spans="1:6" ht="16.95" customHeight="1" x14ac:dyDescent="0.25">
      <c r="A189" s="1" t="s">
        <v>545</v>
      </c>
      <c r="B189" s="6" t="s">
        <v>546</v>
      </c>
      <c r="C189" s="6" t="s">
        <v>477</v>
      </c>
      <c r="D189" s="6" t="s">
        <v>547</v>
      </c>
      <c r="E189" s="6" t="s">
        <v>519</v>
      </c>
      <c r="F189" s="6" t="str">
        <f>HYPERLINK("http://www.assocalzaturifici.it/ancimain/crm?id=432","www.assocalzaturifici.it/ancimain/crm?id=432")</f>
        <v>www.assocalzaturifici.it/ancimain/crm?id=432</v>
      </c>
    </row>
    <row r="190" spans="1:6" ht="16.95" customHeight="1" x14ac:dyDescent="0.25">
      <c r="A190" s="1" t="s">
        <v>548</v>
      </c>
      <c r="B190" s="6" t="s">
        <v>549</v>
      </c>
      <c r="C190" s="6" t="s">
        <v>550</v>
      </c>
      <c r="D190" s="6" t="s">
        <v>551</v>
      </c>
      <c r="E190" s="6" t="s">
        <v>552</v>
      </c>
      <c r="F190" s="6" t="str">
        <f>HYPERLINK("http://www.albagroup.it/","www.albagroup.it")</f>
        <v>www.albagroup.it</v>
      </c>
    </row>
    <row r="191" spans="1:6" ht="16.95" customHeight="1" x14ac:dyDescent="0.25">
      <c r="A191" s="5" t="s">
        <v>553</v>
      </c>
      <c r="B191" s="4" t="s">
        <v>554</v>
      </c>
      <c r="C191" s="4" t="s">
        <v>555</v>
      </c>
      <c r="D191" s="4" t="s">
        <v>556</v>
      </c>
      <c r="E191" s="4" t="s">
        <v>557</v>
      </c>
      <c r="F191" s="4" t="str">
        <f>HYPERLINK("http://www.hermes.com/","www.hermes.com")</f>
        <v>www.hermes.com</v>
      </c>
    </row>
    <row r="192" spans="1:6" ht="16.95" customHeight="1" x14ac:dyDescent="0.25">
      <c r="A192" s="5" t="s">
        <v>559</v>
      </c>
      <c r="B192" s="4" t="s">
        <v>560</v>
      </c>
      <c r="C192" s="4" t="s">
        <v>550</v>
      </c>
      <c r="D192" s="4" t="s">
        <v>561</v>
      </c>
      <c r="E192" s="4" t="s">
        <v>562</v>
      </c>
      <c r="F192" s="4" t="str">
        <f>HYPERLINK("http://www.fonpelli.it/","www.fonpelli.it")</f>
        <v>www.fonpelli.it</v>
      </c>
    </row>
    <row r="193" spans="1:6" ht="16.95" customHeight="1" x14ac:dyDescent="0.25">
      <c r="A193" s="5" t="s">
        <v>565</v>
      </c>
      <c r="B193" s="4" t="s">
        <v>566</v>
      </c>
      <c r="C193" s="4" t="s">
        <v>555</v>
      </c>
      <c r="D193" s="4" t="s">
        <v>567</v>
      </c>
      <c r="E193" s="4" t="s">
        <v>564</v>
      </c>
      <c r="F193" s="4" t="str">
        <f>HYPERLINK("http://www.demacalzature.it/","www.demacalzature.it")</f>
        <v>www.demacalzature.it</v>
      </c>
    </row>
    <row r="194" spans="1:6" ht="16.95" customHeight="1" x14ac:dyDescent="0.25">
      <c r="A194" s="1" t="s">
        <v>569</v>
      </c>
      <c r="B194" s="6" t="s">
        <v>570</v>
      </c>
      <c r="C194" s="6" t="s">
        <v>555</v>
      </c>
      <c r="D194" s="6" t="s">
        <v>571</v>
      </c>
      <c r="E194" s="6" t="s">
        <v>572</v>
      </c>
      <c r="F194" s="6" t="str">
        <f>HYPERLINK("http://www.calzaturificiolesfemmes.com/","www.calzaturificiolesfemmes.com")</f>
        <v>www.calzaturificiolesfemmes.com</v>
      </c>
    </row>
    <row r="195" spans="1:6" ht="29.55" customHeight="1" x14ac:dyDescent="0.25">
      <c r="A195" s="5" t="s">
        <v>573</v>
      </c>
      <c r="B195" s="4" t="s">
        <v>574</v>
      </c>
      <c r="C195" s="4" t="s">
        <v>550</v>
      </c>
      <c r="D195" s="4" t="s">
        <v>568</v>
      </c>
      <c r="E195" s="4" t="s">
        <v>564</v>
      </c>
      <c r="F195" s="4" t="str">
        <f>HYPERLINK("http://www.conceriaderma.it/","http://www.conceriaderma.it")</f>
        <v>http://www.conceriaderma.it</v>
      </c>
    </row>
    <row r="196" spans="1:6" ht="16.95" customHeight="1" x14ac:dyDescent="0.25">
      <c r="A196" s="1" t="s">
        <v>575</v>
      </c>
      <c r="B196" s="6" t="s">
        <v>576</v>
      </c>
      <c r="C196" s="6" t="s">
        <v>550</v>
      </c>
      <c r="D196" s="6" t="s">
        <v>561</v>
      </c>
      <c r="E196" s="6" t="s">
        <v>562</v>
      </c>
      <c r="F196" s="6" t="str">
        <f>HYPERLINK("http://www.conceriazonta.com/","http://www.conceriazonta.com")</f>
        <v>http://www.conceriazonta.com</v>
      </c>
    </row>
    <row r="197" spans="1:6" ht="16.95" customHeight="1" x14ac:dyDescent="0.25">
      <c r="A197" s="1" t="s">
        <v>577</v>
      </c>
      <c r="B197" s="6" t="s">
        <v>578</v>
      </c>
      <c r="C197" s="6" t="s">
        <v>550</v>
      </c>
      <c r="D197" s="6" t="s">
        <v>579</v>
      </c>
      <c r="E197" s="6" t="s">
        <v>552</v>
      </c>
      <c r="F197" s="6" t="str">
        <f>HYPERLINK("http://www.conceriaopera.it/","www.conceriaopera.it")</f>
        <v>www.conceriaopera.it</v>
      </c>
    </row>
    <row r="198" spans="1:6" ht="16.95" customHeight="1" x14ac:dyDescent="0.25">
      <c r="A198" s="5" t="s">
        <v>580</v>
      </c>
      <c r="B198" s="4" t="s">
        <v>581</v>
      </c>
      <c r="C198" s="4" t="s">
        <v>550</v>
      </c>
      <c r="D198" s="4" t="s">
        <v>556</v>
      </c>
      <c r="E198" s="4" t="s">
        <v>557</v>
      </c>
      <c r="F198" s="4" t="str">
        <f>HYPERLINK("http://www.bbminternational.it/","www.bbminternational.it")</f>
        <v>www.bbminternational.it</v>
      </c>
    </row>
    <row r="199" spans="1:6" ht="16.95" customHeight="1" x14ac:dyDescent="0.25">
      <c r="A199" s="1" t="s">
        <v>582</v>
      </c>
      <c r="B199" s="6" t="s">
        <v>583</v>
      </c>
      <c r="C199" s="6" t="s">
        <v>558</v>
      </c>
      <c r="D199" s="6" t="s">
        <v>584</v>
      </c>
      <c r="E199" s="6" t="s">
        <v>557</v>
      </c>
      <c r="F199" s="6" t="str">
        <f>HYPERLINK("http://www.lemie.it/","www.lemie.it")</f>
        <v>www.lemie.it</v>
      </c>
    </row>
    <row r="200" spans="1:6" ht="16.95" customHeight="1" x14ac:dyDescent="0.25">
      <c r="A200" s="5" t="s">
        <v>585</v>
      </c>
      <c r="B200" s="4" t="s">
        <v>586</v>
      </c>
      <c r="C200" s="4" t="s">
        <v>587</v>
      </c>
      <c r="D200" s="4" t="s">
        <v>571</v>
      </c>
      <c r="E200" s="4" t="s">
        <v>572</v>
      </c>
      <c r="F200" s="4" t="str">
        <f>HYPERLINK("http://dami.it/","dami.it")</f>
        <v>dami.it</v>
      </c>
    </row>
    <row r="201" spans="1:6" ht="16.95" customHeight="1" x14ac:dyDescent="0.25">
      <c r="A201" s="1" t="s">
        <v>588</v>
      </c>
      <c r="B201" s="6" t="s">
        <v>589</v>
      </c>
      <c r="C201" s="6" t="s">
        <v>590</v>
      </c>
      <c r="D201" s="6" t="s">
        <v>591</v>
      </c>
      <c r="E201" s="6" t="s">
        <v>592</v>
      </c>
      <c r="F201" s="6" t="str">
        <f>HYPERLINK("http://www.pandasafety.com/","www.pandasafety.com")</f>
        <v>www.pandasafety.com</v>
      </c>
    </row>
    <row r="202" spans="1:6" ht="29.55" customHeight="1" x14ac:dyDescent="0.25">
      <c r="A202" s="1" t="s">
        <v>593</v>
      </c>
      <c r="B202" s="6" t="s">
        <v>594</v>
      </c>
      <c r="C202" s="6" t="s">
        <v>555</v>
      </c>
      <c r="D202" s="6" t="s">
        <v>595</v>
      </c>
      <c r="E202" s="6" t="s">
        <v>557</v>
      </c>
      <c r="F202" s="6" t="str">
        <f>HYPERLINK("http://www.patriziashoes.com/","www.patriziashoes.com")</f>
        <v>www.patriziashoes.com</v>
      </c>
    </row>
    <row r="203" spans="1:6" ht="29.55" customHeight="1" x14ac:dyDescent="0.25">
      <c r="A203" s="5" t="s">
        <v>596</v>
      </c>
      <c r="B203" s="4" t="s">
        <v>597</v>
      </c>
      <c r="C203" s="4" t="s">
        <v>555</v>
      </c>
      <c r="D203" s="4" t="s">
        <v>561</v>
      </c>
      <c r="E203" s="4" t="s">
        <v>562</v>
      </c>
      <c r="F203" s="4" t="str">
        <f>HYPERLINK("http://eu.zamberlan.com/","eu.zamberlan.com")</f>
        <v>eu.zamberlan.com</v>
      </c>
    </row>
    <row r="204" spans="1:6" ht="29.55" customHeight="1" x14ac:dyDescent="0.25">
      <c r="A204" s="1" t="s">
        <v>598</v>
      </c>
      <c r="B204" s="6" t="s">
        <v>599</v>
      </c>
      <c r="C204" s="6" t="s">
        <v>555</v>
      </c>
      <c r="D204" s="6" t="s">
        <v>600</v>
      </c>
      <c r="E204" s="6" t="s">
        <v>562</v>
      </c>
      <c r="F204" s="6" t="str">
        <f>HYPERLINK("http://callegaricalzature.it/","callegaricalzature.it")</f>
        <v>callegaricalzature.it</v>
      </c>
    </row>
    <row r="205" spans="1:6" ht="16.95" customHeight="1" x14ac:dyDescent="0.25">
      <c r="A205" s="5" t="s">
        <v>601</v>
      </c>
      <c r="B205" s="4" t="s">
        <v>602</v>
      </c>
      <c r="C205" s="4" t="s">
        <v>550</v>
      </c>
      <c r="D205" s="4" t="s">
        <v>561</v>
      </c>
      <c r="E205" s="4" t="s">
        <v>562</v>
      </c>
      <c r="F205" s="4" t="str">
        <f>HYPERLINK("http://www.concerialaveneta.com/","www.concerialaveneta.com")</f>
        <v>www.concerialaveneta.com</v>
      </c>
    </row>
    <row r="206" spans="1:6" ht="29.55" customHeight="1" x14ac:dyDescent="0.25">
      <c r="A206" s="1" t="s">
        <v>603</v>
      </c>
      <c r="B206" s="6" t="s">
        <v>604</v>
      </c>
      <c r="C206" s="6" t="s">
        <v>550</v>
      </c>
      <c r="D206" s="6" t="s">
        <v>579</v>
      </c>
      <c r="E206" s="6" t="s">
        <v>552</v>
      </c>
      <c r="F206" s="6" t="str">
        <f>HYPERLINK("http://www.curtiba.it/","www.curtiba.it")</f>
        <v>www.curtiba.it</v>
      </c>
    </row>
    <row r="207" spans="1:6" ht="16.95" customHeight="1" x14ac:dyDescent="0.25">
      <c r="A207" s="5" t="s">
        <v>605</v>
      </c>
      <c r="B207" s="4" t="s">
        <v>606</v>
      </c>
      <c r="C207" s="4" t="s">
        <v>550</v>
      </c>
      <c r="D207" s="4" t="s">
        <v>579</v>
      </c>
      <c r="E207" s="4" t="s">
        <v>552</v>
      </c>
      <c r="F207" s="4" t="str">
        <f>HYPERLINK("http://www.carasco.eu/","www.carasco.eu")</f>
        <v>www.carasco.eu</v>
      </c>
    </row>
    <row r="208" spans="1:6" ht="16.95" customHeight="1" x14ac:dyDescent="0.25">
      <c r="A208" s="1" t="s">
        <v>607</v>
      </c>
      <c r="B208" s="6" t="s">
        <v>608</v>
      </c>
      <c r="C208" s="6" t="s">
        <v>550</v>
      </c>
      <c r="D208" s="6" t="s">
        <v>561</v>
      </c>
      <c r="E208" s="6" t="s">
        <v>562</v>
      </c>
      <c r="F208" s="6" t="str">
        <f>HYPERLINK("http://www.esapel.com/","www.esapel.com")</f>
        <v>www.esapel.com</v>
      </c>
    </row>
    <row r="209" spans="1:6" ht="16.95" customHeight="1" x14ac:dyDescent="0.25">
      <c r="A209" s="5" t="s">
        <v>609</v>
      </c>
      <c r="B209" s="4" t="s">
        <v>610</v>
      </c>
      <c r="C209" s="4" t="s">
        <v>555</v>
      </c>
      <c r="D209" s="4" t="s">
        <v>611</v>
      </c>
      <c r="E209" s="4" t="s">
        <v>557</v>
      </c>
      <c r="F209" s="4" t="str">
        <f>HYPERLINK("http://mariocerutti.it/","mariocerutti.it")</f>
        <v>mariocerutti.it</v>
      </c>
    </row>
    <row r="210" spans="1:6" ht="16.95" customHeight="1" x14ac:dyDescent="0.25">
      <c r="A210" s="1" t="s">
        <v>612</v>
      </c>
      <c r="B210" s="6" t="s">
        <v>613</v>
      </c>
      <c r="C210" s="6" t="s">
        <v>555</v>
      </c>
      <c r="D210" s="6" t="s">
        <v>571</v>
      </c>
      <c r="E210" s="6" t="s">
        <v>572</v>
      </c>
      <c r="F210" s="6" t="str">
        <f>HYPERLINK("http://www.doucals.com/","www.doucals.com")</f>
        <v>www.doucals.com</v>
      </c>
    </row>
    <row r="211" spans="1:6" ht="16.95" customHeight="1" x14ac:dyDescent="0.25">
      <c r="A211" s="5" t="s">
        <v>614</v>
      </c>
      <c r="B211" s="4" t="s">
        <v>615</v>
      </c>
      <c r="C211" s="4" t="s">
        <v>555</v>
      </c>
      <c r="D211" s="4" t="s">
        <v>563</v>
      </c>
      <c r="E211" s="4" t="s">
        <v>564</v>
      </c>
      <c r="F211" s="4" t="str">
        <f>HYPERLINK("http://www.calzaturificiosirio.it/","www.calzaturificiosirio.it")</f>
        <v>www.calzaturificiosirio.it</v>
      </c>
    </row>
    <row r="212" spans="1:6" ht="16.95" customHeight="1" x14ac:dyDescent="0.25">
      <c r="A212" s="1" t="s">
        <v>616</v>
      </c>
      <c r="B212" s="6" t="s">
        <v>617</v>
      </c>
      <c r="C212" s="6" t="s">
        <v>555</v>
      </c>
      <c r="D212" s="6" t="s">
        <v>571</v>
      </c>
      <c r="E212" s="6" t="s">
        <v>572</v>
      </c>
      <c r="F212" s="6" t="str">
        <f>HYPERLINK("http://www.zeisexcelsa.it/","www.zeisexcelsa.it")</f>
        <v>www.zeisexcelsa.it</v>
      </c>
    </row>
    <row r="213" spans="1:6" ht="16.95" customHeight="1" x14ac:dyDescent="0.25">
      <c r="A213" s="5" t="s">
        <v>618</v>
      </c>
      <c r="B213" s="4" t="s">
        <v>619</v>
      </c>
      <c r="C213" s="4" t="s">
        <v>550</v>
      </c>
      <c r="D213" s="4" t="s">
        <v>561</v>
      </c>
      <c r="E213" s="4" t="s">
        <v>562</v>
      </c>
      <c r="F213" s="4" t="str">
        <f>HYPERLINK("http://conceriatolio.com/","conceriatolio.com")</f>
        <v>conceriatolio.com</v>
      </c>
    </row>
    <row r="214" spans="1:6" ht="16.95" customHeight="1" x14ac:dyDescent="0.25">
      <c r="A214" s="5" t="s">
        <v>623</v>
      </c>
      <c r="B214" s="4" t="s">
        <v>624</v>
      </c>
      <c r="C214" s="4" t="s">
        <v>620</v>
      </c>
      <c r="D214" s="4" t="s">
        <v>625</v>
      </c>
      <c r="E214" s="4" t="s">
        <v>626</v>
      </c>
      <c r="F214" s="4" t="str">
        <f>HYPERLINK("http://www.vignolanobile.com/","http://www.vignolanobile.com")</f>
        <v>http://www.vignolanobile.com</v>
      </c>
    </row>
    <row r="215" spans="1:6" ht="16.95" customHeight="1" x14ac:dyDescent="0.25">
      <c r="A215" s="5" t="s">
        <v>628</v>
      </c>
      <c r="B215" s="4" t="s">
        <v>629</v>
      </c>
      <c r="C215" s="4" t="s">
        <v>620</v>
      </c>
      <c r="D215" s="4" t="s">
        <v>630</v>
      </c>
      <c r="E215" s="4" t="s">
        <v>631</v>
      </c>
      <c r="F215" s="4" t="str">
        <f>HYPERLINK("http://conceriavictoria.it/","conceriavictoria.it")</f>
        <v>conceriavictoria.it</v>
      </c>
    </row>
    <row r="216" spans="1:6" ht="29.55" customHeight="1" x14ac:dyDescent="0.25">
      <c r="A216" s="1" t="s">
        <v>632</v>
      </c>
      <c r="B216" s="6" t="s">
        <v>633</v>
      </c>
      <c r="C216" s="6" t="s">
        <v>627</v>
      </c>
      <c r="D216" s="6" t="s">
        <v>634</v>
      </c>
      <c r="E216" s="6" t="s">
        <v>635</v>
      </c>
      <c r="F216" s="6" t="str">
        <f>HYPERLINK("http://www.cleobottier.com/","www.cleobottier.com")</f>
        <v>www.cleobottier.com</v>
      </c>
    </row>
    <row r="217" spans="1:6" ht="16.95" customHeight="1" x14ac:dyDescent="0.25">
      <c r="A217" s="5" t="s">
        <v>636</v>
      </c>
      <c r="B217" s="4" t="s">
        <v>637</v>
      </c>
      <c r="C217" s="4" t="s">
        <v>627</v>
      </c>
      <c r="D217" s="4" t="s">
        <v>638</v>
      </c>
      <c r="E217" s="4" t="s">
        <v>622</v>
      </c>
      <c r="F217" s="4" t="str">
        <f>HYPERLINK("http://panthersafety.it/","panthersafety.it")</f>
        <v>panthersafety.it</v>
      </c>
    </row>
    <row r="218" spans="1:6" ht="16.95" customHeight="1" x14ac:dyDescent="0.25">
      <c r="A218" s="1" t="s">
        <v>639</v>
      </c>
      <c r="B218" s="6" t="s">
        <v>640</v>
      </c>
      <c r="C218" s="6" t="s">
        <v>627</v>
      </c>
      <c r="D218" s="6" t="s">
        <v>641</v>
      </c>
      <c r="E218" s="6" t="s">
        <v>642</v>
      </c>
      <c r="F218" s="6" t="str">
        <f>HYPERLINK("http://www.albaen.it/","www.albaen.it")</f>
        <v>www.albaen.it</v>
      </c>
    </row>
    <row r="219" spans="1:6" ht="16.95" customHeight="1" x14ac:dyDescent="0.25">
      <c r="A219" s="5" t="s">
        <v>643</v>
      </c>
      <c r="B219" s="4" t="s">
        <v>644</v>
      </c>
      <c r="C219" s="4" t="s">
        <v>627</v>
      </c>
      <c r="D219" s="4" t="s">
        <v>645</v>
      </c>
      <c r="E219" s="4" t="s">
        <v>622</v>
      </c>
      <c r="F219" s="4" t="str">
        <f>HYPERLINK("http://www.megfootwear.com/","www.megfootwear.com")</f>
        <v>www.megfootwear.com</v>
      </c>
    </row>
    <row r="220" spans="1:6" ht="29.55" customHeight="1" x14ac:dyDescent="0.25">
      <c r="A220" s="1" t="s">
        <v>646</v>
      </c>
      <c r="B220" s="6" t="s">
        <v>647</v>
      </c>
      <c r="C220" s="6" t="s">
        <v>627</v>
      </c>
      <c r="D220" s="6" t="s">
        <v>648</v>
      </c>
      <c r="E220" s="6" t="s">
        <v>631</v>
      </c>
      <c r="F220" s="6" t="str">
        <f>HYPERLINK("http://calzaturificiosoldini.it/","calzaturificiosoldini.it")</f>
        <v>calzaturificiosoldini.it</v>
      </c>
    </row>
    <row r="221" spans="1:6" ht="29.55" customHeight="1" x14ac:dyDescent="0.25">
      <c r="A221" s="5" t="s">
        <v>649</v>
      </c>
      <c r="B221" s="4" t="s">
        <v>650</v>
      </c>
      <c r="C221" s="4" t="s">
        <v>651</v>
      </c>
      <c r="D221" s="4" t="s">
        <v>652</v>
      </c>
      <c r="E221" s="4" t="s">
        <v>622</v>
      </c>
      <c r="F221" s="4" t="str">
        <f>HYPERLINK("http://www.calzaturificiomaritanspa.it/","www.calzaturificiomaritanspa.it")</f>
        <v>www.calzaturificiomaritanspa.it</v>
      </c>
    </row>
    <row r="222" spans="1:6" ht="16.95" customHeight="1" x14ac:dyDescent="0.25">
      <c r="A222" s="1" t="s">
        <v>653</v>
      </c>
      <c r="B222" s="6" t="s">
        <v>654</v>
      </c>
      <c r="C222" s="6" t="s">
        <v>620</v>
      </c>
      <c r="D222" s="6" t="s">
        <v>621</v>
      </c>
      <c r="E222" s="6" t="s">
        <v>622</v>
      </c>
      <c r="F222" s="6" t="str">
        <f>HYPERLINK("http://www.bszitaly.com/","www.bszitaly.com")</f>
        <v>www.bszitaly.com</v>
      </c>
    </row>
    <row r="223" spans="1:6" ht="16.95" customHeight="1" x14ac:dyDescent="0.25">
      <c r="A223" s="5" t="s">
        <v>655</v>
      </c>
      <c r="B223" s="4" t="s">
        <v>656</v>
      </c>
      <c r="C223" s="4" t="s">
        <v>620</v>
      </c>
      <c r="D223" s="4" t="s">
        <v>634</v>
      </c>
      <c r="E223" s="4" t="s">
        <v>635</v>
      </c>
      <c r="F223" s="4" t="str">
        <f>HYPERLINK("http://www.conceriaguerino.it/","www.conceriaguerino.it")</f>
        <v>www.conceriaguerino.it</v>
      </c>
    </row>
    <row r="224" spans="1:6" ht="16.95" customHeight="1" x14ac:dyDescent="0.25">
      <c r="A224" s="1" t="s">
        <v>657</v>
      </c>
      <c r="B224" s="6" t="s">
        <v>658</v>
      </c>
      <c r="C224" s="6" t="s">
        <v>659</v>
      </c>
      <c r="D224" s="6" t="s">
        <v>638</v>
      </c>
      <c r="E224" s="6" t="s">
        <v>622</v>
      </c>
      <c r="F224" s="6" t="str">
        <f>HYPERLINK("http://www.coriumlinepelletterie.com/","www.coriumlinepelletterie.com")</f>
        <v>www.coriumlinepelletterie.com</v>
      </c>
    </row>
    <row r="225" spans="1:6" ht="16.95" customHeight="1" x14ac:dyDescent="0.25">
      <c r="A225" s="5" t="s">
        <v>660</v>
      </c>
      <c r="B225" s="4" t="s">
        <v>661</v>
      </c>
      <c r="C225" s="4" t="s">
        <v>620</v>
      </c>
      <c r="D225" s="4" t="s">
        <v>630</v>
      </c>
      <c r="E225" s="4" t="s">
        <v>631</v>
      </c>
      <c r="F225" s="4" t="str">
        <f>HYPERLINK("http://www.sanlorenzospa.it/","www.sanlorenzospa.it")</f>
        <v>www.sanlorenzospa.it</v>
      </c>
    </row>
    <row r="226" spans="1:6" ht="29.55" customHeight="1" x14ac:dyDescent="0.25">
      <c r="A226" s="1" t="s">
        <v>662</v>
      </c>
      <c r="B226" s="6" t="s">
        <v>663</v>
      </c>
      <c r="C226" s="6" t="s">
        <v>620</v>
      </c>
      <c r="D226" s="6" t="s">
        <v>664</v>
      </c>
      <c r="E226" s="6" t="s">
        <v>626</v>
      </c>
      <c r="F226" s="6" t="str">
        <f>HYPERLINK("http://www.onlyfrank.it/","www.onlyfrank.it")</f>
        <v>www.onlyfrank.it</v>
      </c>
    </row>
    <row r="227" spans="1:6" ht="16.95" customHeight="1" x14ac:dyDescent="0.25">
      <c r="A227" s="1" t="s">
        <v>666</v>
      </c>
      <c r="B227" s="6" t="s">
        <v>667</v>
      </c>
      <c r="C227" s="6" t="s">
        <v>620</v>
      </c>
      <c r="D227" s="6" t="s">
        <v>621</v>
      </c>
      <c r="E227" s="6" t="s">
        <v>622</v>
      </c>
      <c r="F227" s="6" t="str">
        <f>HYPERLINK("http://www.dallabenetta.com/","www.dallabenetta.com")</f>
        <v>www.dallabenetta.com</v>
      </c>
    </row>
    <row r="228" spans="1:6" ht="29.55" customHeight="1" x14ac:dyDescent="0.25">
      <c r="A228" s="1" t="s">
        <v>670</v>
      </c>
      <c r="B228" s="6" t="s">
        <v>671</v>
      </c>
      <c r="C228" s="6" t="s">
        <v>620</v>
      </c>
      <c r="D228" s="6" t="s">
        <v>665</v>
      </c>
      <c r="E228" s="6" t="s">
        <v>631</v>
      </c>
      <c r="F228" s="6" t="str">
        <f>HYPERLINK("http://www.sirio-srl.it/","http://www.sirio-srl.it")</f>
        <v>http://www.sirio-srl.it</v>
      </c>
    </row>
    <row r="229" spans="1:6" ht="16.95" customHeight="1" x14ac:dyDescent="0.25">
      <c r="A229" s="5" t="s">
        <v>672</v>
      </c>
      <c r="B229" s="4" t="s">
        <v>673</v>
      </c>
      <c r="C229" s="4" t="s">
        <v>620</v>
      </c>
      <c r="D229" s="4" t="s">
        <v>621</v>
      </c>
      <c r="E229" s="4" t="s">
        <v>622</v>
      </c>
      <c r="F229" s="4" t="str">
        <f>HYPERLINK("http://www.jera.eu/","www.jera.eu")</f>
        <v>www.jera.eu</v>
      </c>
    </row>
    <row r="230" spans="1:6" ht="16.95" customHeight="1" x14ac:dyDescent="0.25">
      <c r="A230" s="1" t="s">
        <v>674</v>
      </c>
      <c r="B230" s="6" t="s">
        <v>675</v>
      </c>
      <c r="C230" s="6" t="s">
        <v>620</v>
      </c>
      <c r="D230" s="6" t="s">
        <v>621</v>
      </c>
      <c r="E230" s="6" t="s">
        <v>622</v>
      </c>
      <c r="F230" s="6" t="str">
        <f>HYPERLINK("http://www.polettoleathers.com/","www.polettoleathers.com")</f>
        <v>www.polettoleathers.com</v>
      </c>
    </row>
    <row r="231" spans="1:6" ht="43.05" customHeight="1" x14ac:dyDescent="0.25">
      <c r="A231" s="5" t="s">
        <v>676</v>
      </c>
      <c r="B231" s="4" t="s">
        <v>677</v>
      </c>
      <c r="C231" s="4" t="s">
        <v>627</v>
      </c>
      <c r="D231" s="4" t="s">
        <v>678</v>
      </c>
      <c r="E231" s="4" t="s">
        <v>631</v>
      </c>
      <c r="F231" s="4" t="str">
        <f>HYPERLINK("http://www.lellikelly.it/","www.lellikelly.it")</f>
        <v>www.lellikelly.it</v>
      </c>
    </row>
    <row r="232" spans="1:6" ht="29.55" customHeight="1" x14ac:dyDescent="0.25">
      <c r="A232" s="1" t="s">
        <v>679</v>
      </c>
      <c r="B232" s="6" t="s">
        <v>680</v>
      </c>
      <c r="C232" s="6" t="s">
        <v>659</v>
      </c>
      <c r="D232" s="6" t="s">
        <v>621</v>
      </c>
      <c r="E232" s="6" t="s">
        <v>622</v>
      </c>
      <c r="F232" s="6" t="str">
        <f>HYPERLINK("http://www.selleriaequipe.it/","www.selleriaequipe.it")</f>
        <v>www.selleriaequipe.it</v>
      </c>
    </row>
    <row r="233" spans="1:6" ht="16.95" customHeight="1" x14ac:dyDescent="0.25">
      <c r="A233" s="5" t="s">
        <v>681</v>
      </c>
      <c r="B233" s="4" t="s">
        <v>682</v>
      </c>
      <c r="C233" s="4" t="s">
        <v>627</v>
      </c>
      <c r="D233" s="4" t="s">
        <v>645</v>
      </c>
      <c r="E233" s="4" t="s">
        <v>622</v>
      </c>
      <c r="F233" s="4" t="str">
        <f>HYPERLINK("http://www.cunial.it/","www.cunial.it")</f>
        <v>www.cunial.it</v>
      </c>
    </row>
    <row r="234" spans="1:6" ht="16.95" customHeight="1" x14ac:dyDescent="0.25">
      <c r="A234" s="1" t="s">
        <v>683</v>
      </c>
      <c r="B234" s="6" t="s">
        <v>684</v>
      </c>
      <c r="C234" s="6" t="s">
        <v>659</v>
      </c>
      <c r="D234" s="6" t="s">
        <v>665</v>
      </c>
      <c r="E234" s="6" t="s">
        <v>631</v>
      </c>
      <c r="F234" s="6" t="str">
        <f>HYPERLINK("http://abflorence.it/","abflorence.it")</f>
        <v>abflorence.it</v>
      </c>
    </row>
    <row r="235" spans="1:6" ht="16.95" customHeight="1" x14ac:dyDescent="0.25">
      <c r="A235" s="5" t="s">
        <v>685</v>
      </c>
      <c r="B235" s="4" t="s">
        <v>686</v>
      </c>
      <c r="C235" s="4" t="s">
        <v>620</v>
      </c>
      <c r="D235" s="4" t="s">
        <v>630</v>
      </c>
      <c r="E235" s="4" t="s">
        <v>631</v>
      </c>
      <c r="F235" s="4" t="str">
        <f>HYPERLINK("http://www.cuoificiobisonte.it/","www.cuoificiobisonte.it")</f>
        <v>www.cuoificiobisonte.it</v>
      </c>
    </row>
    <row r="236" spans="1:6" ht="16.95" customHeight="1" x14ac:dyDescent="0.25">
      <c r="A236" s="5" t="s">
        <v>687</v>
      </c>
      <c r="B236" s="4" t="s">
        <v>688</v>
      </c>
      <c r="C236" s="4" t="s">
        <v>627</v>
      </c>
      <c r="D236" s="4" t="s">
        <v>641</v>
      </c>
      <c r="E236" s="4" t="s">
        <v>642</v>
      </c>
      <c r="F236" s="4" t="str">
        <f>HYPERLINK("http://uniwork.it/","uniwork.it")</f>
        <v>uniwork.it</v>
      </c>
    </row>
    <row r="237" spans="1:6" ht="16.95" customHeight="1" x14ac:dyDescent="0.25">
      <c r="A237" s="1" t="s">
        <v>689</v>
      </c>
      <c r="B237" s="6" t="s">
        <v>690</v>
      </c>
      <c r="C237" s="6" t="s">
        <v>627</v>
      </c>
      <c r="D237" s="6" t="s">
        <v>645</v>
      </c>
      <c r="E237" s="6" t="s">
        <v>622</v>
      </c>
      <c r="F237" s="6" t="str">
        <f>HYPERLINK("http://www.meetitalia.it/","http://www.meetitalia.it")</f>
        <v>http://www.meetitalia.it</v>
      </c>
    </row>
    <row r="238" spans="1:6" ht="16.95" customHeight="1" x14ac:dyDescent="0.25">
      <c r="A238" s="1" t="s">
        <v>691</v>
      </c>
      <c r="B238" s="6" t="s">
        <v>692</v>
      </c>
      <c r="C238" s="6" t="s">
        <v>627</v>
      </c>
      <c r="D238" s="6" t="s">
        <v>678</v>
      </c>
      <c r="E238" s="6" t="s">
        <v>631</v>
      </c>
      <c r="F238" s="6" t="str">
        <f>HYPERLINK("http://www.clubshoessrl.com/","www.clubshoessrl.com")</f>
        <v>www.clubshoessrl.com</v>
      </c>
    </row>
    <row r="239" spans="1:6" ht="16.95" customHeight="1" x14ac:dyDescent="0.25">
      <c r="A239" s="5" t="s">
        <v>693</v>
      </c>
      <c r="B239" s="4" t="s">
        <v>694</v>
      </c>
      <c r="C239" s="4" t="s">
        <v>627</v>
      </c>
      <c r="D239" s="4" t="s">
        <v>668</v>
      </c>
      <c r="E239" s="4" t="s">
        <v>669</v>
      </c>
      <c r="F239" s="4" t="str">
        <f>HYPERLINK("http://it.loriblu.com/","it.loriblu.com")</f>
        <v>it.loriblu.com</v>
      </c>
    </row>
    <row r="240" spans="1:6" ht="16.95" customHeight="1" x14ac:dyDescent="0.25">
      <c r="A240" s="1" t="s">
        <v>695</v>
      </c>
      <c r="B240" s="6" t="s">
        <v>696</v>
      </c>
      <c r="C240" s="6" t="s">
        <v>697</v>
      </c>
      <c r="D240" s="6" t="s">
        <v>698</v>
      </c>
      <c r="E240" s="6" t="s">
        <v>699</v>
      </c>
      <c r="F240" s="6" t="str">
        <f>HYPERLINK("http://pos.eurasia.is.it/","pos.eurasia.is.it")</f>
        <v>pos.eurasia.is.it</v>
      </c>
    </row>
    <row r="241" spans="1:6" ht="16.95" customHeight="1" x14ac:dyDescent="0.25">
      <c r="A241" s="5" t="s">
        <v>700</v>
      </c>
      <c r="B241" s="4" t="s">
        <v>701</v>
      </c>
      <c r="C241" s="4" t="s">
        <v>697</v>
      </c>
      <c r="D241" s="4" t="s">
        <v>702</v>
      </c>
      <c r="E241" s="4" t="s">
        <v>699</v>
      </c>
      <c r="F241" s="4" t="str">
        <f>HYPERLINK("http://www.giasco.com/","www.giasco.com")</f>
        <v>www.giasco.com</v>
      </c>
    </row>
    <row r="242" spans="1:6" ht="29.55" customHeight="1" x14ac:dyDescent="0.25">
      <c r="A242" s="1" t="s">
        <v>703</v>
      </c>
      <c r="B242" s="6" t="s">
        <v>704</v>
      </c>
      <c r="C242" s="6" t="s">
        <v>697</v>
      </c>
      <c r="D242" s="6" t="s">
        <v>705</v>
      </c>
      <c r="E242" s="6" t="s">
        <v>706</v>
      </c>
      <c r="F242" s="6" t="str">
        <f>HYPERLINK("http://www.deicolli.it/","www.deicolli.it")</f>
        <v>www.deicolli.it</v>
      </c>
    </row>
    <row r="243" spans="1:6" ht="16.95" customHeight="1" x14ac:dyDescent="0.25">
      <c r="A243" s="5" t="s">
        <v>707</v>
      </c>
      <c r="B243" s="4" t="s">
        <v>708</v>
      </c>
      <c r="C243" s="4" t="s">
        <v>709</v>
      </c>
      <c r="D243" s="4" t="s">
        <v>710</v>
      </c>
      <c r="E243" s="4" t="s">
        <v>711</v>
      </c>
      <c r="F243" s="4" t="str">
        <f>HYPERLINK("http://www.pellican.it/","www.pellican.it")</f>
        <v>www.pellican.it</v>
      </c>
    </row>
    <row r="244" spans="1:6" ht="16.95" customHeight="1" x14ac:dyDescent="0.25">
      <c r="A244" s="1" t="s">
        <v>712</v>
      </c>
      <c r="B244" s="6" t="s">
        <v>713</v>
      </c>
      <c r="C244" s="6" t="s">
        <v>709</v>
      </c>
      <c r="D244" s="6" t="s">
        <v>702</v>
      </c>
      <c r="E244" s="6" t="s">
        <v>699</v>
      </c>
      <c r="F244" s="6" t="str">
        <f>HYPERLINK("http://www.conceriatris.it/","www.conceriatris.it")</f>
        <v>www.conceriatris.it</v>
      </c>
    </row>
    <row r="245" spans="1:6" ht="16.95" customHeight="1" x14ac:dyDescent="0.25">
      <c r="A245" s="1" t="s">
        <v>714</v>
      </c>
      <c r="B245" s="6" t="s">
        <v>715</v>
      </c>
      <c r="C245" s="6" t="s">
        <v>716</v>
      </c>
      <c r="D245" s="6" t="s">
        <v>717</v>
      </c>
      <c r="E245" s="6" t="s">
        <v>699</v>
      </c>
      <c r="F245" s="6" t="str">
        <f>HYPERLINK("http://www.negroweb.it/","www.negroweb.it")</f>
        <v>www.negroweb.it</v>
      </c>
    </row>
    <row r="246" spans="1:6" ht="16.95" customHeight="1" x14ac:dyDescent="0.25">
      <c r="A246" s="5" t="s">
        <v>718</v>
      </c>
      <c r="B246" s="4" t="s">
        <v>719</v>
      </c>
      <c r="C246" s="4" t="s">
        <v>709</v>
      </c>
      <c r="D246" s="4" t="s">
        <v>720</v>
      </c>
      <c r="E246" s="4" t="s">
        <v>711</v>
      </c>
      <c r="F246" s="4" t="str">
        <f>HYPERLINK("http://www.primorpelli.it/","http://www.primorpelli.it")</f>
        <v>http://www.primorpelli.it</v>
      </c>
    </row>
    <row r="247" spans="1:6" ht="16.95" customHeight="1" x14ac:dyDescent="0.25">
      <c r="A247" s="1" t="s">
        <v>721</v>
      </c>
      <c r="B247" s="6" t="s">
        <v>722</v>
      </c>
      <c r="C247" s="6" t="s">
        <v>697</v>
      </c>
      <c r="D247" s="6" t="s">
        <v>723</v>
      </c>
      <c r="E247" s="6" t="s">
        <v>724</v>
      </c>
      <c r="F247" s="6" t="str">
        <f>HYPERLINK("http://www.lesilla.com/","www.lesilla.com")</f>
        <v>www.lesilla.com</v>
      </c>
    </row>
    <row r="248" spans="1:6" ht="29.55" customHeight="1" x14ac:dyDescent="0.25">
      <c r="A248" s="5" t="s">
        <v>725</v>
      </c>
      <c r="B248" s="4" t="s">
        <v>726</v>
      </c>
      <c r="C248" s="4" t="s">
        <v>697</v>
      </c>
      <c r="D248" s="4" t="s">
        <v>710</v>
      </c>
      <c r="E248" s="4" t="s">
        <v>711</v>
      </c>
      <c r="F248" s="4" t="str">
        <f>HYPERLINK("http://www.boemos.it/","www.boemos.it")</f>
        <v>www.boemos.it</v>
      </c>
    </row>
    <row r="249" spans="1:6" ht="16.95" customHeight="1" x14ac:dyDescent="0.25">
      <c r="A249" s="1" t="s">
        <v>727</v>
      </c>
      <c r="B249" s="6" t="s">
        <v>728</v>
      </c>
      <c r="C249" s="6" t="s">
        <v>709</v>
      </c>
      <c r="D249" s="6" t="s">
        <v>729</v>
      </c>
      <c r="E249" s="6" t="s">
        <v>730</v>
      </c>
      <c r="F249" s="6" t="str">
        <f>HYPERLINK("http://www.natuzzi.com/","www.natuzzi.com")</f>
        <v>www.natuzzi.com</v>
      </c>
    </row>
    <row r="250" spans="1:6" ht="29.55" customHeight="1" x14ac:dyDescent="0.25">
      <c r="A250" s="5" t="s">
        <v>731</v>
      </c>
      <c r="B250" s="4" t="s">
        <v>732</v>
      </c>
      <c r="C250" s="4" t="s">
        <v>709</v>
      </c>
      <c r="D250" s="4" t="s">
        <v>733</v>
      </c>
      <c r="E250" s="4" t="s">
        <v>734</v>
      </c>
      <c r="F250" s="4" t="str">
        <f>HYPERLINK("http://www.deanspa.it/","www.deanspa.it/")</f>
        <v>www.deanspa.it/</v>
      </c>
    </row>
    <row r="251" spans="1:6" ht="16.95" customHeight="1" x14ac:dyDescent="0.25">
      <c r="A251" s="1" t="s">
        <v>735</v>
      </c>
      <c r="B251" s="6" t="s">
        <v>736</v>
      </c>
      <c r="C251" s="6" t="s">
        <v>737</v>
      </c>
      <c r="D251" s="6" t="s">
        <v>738</v>
      </c>
      <c r="E251" s="6" t="s">
        <v>739</v>
      </c>
      <c r="F251" s="6" t="str">
        <f>HYPERLINK("http://www.levaspa.com/","www.levaspa.com")</f>
        <v>www.levaspa.com</v>
      </c>
    </row>
    <row r="252" spans="1:6" ht="16.95" customHeight="1" x14ac:dyDescent="0.25">
      <c r="A252" s="5" t="s">
        <v>740</v>
      </c>
      <c r="B252" s="4" t="s">
        <v>741</v>
      </c>
      <c r="C252" s="4" t="s">
        <v>709</v>
      </c>
      <c r="D252" s="4" t="s">
        <v>720</v>
      </c>
      <c r="E252" s="4" t="s">
        <v>711</v>
      </c>
      <c r="F252" s="4" t="str">
        <f>HYPERLINK("http://www.volpiconcerie.it/","www.volpiconcerie.it")</f>
        <v>www.volpiconcerie.it</v>
      </c>
    </row>
    <row r="253" spans="1:6" ht="16.95" customHeight="1" x14ac:dyDescent="0.25">
      <c r="A253" s="1" t="s">
        <v>742</v>
      </c>
      <c r="B253" s="6" t="s">
        <v>743</v>
      </c>
      <c r="C253" s="6" t="s">
        <v>709</v>
      </c>
      <c r="D253" s="6" t="s">
        <v>720</v>
      </c>
      <c r="E253" s="6" t="s">
        <v>711</v>
      </c>
      <c r="F253" s="6" t="str">
        <f>HYPERLINK("http://www.ecopell.it/","www.ecopell.it")</f>
        <v>www.ecopell.it</v>
      </c>
    </row>
    <row r="254" spans="1:6" ht="16.95" customHeight="1" x14ac:dyDescent="0.25">
      <c r="A254" s="5" t="s">
        <v>744</v>
      </c>
      <c r="B254" s="4" t="s">
        <v>745</v>
      </c>
      <c r="C254" s="4" t="s">
        <v>737</v>
      </c>
      <c r="D254" s="4" t="s">
        <v>746</v>
      </c>
      <c r="E254" s="4" t="s">
        <v>734</v>
      </c>
      <c r="F254" s="4" t="str">
        <f>HYPERLINK("http://www.lsmsrl.com/","http://www.lsmsrl.com")</f>
        <v>http://www.lsmsrl.com</v>
      </c>
    </row>
    <row r="255" spans="1:6" ht="16.95" customHeight="1" x14ac:dyDescent="0.25">
      <c r="A255" s="1" t="s">
        <v>747</v>
      </c>
      <c r="B255" s="6" t="s">
        <v>748</v>
      </c>
      <c r="C255" s="6" t="s">
        <v>709</v>
      </c>
      <c r="D255" s="6" t="s">
        <v>702</v>
      </c>
      <c r="E255" s="6" t="s">
        <v>699</v>
      </c>
      <c r="F255" s="6" t="str">
        <f>HYPERLINK("http://www.prealpinatannery.com/","www.prealpinatannery.com")</f>
        <v>www.prealpinatannery.com</v>
      </c>
    </row>
    <row r="256" spans="1:6" ht="16.95" customHeight="1" x14ac:dyDescent="0.25">
      <c r="A256" s="5" t="s">
        <v>749</v>
      </c>
      <c r="B256" s="4" t="s">
        <v>750</v>
      </c>
      <c r="C256" s="4" t="s">
        <v>697</v>
      </c>
      <c r="D256" s="4" t="s">
        <v>751</v>
      </c>
      <c r="E256" s="4" t="s">
        <v>724</v>
      </c>
      <c r="F256" s="4" t="str">
        <f>HYPERLINK("http://www.galiziotorresi.it/","www.galiziotorresi.it")</f>
        <v>www.galiziotorresi.it</v>
      </c>
    </row>
    <row r="257" spans="1:6" ht="16.95" customHeight="1" x14ac:dyDescent="0.25">
      <c r="A257" s="5" t="s">
        <v>752</v>
      </c>
      <c r="B257" s="4" t="s">
        <v>753</v>
      </c>
      <c r="C257" s="4" t="s">
        <v>697</v>
      </c>
      <c r="D257" s="4" t="s">
        <v>751</v>
      </c>
      <c r="E257" s="4" t="s">
        <v>724</v>
      </c>
      <c r="F257" s="4" t="str">
        <f>HYPERLINK("http://www.bamboletta.it/","www.bamboletta.it")</f>
        <v>www.bamboletta.it</v>
      </c>
    </row>
    <row r="258" spans="1:6" ht="16.95" customHeight="1" x14ac:dyDescent="0.25">
      <c r="A258" s="1" t="s">
        <v>754</v>
      </c>
      <c r="B258" s="6" t="s">
        <v>755</v>
      </c>
      <c r="C258" s="6" t="s">
        <v>737</v>
      </c>
      <c r="D258" s="6" t="s">
        <v>710</v>
      </c>
      <c r="E258" s="6" t="s">
        <v>711</v>
      </c>
      <c r="F258" s="6" t="str">
        <f>HYPERLINK("http://www.zetati.it/","www.zetati.it")</f>
        <v>www.zetati.it</v>
      </c>
    </row>
    <row r="259" spans="1:6" ht="29.55" customHeight="1" x14ac:dyDescent="0.25">
      <c r="A259" s="5" t="s">
        <v>756</v>
      </c>
      <c r="B259" s="4" t="s">
        <v>757</v>
      </c>
      <c r="C259" s="4" t="s">
        <v>697</v>
      </c>
      <c r="D259" s="4" t="s">
        <v>758</v>
      </c>
      <c r="E259" s="4" t="s">
        <v>730</v>
      </c>
      <c r="F259" s="4" t="str">
        <f>HYPERLINK("http://www.maimai.it/","www.maimai.it")</f>
        <v>www.maimai.it</v>
      </c>
    </row>
    <row r="260" spans="1:6" ht="16.95" customHeight="1" x14ac:dyDescent="0.25">
      <c r="A260" s="1" t="s">
        <v>759</v>
      </c>
      <c r="B260" s="6" t="s">
        <v>760</v>
      </c>
      <c r="C260" s="6" t="s">
        <v>709</v>
      </c>
      <c r="D260" s="6" t="s">
        <v>702</v>
      </c>
      <c r="E260" s="6" t="s">
        <v>699</v>
      </c>
      <c r="F260" s="6" t="str">
        <f>HYPERLINK("http://conceriatrust.it/","conceriatrust.it")</f>
        <v>conceriatrust.it</v>
      </c>
    </row>
    <row r="261" spans="1:6" ht="16.95" customHeight="1" x14ac:dyDescent="0.25">
      <c r="A261" s="5" t="s">
        <v>761</v>
      </c>
      <c r="B261" s="4" t="s">
        <v>762</v>
      </c>
      <c r="C261" s="4" t="s">
        <v>697</v>
      </c>
      <c r="D261" s="4" t="s">
        <v>698</v>
      </c>
      <c r="E261" s="4" t="s">
        <v>699</v>
      </c>
      <c r="F261" s="4" t="str">
        <f>HYPERLINK("http://www.salmasovenezia.it/","www.salmasovenezia.it")</f>
        <v>www.salmasovenezia.it</v>
      </c>
    </row>
    <row r="262" spans="1:6" ht="16.95" customHeight="1" x14ac:dyDescent="0.25">
      <c r="A262" s="1" t="s">
        <v>763</v>
      </c>
      <c r="B262" s="6" t="s">
        <v>764</v>
      </c>
      <c r="C262" s="6" t="s">
        <v>765</v>
      </c>
      <c r="D262" s="6" t="s">
        <v>766</v>
      </c>
      <c r="E262" s="6" t="s">
        <v>706</v>
      </c>
      <c r="F262" s="6" t="str">
        <f>HYPERLINK("http://www.geminitalia.it/","www.geminitalia.it")</f>
        <v>www.geminitalia.it</v>
      </c>
    </row>
    <row r="263" spans="1:6" ht="16.95" customHeight="1" x14ac:dyDescent="0.25">
      <c r="A263" s="5" t="s">
        <v>767</v>
      </c>
      <c r="B263" s="4" t="s">
        <v>768</v>
      </c>
      <c r="C263" s="4" t="s">
        <v>697</v>
      </c>
      <c r="D263" s="4" t="s">
        <v>717</v>
      </c>
      <c r="E263" s="4" t="s">
        <v>699</v>
      </c>
      <c r="F263" s="4" t="str">
        <f>HYPERLINK("http://www.tiessespa.it/","http://www.tiessespa.it")</f>
        <v>http://www.tiessespa.it</v>
      </c>
    </row>
    <row r="264" spans="1:6" ht="16.95" customHeight="1" x14ac:dyDescent="0.25">
      <c r="A264" s="1" t="s">
        <v>769</v>
      </c>
      <c r="B264" s="6" t="s">
        <v>770</v>
      </c>
      <c r="C264" s="6" t="s">
        <v>709</v>
      </c>
      <c r="D264" s="6" t="s">
        <v>702</v>
      </c>
      <c r="E264" s="6" t="s">
        <v>699</v>
      </c>
      <c r="F264" s="6" t="str">
        <f>HYPERLINK("http://www.leonica.com/","www.leonica.com")</f>
        <v>www.leonica.com</v>
      </c>
    </row>
    <row r="265" spans="1:6" ht="16.95" customHeight="1" x14ac:dyDescent="0.25">
      <c r="A265" s="5" t="s">
        <v>771</v>
      </c>
      <c r="B265" s="4" t="s">
        <v>772</v>
      </c>
      <c r="C265" s="4" t="s">
        <v>697</v>
      </c>
      <c r="D265" s="4" t="s">
        <v>710</v>
      </c>
      <c r="E265" s="4" t="s">
        <v>711</v>
      </c>
      <c r="F265" s="4" t="str">
        <f>HYPERLINK("http://www.calzaturificiomustang.it/","www.calzaturificiomustang.it")</f>
        <v>www.calzaturificiomustang.it</v>
      </c>
    </row>
    <row r="266" spans="1:6" ht="16.95" customHeight="1" x14ac:dyDescent="0.25">
      <c r="A266" s="1" t="s">
        <v>773</v>
      </c>
      <c r="B266" s="6" t="s">
        <v>774</v>
      </c>
      <c r="C266" s="6" t="s">
        <v>697</v>
      </c>
      <c r="D266" s="6" t="s">
        <v>723</v>
      </c>
      <c r="E266" s="6" t="s">
        <v>724</v>
      </c>
      <c r="F266" s="6" t="str">
        <f>HYPERLINK("http://www.giano.eu/","www.giano.eu")</f>
        <v>www.giano.eu</v>
      </c>
    </row>
    <row r="267" spans="1:6" ht="29.55" customHeight="1" x14ac:dyDescent="0.25">
      <c r="A267" s="5" t="s">
        <v>775</v>
      </c>
      <c r="B267" s="4" t="s">
        <v>776</v>
      </c>
      <c r="C267" s="4" t="s">
        <v>737</v>
      </c>
      <c r="D267" s="4" t="s">
        <v>710</v>
      </c>
      <c r="E267" s="4" t="s">
        <v>711</v>
      </c>
      <c r="F267" s="4" t="str">
        <f>HYPERLINK("http://www.bianchienardi.it/","www.bianchienardi.it")</f>
        <v>www.bianchienardi.it</v>
      </c>
    </row>
    <row r="268" spans="1:6" ht="16.95" customHeight="1" x14ac:dyDescent="0.25">
      <c r="A268" s="1" t="s">
        <v>777</v>
      </c>
      <c r="B268" s="6" t="s">
        <v>778</v>
      </c>
      <c r="C268" s="6" t="s">
        <v>779</v>
      </c>
      <c r="D268" s="6" t="s">
        <v>780</v>
      </c>
      <c r="E268" s="6" t="s">
        <v>781</v>
      </c>
      <c r="F268" s="6" t="str">
        <f>HYPERLINK("http://www.conceriaitalia.com/","www.conceriaitalia.com")</f>
        <v>www.conceriaitalia.com</v>
      </c>
    </row>
    <row r="269" spans="1:6" ht="16.95" customHeight="1" x14ac:dyDescent="0.25">
      <c r="A269" s="5" t="s">
        <v>782</v>
      </c>
      <c r="B269" s="4" t="s">
        <v>783</v>
      </c>
      <c r="C269" s="4" t="s">
        <v>784</v>
      </c>
      <c r="D269" s="4" t="s">
        <v>785</v>
      </c>
      <c r="E269" s="4" t="s">
        <v>786</v>
      </c>
      <c r="F269" s="4" t="str">
        <f>HYPERLINK("http://www.suolificiomagonio.it/","www.suolificiomagonio.it")</f>
        <v>www.suolificiomagonio.it</v>
      </c>
    </row>
    <row r="270" spans="1:6" ht="16.95" customHeight="1" x14ac:dyDescent="0.25">
      <c r="A270" s="5" t="s">
        <v>790</v>
      </c>
      <c r="B270" s="4" t="s">
        <v>791</v>
      </c>
      <c r="C270" s="4" t="s">
        <v>779</v>
      </c>
      <c r="D270" s="4" t="s">
        <v>792</v>
      </c>
      <c r="E270" s="4" t="s">
        <v>793</v>
      </c>
      <c r="F270" s="4" t="str">
        <f>HYPERLINK("http://chiorinotechnology.com/","chiorinotechnology.com")</f>
        <v>chiorinotechnology.com</v>
      </c>
    </row>
    <row r="271" spans="1:6" ht="16.95" customHeight="1" x14ac:dyDescent="0.25">
      <c r="A271" s="1" t="s">
        <v>794</v>
      </c>
      <c r="B271" s="6" t="s">
        <v>795</v>
      </c>
      <c r="C271" s="6" t="s">
        <v>779</v>
      </c>
      <c r="D271" s="6" t="s">
        <v>796</v>
      </c>
      <c r="E271" s="6" t="s">
        <v>797</v>
      </c>
      <c r="F271" s="6" t="str">
        <f>HYPERLINK("http://www.conceriaferrero.com/","http://www.conceriaferrero.com")</f>
        <v>http://www.conceriaferrero.com</v>
      </c>
    </row>
    <row r="272" spans="1:6" ht="16.95" customHeight="1" x14ac:dyDescent="0.25">
      <c r="A272" s="5" t="s">
        <v>798</v>
      </c>
      <c r="B272" s="4" t="s">
        <v>799</v>
      </c>
      <c r="C272" s="4" t="s">
        <v>787</v>
      </c>
      <c r="D272" s="4" t="s">
        <v>800</v>
      </c>
      <c r="E272" s="4" t="s">
        <v>781</v>
      </c>
      <c r="F272" s="4" t="str">
        <f>HYPERLINK("http://www.aksolut.com/","www.aksolut.com")</f>
        <v>www.aksolut.com</v>
      </c>
    </row>
    <row r="273" spans="1:6" ht="16.95" customHeight="1" x14ac:dyDescent="0.25">
      <c r="A273" s="5" t="s">
        <v>802</v>
      </c>
      <c r="B273" s="4" t="s">
        <v>803</v>
      </c>
      <c r="C273" s="4" t="s">
        <v>787</v>
      </c>
      <c r="D273" s="4" t="s">
        <v>804</v>
      </c>
      <c r="E273" s="4" t="s">
        <v>789</v>
      </c>
      <c r="F273" s="4" t="str">
        <f>HYPERLINK("http://www.cappelletti.it/","www.cappelletti.it")</f>
        <v>www.cappelletti.it</v>
      </c>
    </row>
    <row r="274" spans="1:6" ht="16.95" customHeight="1" x14ac:dyDescent="0.25">
      <c r="A274" s="1" t="s">
        <v>805</v>
      </c>
      <c r="B274" s="6" t="s">
        <v>806</v>
      </c>
      <c r="C274" s="6" t="s">
        <v>787</v>
      </c>
      <c r="D274" s="6" t="s">
        <v>804</v>
      </c>
      <c r="E274" s="6" t="s">
        <v>789</v>
      </c>
      <c r="F274" s="6" t="str">
        <f>HYPERLINK("http://www.romit.it/","www.romit.it")</f>
        <v>www.romit.it</v>
      </c>
    </row>
    <row r="275" spans="1:6" ht="29.55" customHeight="1" x14ac:dyDescent="0.25">
      <c r="A275" s="5" t="s">
        <v>807</v>
      </c>
      <c r="B275" s="4" t="s">
        <v>808</v>
      </c>
      <c r="C275" s="4" t="s">
        <v>787</v>
      </c>
      <c r="D275" s="4" t="s">
        <v>788</v>
      </c>
      <c r="E275" s="4" t="s">
        <v>789</v>
      </c>
      <c r="F275" s="4" t="str">
        <f>HYPERLINK("http://rodo.it/","rodo.it")</f>
        <v>rodo.it</v>
      </c>
    </row>
    <row r="276" spans="1:6" ht="16.95" customHeight="1" x14ac:dyDescent="0.25">
      <c r="A276" s="1" t="s">
        <v>809</v>
      </c>
      <c r="B276" s="6" t="s">
        <v>810</v>
      </c>
      <c r="C276" s="6" t="s">
        <v>779</v>
      </c>
      <c r="D276" s="6" t="s">
        <v>780</v>
      </c>
      <c r="E276" s="6" t="s">
        <v>781</v>
      </c>
      <c r="F276" s="6" t="str">
        <f>HYPERLINK("http://www.concerialaba.it/","http://www.concerialaba.it")</f>
        <v>http://www.concerialaba.it</v>
      </c>
    </row>
    <row r="277" spans="1:6" ht="16.95" customHeight="1" x14ac:dyDescent="0.25">
      <c r="A277" s="5" t="s">
        <v>811</v>
      </c>
      <c r="B277" s="4" t="s">
        <v>812</v>
      </c>
      <c r="C277" s="4" t="s">
        <v>779</v>
      </c>
      <c r="D277" s="4" t="s">
        <v>800</v>
      </c>
      <c r="E277" s="4" t="s">
        <v>781</v>
      </c>
      <c r="F277" s="4" t="str">
        <f>HYPERLINK("http://labiesseuno.com/","labiesseuno.com")</f>
        <v>labiesseuno.com</v>
      </c>
    </row>
    <row r="278" spans="1:6" ht="16.95" customHeight="1" x14ac:dyDescent="0.25">
      <c r="A278" s="1" t="s">
        <v>813</v>
      </c>
      <c r="B278" s="6" t="s">
        <v>814</v>
      </c>
      <c r="C278" s="6" t="s">
        <v>815</v>
      </c>
      <c r="D278" s="6" t="s">
        <v>816</v>
      </c>
      <c r="E278" s="6" t="s">
        <v>817</v>
      </c>
      <c r="F278" s="6" t="str">
        <f>HYPERLINK("http://www.artigianafarnese.it/","www.artigianafarnese.it")</f>
        <v>www.artigianafarnese.it</v>
      </c>
    </row>
    <row r="279" spans="1:6" ht="16.95" customHeight="1" x14ac:dyDescent="0.25">
      <c r="A279" s="5" t="s">
        <v>818</v>
      </c>
      <c r="B279" s="4" t="s">
        <v>819</v>
      </c>
      <c r="C279" s="4" t="s">
        <v>787</v>
      </c>
      <c r="D279" s="4" t="s">
        <v>801</v>
      </c>
      <c r="E279" s="4" t="s">
        <v>781</v>
      </c>
      <c r="F279" s="4" t="str">
        <f>HYPERLINK("http://www.jollyscarpe.com/","www.jollyscarpe.com")</f>
        <v>www.jollyscarpe.com</v>
      </c>
    </row>
    <row r="280" spans="1:6" ht="16.95" customHeight="1" x14ac:dyDescent="0.25">
      <c r="A280" s="1" t="s">
        <v>820</v>
      </c>
      <c r="B280" s="6" t="s">
        <v>821</v>
      </c>
      <c r="C280" s="6" t="s">
        <v>787</v>
      </c>
      <c r="D280" s="6" t="s">
        <v>822</v>
      </c>
      <c r="E280" s="6" t="s">
        <v>786</v>
      </c>
      <c r="F280" s="6" t="str">
        <f>HYPERLINK("http://www.marcoshoes.it/","www.marcoshoes.it")</f>
        <v>www.marcoshoes.it</v>
      </c>
    </row>
    <row r="281" spans="1:6" ht="16.95" customHeight="1" x14ac:dyDescent="0.25">
      <c r="A281" s="5" t="s">
        <v>823</v>
      </c>
      <c r="B281" s="4" t="s">
        <v>824</v>
      </c>
      <c r="C281" s="4" t="s">
        <v>779</v>
      </c>
      <c r="D281" s="4" t="s">
        <v>822</v>
      </c>
      <c r="E281" s="4" t="s">
        <v>786</v>
      </c>
      <c r="F281" s="4" t="str">
        <f>HYPERLINK("http://www.mauriziocasini.it/","www.mauriziocasini.it")</f>
        <v>www.mauriziocasini.it</v>
      </c>
    </row>
    <row r="282" spans="1:6" ht="16.95" customHeight="1" x14ac:dyDescent="0.25">
      <c r="A282" s="1" t="s">
        <v>825</v>
      </c>
      <c r="B282" s="6" t="s">
        <v>826</v>
      </c>
      <c r="C282" s="6" t="s">
        <v>779</v>
      </c>
      <c r="D282" s="6" t="s">
        <v>822</v>
      </c>
      <c r="E282" s="6" t="s">
        <v>786</v>
      </c>
      <c r="F282" s="6" t="str">
        <f>HYPERLINK("http://www.conceriam2.com/","www.conceriam2.com")</f>
        <v>www.conceriam2.com</v>
      </c>
    </row>
    <row r="283" spans="1:6" ht="16.95" customHeight="1" x14ac:dyDescent="0.25">
      <c r="A283" s="5" t="s">
        <v>827</v>
      </c>
      <c r="B283" s="4" t="s">
        <v>828</v>
      </c>
      <c r="C283" s="4" t="s">
        <v>779</v>
      </c>
      <c r="D283" s="4" t="s">
        <v>800</v>
      </c>
      <c r="E283" s="4" t="s">
        <v>781</v>
      </c>
      <c r="F283" s="4" t="str">
        <f>HYPERLINK("http://cerviniaspa.it/","cerviniaspa.it")</f>
        <v>cerviniaspa.it</v>
      </c>
    </row>
    <row r="284" spans="1:6" ht="16.95" customHeight="1" x14ac:dyDescent="0.25">
      <c r="A284" s="1" t="s">
        <v>829</v>
      </c>
      <c r="B284" s="6" t="s">
        <v>830</v>
      </c>
      <c r="C284" s="6" t="s">
        <v>787</v>
      </c>
      <c r="D284" s="6" t="s">
        <v>831</v>
      </c>
      <c r="E284" s="6" t="s">
        <v>786</v>
      </c>
      <c r="F284" s="6" t="str">
        <f>HYPERLINK("http://www.sergionatalini.it/","www.sergionatalini.it")</f>
        <v>www.sergionatalini.it</v>
      </c>
    </row>
    <row r="285" spans="1:6" ht="16.95" customHeight="1" x14ac:dyDescent="0.25">
      <c r="A285" s="5" t="s">
        <v>832</v>
      </c>
      <c r="B285" s="4" t="s">
        <v>833</v>
      </c>
      <c r="C285" s="4" t="s">
        <v>779</v>
      </c>
      <c r="D285" s="4" t="s">
        <v>780</v>
      </c>
      <c r="E285" s="4" t="s">
        <v>781</v>
      </c>
      <c r="F285" s="4" t="str">
        <f>HYPERLINK("http://www.italpelli.com/","http://www.italpelli.com")</f>
        <v>http://www.italpelli.com</v>
      </c>
    </row>
    <row r="286" spans="1:6" ht="16.95" customHeight="1" x14ac:dyDescent="0.25">
      <c r="A286" s="1" t="s">
        <v>834</v>
      </c>
      <c r="B286" s="6" t="s">
        <v>835</v>
      </c>
      <c r="C286" s="6" t="s">
        <v>787</v>
      </c>
      <c r="D286" s="6" t="s">
        <v>801</v>
      </c>
      <c r="E286" s="6" t="s">
        <v>781</v>
      </c>
      <c r="F286" s="6" t="str">
        <f>HYPERLINK("http://edeaskates.com/","edeaskates.com")</f>
        <v>edeaskates.com</v>
      </c>
    </row>
    <row r="287" spans="1:6" ht="16.95" customHeight="1" x14ac:dyDescent="0.25">
      <c r="A287" s="5" t="s">
        <v>836</v>
      </c>
      <c r="B287" s="4" t="s">
        <v>837</v>
      </c>
      <c r="C287" s="4" t="s">
        <v>784</v>
      </c>
      <c r="D287" s="4" t="s">
        <v>838</v>
      </c>
      <c r="E287" s="4" t="s">
        <v>817</v>
      </c>
      <c r="F287" s="4" t="str">
        <f>HYPERLINK("http://www.italsform.it/","www.italsform.it")</f>
        <v>www.italsform.it</v>
      </c>
    </row>
    <row r="288" spans="1:6" ht="16.95" customHeight="1" x14ac:dyDescent="0.25">
      <c r="A288" s="5" t="s">
        <v>840</v>
      </c>
      <c r="B288" s="4" t="s">
        <v>841</v>
      </c>
      <c r="C288" s="4" t="s">
        <v>779</v>
      </c>
      <c r="D288" s="4" t="s">
        <v>822</v>
      </c>
      <c r="E288" s="4" t="s">
        <v>786</v>
      </c>
      <c r="F288" s="4" t="str">
        <f>HYPERLINK("http://www.eng.sifur.it/","www.eng.sifur.it")</f>
        <v>www.eng.sifur.it</v>
      </c>
    </row>
    <row r="289" spans="1:6" ht="16.95" customHeight="1" x14ac:dyDescent="0.25">
      <c r="A289" s="1" t="s">
        <v>842</v>
      </c>
      <c r="B289" s="6" t="s">
        <v>843</v>
      </c>
      <c r="C289" s="6" t="s">
        <v>779</v>
      </c>
      <c r="D289" s="6" t="s">
        <v>780</v>
      </c>
      <c r="E289" s="6" t="s">
        <v>781</v>
      </c>
      <c r="F289" s="6" t="str">
        <f>HYPERLINK("http://www.icaleather.it/","www.icaleather.it")</f>
        <v>www.icaleather.it</v>
      </c>
    </row>
    <row r="290" spans="1:6" ht="29.55" customHeight="1" x14ac:dyDescent="0.25">
      <c r="A290" s="5" t="s">
        <v>844</v>
      </c>
      <c r="B290" s="4" t="s">
        <v>845</v>
      </c>
      <c r="C290" s="4" t="s">
        <v>787</v>
      </c>
      <c r="D290" s="4" t="s">
        <v>846</v>
      </c>
      <c r="E290" s="4" t="s">
        <v>847</v>
      </c>
      <c r="F290" s="4" t="str">
        <f>HYPERLINK("http://www.vingishoes.com/","http://www.vingishoes.com")</f>
        <v>http://www.vingishoes.com</v>
      </c>
    </row>
    <row r="291" spans="1:6" ht="16.95" customHeight="1" x14ac:dyDescent="0.25">
      <c r="A291" s="1" t="s">
        <v>848</v>
      </c>
      <c r="B291" s="6" t="s">
        <v>849</v>
      </c>
      <c r="C291" s="6" t="s">
        <v>779</v>
      </c>
      <c r="D291" s="6" t="s">
        <v>822</v>
      </c>
      <c r="E291" s="6" t="s">
        <v>786</v>
      </c>
      <c r="F291" s="6" t="str">
        <f>HYPERLINK("http://www.montana.it/","www.montana.it")</f>
        <v>www.montana.it</v>
      </c>
    </row>
    <row r="292" spans="1:6" ht="29.55" customHeight="1" x14ac:dyDescent="0.25">
      <c r="A292" s="5" t="s">
        <v>850</v>
      </c>
      <c r="B292" s="4" t="s">
        <v>851</v>
      </c>
      <c r="C292" s="4" t="s">
        <v>787</v>
      </c>
      <c r="D292" s="4" t="s">
        <v>785</v>
      </c>
      <c r="E292" s="4" t="s">
        <v>786</v>
      </c>
      <c r="F292" s="4" t="str">
        <f>HYPERLINK("http://www.buttero.it/","http://www.buttero.it")</f>
        <v>http://www.buttero.it</v>
      </c>
    </row>
    <row r="293" spans="1:6" ht="16.95" customHeight="1" x14ac:dyDescent="0.25">
      <c r="A293" s="1" t="s">
        <v>852</v>
      </c>
      <c r="B293" s="6" t="s">
        <v>853</v>
      </c>
      <c r="C293" s="6" t="s">
        <v>839</v>
      </c>
      <c r="D293" s="6" t="s">
        <v>854</v>
      </c>
      <c r="E293" s="6" t="s">
        <v>855</v>
      </c>
      <c r="F293" s="6" t="str">
        <f>HYPERLINK("http://pec-srl.it/","pec-srl.it")</f>
        <v>pec-srl.it</v>
      </c>
    </row>
    <row r="294" spans="1:6" ht="29.55" customHeight="1" x14ac:dyDescent="0.25">
      <c r="A294" s="1" t="s">
        <v>856</v>
      </c>
      <c r="B294" s="6" t="s">
        <v>857</v>
      </c>
      <c r="C294" s="6" t="s">
        <v>787</v>
      </c>
      <c r="D294" s="6" t="s">
        <v>858</v>
      </c>
      <c r="E294" s="6" t="s">
        <v>789</v>
      </c>
      <c r="F294" s="6" t="str">
        <f>HYPERLINK("http://rbrsl.com/","rbrsl.com")</f>
        <v>rbrsl.com</v>
      </c>
    </row>
    <row r="295" spans="1:6" ht="43.05" customHeight="1" x14ac:dyDescent="0.25">
      <c r="A295" s="1" t="s">
        <v>859</v>
      </c>
      <c r="B295" s="6" t="s">
        <v>860</v>
      </c>
      <c r="C295" s="6" t="s">
        <v>861</v>
      </c>
      <c r="D295" s="6" t="s">
        <v>862</v>
      </c>
      <c r="E295" s="6" t="s">
        <v>863</v>
      </c>
      <c r="F295" s="6" t="str">
        <f>HYPERLINK("http://iceleatherspa.com/","iceleatherspa.com")</f>
        <v>iceleatherspa.com</v>
      </c>
    </row>
    <row r="296" spans="1:6" ht="16.95" customHeight="1" x14ac:dyDescent="0.25">
      <c r="A296" s="1" t="s">
        <v>865</v>
      </c>
      <c r="B296" s="6" t="s">
        <v>866</v>
      </c>
      <c r="C296" s="6" t="s">
        <v>867</v>
      </c>
      <c r="D296" s="6" t="s">
        <v>868</v>
      </c>
      <c r="E296" s="6" t="s">
        <v>869</v>
      </c>
      <c r="F296" s="6" t="str">
        <f>HYPERLINK("http://erreuno.com/","erreuno.com")</f>
        <v>erreuno.com</v>
      </c>
    </row>
    <row r="297" spans="1:6" ht="16.95" customHeight="1" x14ac:dyDescent="0.25">
      <c r="A297" s="1" t="s">
        <v>872</v>
      </c>
      <c r="B297" s="6" t="s">
        <v>873</v>
      </c>
      <c r="C297" s="6" t="s">
        <v>861</v>
      </c>
      <c r="D297" s="6" t="s">
        <v>862</v>
      </c>
      <c r="E297" s="6" t="s">
        <v>863</v>
      </c>
      <c r="F297" s="6" t="str">
        <f>HYPERLINK("http://www.conceriapalladio.it/","www.conceriapalladio.it")</f>
        <v>www.conceriapalladio.it</v>
      </c>
    </row>
    <row r="298" spans="1:6" ht="29.55" customHeight="1" x14ac:dyDescent="0.25">
      <c r="A298" s="5" t="s">
        <v>874</v>
      </c>
      <c r="B298" s="4" t="s">
        <v>875</v>
      </c>
      <c r="C298" s="4" t="s">
        <v>864</v>
      </c>
      <c r="D298" s="4" t="s">
        <v>868</v>
      </c>
      <c r="E298" s="4" t="s">
        <v>869</v>
      </c>
      <c r="F298" s="4" t="str">
        <f>HYPERLINK("http://www.hugoboss.com/","www.hugoboss.com")</f>
        <v>www.hugoboss.com</v>
      </c>
    </row>
    <row r="299" spans="1:6" ht="16.95" customHeight="1" x14ac:dyDescent="0.25">
      <c r="A299" s="1" t="s">
        <v>876</v>
      </c>
      <c r="B299" s="6" t="s">
        <v>877</v>
      </c>
      <c r="C299" s="6" t="s">
        <v>864</v>
      </c>
      <c r="D299" s="6" t="s">
        <v>878</v>
      </c>
      <c r="E299" s="6" t="s">
        <v>863</v>
      </c>
      <c r="F299" s="6" t="str">
        <f>HYPERLINK("http://www.olang.it/","www.olang.it")</f>
        <v>www.olang.it</v>
      </c>
    </row>
    <row r="300" spans="1:6" ht="16.95" customHeight="1" x14ac:dyDescent="0.25">
      <c r="A300" s="5" t="s">
        <v>879</v>
      </c>
      <c r="B300" s="4" t="s">
        <v>880</v>
      </c>
      <c r="C300" s="4" t="s">
        <v>881</v>
      </c>
      <c r="D300" s="4" t="s">
        <v>882</v>
      </c>
      <c r="E300" s="4" t="s">
        <v>871</v>
      </c>
      <c r="F300" s="4" t="str">
        <f>HYPERLINK("http://www.calzaturificiomadaf.it/","http://www.calzaturificiomadaf.it")</f>
        <v>http://www.calzaturificiomadaf.it</v>
      </c>
    </row>
    <row r="301" spans="1:6" ht="16.95" customHeight="1" x14ac:dyDescent="0.25">
      <c r="A301" s="5" t="s">
        <v>883</v>
      </c>
      <c r="B301" s="4" t="s">
        <v>884</v>
      </c>
      <c r="C301" s="4" t="s">
        <v>864</v>
      </c>
      <c r="D301" s="4" t="s">
        <v>885</v>
      </c>
      <c r="E301" s="4" t="s">
        <v>871</v>
      </c>
      <c r="F301" s="4" t="str">
        <f>HYPERLINK("http://www.neroh.it/","www.neroh.it")</f>
        <v>www.neroh.it</v>
      </c>
    </row>
    <row r="302" spans="1:6" ht="16.95" customHeight="1" x14ac:dyDescent="0.25">
      <c r="A302" s="1" t="s">
        <v>886</v>
      </c>
      <c r="B302" s="6" t="s">
        <v>887</v>
      </c>
      <c r="C302" s="6" t="s">
        <v>864</v>
      </c>
      <c r="D302" s="6" t="s">
        <v>888</v>
      </c>
      <c r="E302" s="6" t="s">
        <v>863</v>
      </c>
      <c r="F302" s="6" t="str">
        <f>HYPERLINK("http://www.mexas.it/","http://www.mexas.it")</f>
        <v>http://www.mexas.it</v>
      </c>
    </row>
    <row r="303" spans="1:6" ht="16.95" customHeight="1" x14ac:dyDescent="0.25">
      <c r="A303" s="5" t="s">
        <v>889</v>
      </c>
      <c r="B303" s="4" t="s">
        <v>890</v>
      </c>
      <c r="C303" s="4" t="s">
        <v>864</v>
      </c>
      <c r="D303" s="4" t="s">
        <v>891</v>
      </c>
      <c r="E303" s="4" t="s">
        <v>892</v>
      </c>
      <c r="F303" s="4" t="str">
        <f>HYPERLINK("http://www.mamir.it/","www.mamir.it")</f>
        <v>www.mamir.it</v>
      </c>
    </row>
    <row r="304" spans="1:6" ht="16.95" customHeight="1" x14ac:dyDescent="0.25">
      <c r="A304" s="1" t="s">
        <v>893</v>
      </c>
      <c r="B304" s="6" t="s">
        <v>894</v>
      </c>
      <c r="C304" s="6" t="s">
        <v>861</v>
      </c>
      <c r="D304" s="6" t="s">
        <v>885</v>
      </c>
      <c r="E304" s="6" t="s">
        <v>871</v>
      </c>
      <c r="F304" s="6" t="str">
        <f>HYPERLINK("http://www.artlabsrl.eu/","www.artlabsrl.eu")</f>
        <v>www.artlabsrl.eu</v>
      </c>
    </row>
    <row r="305" spans="1:6" ht="29.55" customHeight="1" x14ac:dyDescent="0.25">
      <c r="A305" s="5" t="s">
        <v>895</v>
      </c>
      <c r="B305" s="4" t="s">
        <v>896</v>
      </c>
      <c r="C305" s="4" t="s">
        <v>861</v>
      </c>
      <c r="D305" s="4" t="s">
        <v>862</v>
      </c>
      <c r="E305" s="4" t="s">
        <v>863</v>
      </c>
      <c r="F305" s="4" t="str">
        <f>HYPERLINK("http://www.snamsrl.it/","www.snamsrl.it")</f>
        <v>www.snamsrl.it</v>
      </c>
    </row>
    <row r="306" spans="1:6" ht="16.95" customHeight="1" x14ac:dyDescent="0.25">
      <c r="A306" s="1" t="s">
        <v>897</v>
      </c>
      <c r="B306" s="6" t="s">
        <v>898</v>
      </c>
      <c r="C306" s="6" t="s">
        <v>861</v>
      </c>
      <c r="D306" s="6" t="s">
        <v>862</v>
      </c>
      <c r="E306" s="6" t="s">
        <v>863</v>
      </c>
      <c r="F306" s="6" t="str">
        <f>HYPERLINK("http://www.conceriaerrepi.com/","www.conceriaerrepi.com")</f>
        <v>www.conceriaerrepi.com</v>
      </c>
    </row>
    <row r="307" spans="1:6" ht="29.55" customHeight="1" x14ac:dyDescent="0.25">
      <c r="A307" s="5" t="s">
        <v>899</v>
      </c>
      <c r="B307" s="4" t="s">
        <v>900</v>
      </c>
      <c r="C307" s="4" t="s">
        <v>861</v>
      </c>
      <c r="D307" s="4" t="s">
        <v>885</v>
      </c>
      <c r="E307" s="4" t="s">
        <v>871</v>
      </c>
      <c r="F307" s="4" t="str">
        <f>HYPERLINK("http://www.bonistallistefanelli.it/","www.bonistallistefanelli.it")</f>
        <v>www.bonistallistefanelli.it</v>
      </c>
    </row>
    <row r="308" spans="1:6" ht="16.95" customHeight="1" x14ac:dyDescent="0.25">
      <c r="A308" s="1" t="s">
        <v>901</v>
      </c>
      <c r="B308" s="6" t="s">
        <v>902</v>
      </c>
      <c r="C308" s="6" t="s">
        <v>864</v>
      </c>
      <c r="D308" s="6" t="s">
        <v>903</v>
      </c>
      <c r="E308" s="6" t="s">
        <v>904</v>
      </c>
      <c r="F308" s="6" t="str">
        <f>HYPERLINK("http://www.digierremoda.it/","www.digierremoda.it")</f>
        <v>www.digierremoda.it</v>
      </c>
    </row>
    <row r="309" spans="1:6" ht="29.55" customHeight="1" x14ac:dyDescent="0.25">
      <c r="A309" s="1" t="s">
        <v>905</v>
      </c>
      <c r="B309" s="6" t="s">
        <v>906</v>
      </c>
      <c r="C309" s="6" t="s">
        <v>881</v>
      </c>
      <c r="D309" s="6" t="s">
        <v>907</v>
      </c>
      <c r="E309" s="6" t="s">
        <v>863</v>
      </c>
      <c r="F309" s="6" t="str">
        <f>HYPERLINK("http://luparense.net/","luparense.net")</f>
        <v>luparense.net</v>
      </c>
    </row>
    <row r="310" spans="1:6" ht="16.95" customHeight="1" x14ac:dyDescent="0.25">
      <c r="A310" s="5" t="s">
        <v>908</v>
      </c>
      <c r="B310" s="4" t="s">
        <v>909</v>
      </c>
      <c r="C310" s="4" t="s">
        <v>867</v>
      </c>
      <c r="D310" s="4" t="s">
        <v>910</v>
      </c>
      <c r="E310" s="4" t="s">
        <v>871</v>
      </c>
      <c r="F310" s="4" t="str">
        <f>HYPERLINK("http://www.danesievolution.it/","www.danesievolution.it")</f>
        <v>www.danesievolution.it</v>
      </c>
    </row>
    <row r="311" spans="1:6" ht="16.95" customHeight="1" x14ac:dyDescent="0.25">
      <c r="A311" s="1" t="s">
        <v>911</v>
      </c>
      <c r="B311" s="6" t="s">
        <v>912</v>
      </c>
      <c r="C311" s="6" t="s">
        <v>861</v>
      </c>
      <c r="D311" s="6" t="s">
        <v>870</v>
      </c>
      <c r="E311" s="6" t="s">
        <v>871</v>
      </c>
      <c r="F311" s="6" t="str">
        <f>HYPERLINK("http://www.zabri.it/","www.zabri.it")</f>
        <v>www.zabri.it</v>
      </c>
    </row>
    <row r="312" spans="1:6" ht="29.55" customHeight="1" x14ac:dyDescent="0.25">
      <c r="A312" s="5" t="s">
        <v>913</v>
      </c>
      <c r="B312" s="4" t="s">
        <v>914</v>
      </c>
      <c r="C312" s="4" t="s">
        <v>867</v>
      </c>
      <c r="D312" s="4" t="s">
        <v>870</v>
      </c>
      <c r="E312" s="4" t="s">
        <v>871</v>
      </c>
      <c r="F312" s="4" t="str">
        <f>HYPERLINK("http://www.leatherluxury.it/it/dett/122/pelletteria-happening/","www.leatherluxury.it/it/dett/122/pelletteria-happening/")</f>
        <v>www.leatherluxury.it/it/dett/122/pelletteria-happening/</v>
      </c>
    </row>
    <row r="313" spans="1:6" ht="16.95" customHeight="1" x14ac:dyDescent="0.25">
      <c r="A313" s="1" t="s">
        <v>915</v>
      </c>
      <c r="B313" s="6" t="s">
        <v>916</v>
      </c>
      <c r="C313" s="6" t="s">
        <v>917</v>
      </c>
      <c r="D313" s="6" t="s">
        <v>868</v>
      </c>
      <c r="E313" s="6" t="s">
        <v>869</v>
      </c>
      <c r="F313" s="6" t="str">
        <f>HYPERLINK("http://www.elefantesuolificio.it/","http://www.elefantesuolificio.it")</f>
        <v>http://www.elefantesuolificio.it</v>
      </c>
    </row>
    <row r="314" spans="1:6" ht="16.95" customHeight="1" x14ac:dyDescent="0.25">
      <c r="A314" s="5" t="s">
        <v>918</v>
      </c>
      <c r="B314" s="4" t="s">
        <v>919</v>
      </c>
      <c r="C314" s="4" t="s">
        <v>864</v>
      </c>
      <c r="D314" s="4" t="s">
        <v>920</v>
      </c>
      <c r="E314" s="4" t="s">
        <v>892</v>
      </c>
      <c r="F314" s="4" t="str">
        <f>HYPERLINK("http://www.almini.com/","www.almini.com")</f>
        <v>www.almini.com</v>
      </c>
    </row>
    <row r="315" spans="1:6" ht="16.95" customHeight="1" x14ac:dyDescent="0.25">
      <c r="A315" s="1" t="s">
        <v>921</v>
      </c>
      <c r="B315" s="6" t="s">
        <v>922</v>
      </c>
      <c r="C315" s="6" t="s">
        <v>864</v>
      </c>
      <c r="D315" s="6" t="s">
        <v>923</v>
      </c>
      <c r="E315" s="6" t="s">
        <v>924</v>
      </c>
      <c r="F315" s="6" t="str">
        <f>HYPERLINK("http://www.pezzol.com/","www.pezzol.com")</f>
        <v>www.pezzol.com</v>
      </c>
    </row>
    <row r="316" spans="1:6" ht="29.55" customHeight="1" x14ac:dyDescent="0.25">
      <c r="A316" s="5" t="s">
        <v>925</v>
      </c>
      <c r="B316" s="4" t="s">
        <v>926</v>
      </c>
      <c r="C316" s="4" t="s">
        <v>864</v>
      </c>
      <c r="D316" s="4" t="s">
        <v>885</v>
      </c>
      <c r="E316" s="4" t="s">
        <v>871</v>
      </c>
      <c r="F316" s="4" t="str">
        <f>HYPERLINK("http://www.maruska.it/","www.maruska.it")</f>
        <v>www.maruska.it</v>
      </c>
    </row>
    <row r="317" spans="1:6" ht="16.95" customHeight="1" x14ac:dyDescent="0.25">
      <c r="A317" s="1" t="s">
        <v>927</v>
      </c>
      <c r="B317" s="6" t="s">
        <v>928</v>
      </c>
      <c r="C317" s="6" t="s">
        <v>864</v>
      </c>
      <c r="D317" s="6" t="s">
        <v>907</v>
      </c>
      <c r="E317" s="6" t="s">
        <v>863</v>
      </c>
      <c r="F317" s="6" t="str">
        <f>HYPERLINK("http://www.antoniobarbato.store/","www.antoniobarbato.store")</f>
        <v>www.antoniobarbato.store</v>
      </c>
    </row>
    <row r="318" spans="1:6" ht="16.95" customHeight="1" x14ac:dyDescent="0.25">
      <c r="A318" s="5" t="s">
        <v>929</v>
      </c>
      <c r="B318" s="4" t="s">
        <v>930</v>
      </c>
      <c r="C318" s="4" t="s">
        <v>864</v>
      </c>
      <c r="D318" s="4" t="s">
        <v>878</v>
      </c>
      <c r="E318" s="4" t="s">
        <v>863</v>
      </c>
      <c r="F318" s="4" t="str">
        <f>HYPERLINK("http://www.formaboots.com/","www.formaboots.com")</f>
        <v>www.formaboots.com</v>
      </c>
    </row>
    <row r="319" spans="1:6" ht="16.95" customHeight="1" x14ac:dyDescent="0.25">
      <c r="A319" s="5" t="s">
        <v>934</v>
      </c>
      <c r="B319" s="4" t="s">
        <v>935</v>
      </c>
      <c r="C319" s="4" t="s">
        <v>931</v>
      </c>
      <c r="D319" s="4" t="s">
        <v>936</v>
      </c>
      <c r="E319" s="4" t="s">
        <v>937</v>
      </c>
      <c r="F319" s="4" t="str">
        <f>HYPERLINK("http://marchettopellami.com/","marchettopellami.com")</f>
        <v>marchettopellami.com</v>
      </c>
    </row>
    <row r="320" spans="1:6" ht="16.95" customHeight="1" x14ac:dyDescent="0.25">
      <c r="A320" s="1" t="s">
        <v>938</v>
      </c>
      <c r="B320" s="6" t="s">
        <v>939</v>
      </c>
      <c r="C320" s="6" t="s">
        <v>931</v>
      </c>
      <c r="D320" s="6" t="s">
        <v>940</v>
      </c>
      <c r="E320" s="6" t="s">
        <v>941</v>
      </c>
      <c r="F320" s="6" t="str">
        <f>HYPERLINK("http://conceria800.it/","conceria800.it")</f>
        <v>conceria800.it</v>
      </c>
    </row>
    <row r="321" spans="1:6" ht="16.95" customHeight="1" x14ac:dyDescent="0.25">
      <c r="A321" s="1" t="s">
        <v>944</v>
      </c>
      <c r="B321" s="6" t="s">
        <v>945</v>
      </c>
      <c r="C321" s="6" t="s">
        <v>931</v>
      </c>
      <c r="D321" s="6" t="s">
        <v>940</v>
      </c>
      <c r="E321" s="6" t="s">
        <v>941</v>
      </c>
      <c r="F321" s="6" t="str">
        <f>HYPERLINK("http://gruppoconceriemasini.com/","gruppoconceriemasini.com")</f>
        <v>gruppoconceriemasini.com</v>
      </c>
    </row>
    <row r="322" spans="1:6" ht="16.95" customHeight="1" x14ac:dyDescent="0.25">
      <c r="A322" s="1" t="s">
        <v>946</v>
      </c>
      <c r="B322" s="6" t="s">
        <v>947</v>
      </c>
      <c r="C322" s="6" t="s">
        <v>948</v>
      </c>
      <c r="D322" s="6" t="s">
        <v>949</v>
      </c>
      <c r="E322" s="6" t="s">
        <v>950</v>
      </c>
      <c r="F322" s="6" t="str">
        <f>HYPERLINK("http://www.grazianomaggio.com/","www.grazianomaggio.com")</f>
        <v>www.grazianomaggio.com</v>
      </c>
    </row>
    <row r="323" spans="1:6" ht="16.95" customHeight="1" x14ac:dyDescent="0.25">
      <c r="A323" s="5" t="s">
        <v>951</v>
      </c>
      <c r="B323" s="4" t="s">
        <v>952</v>
      </c>
      <c r="C323" s="4" t="s">
        <v>942</v>
      </c>
      <c r="D323" s="4" t="s">
        <v>943</v>
      </c>
      <c r="E323" s="4" t="s">
        <v>941</v>
      </c>
      <c r="F323" s="4" t="str">
        <f>HYPERLINK("http://www.propel.it/","www.propel.it")</f>
        <v>www.propel.it</v>
      </c>
    </row>
    <row r="324" spans="1:6" ht="16.95" customHeight="1" x14ac:dyDescent="0.25">
      <c r="A324" s="1" t="s">
        <v>953</v>
      </c>
      <c r="B324" s="6" t="s">
        <v>954</v>
      </c>
      <c r="C324" s="6" t="s">
        <v>931</v>
      </c>
      <c r="D324" s="6" t="s">
        <v>955</v>
      </c>
      <c r="E324" s="6" t="s">
        <v>933</v>
      </c>
      <c r="F324" s="6" t="str">
        <f>HYPERLINK("http://www.dmdsolofra.it/","www.dmdsolofra.it")</f>
        <v>www.dmdsolofra.it</v>
      </c>
    </row>
    <row r="325" spans="1:6" ht="16.95" customHeight="1" x14ac:dyDescent="0.25">
      <c r="A325" s="1" t="s">
        <v>956</v>
      </c>
      <c r="B325" s="6" t="s">
        <v>957</v>
      </c>
      <c r="C325" s="6" t="s">
        <v>948</v>
      </c>
      <c r="D325" s="6" t="s">
        <v>958</v>
      </c>
      <c r="E325" s="6" t="s">
        <v>959</v>
      </c>
      <c r="F325" s="6" t="str">
        <f>HYPERLINK("http://www.ftg-safety.com/","www.ftg-safety.com")</f>
        <v>www.ftg-safety.com</v>
      </c>
    </row>
    <row r="326" spans="1:6" ht="16.95" customHeight="1" x14ac:dyDescent="0.25">
      <c r="A326" s="5" t="s">
        <v>960</v>
      </c>
      <c r="B326" s="4" t="s">
        <v>961</v>
      </c>
      <c r="C326" s="4" t="s">
        <v>931</v>
      </c>
      <c r="D326" s="4" t="s">
        <v>958</v>
      </c>
      <c r="E326" s="4" t="s">
        <v>959</v>
      </c>
      <c r="F326" s="4" t="str">
        <f>HYPERLINK("http://www.wetblueraff.com/","www.wetblueraff.com")</f>
        <v>www.wetblueraff.com</v>
      </c>
    </row>
    <row r="327" spans="1:6" ht="29.55" customHeight="1" x14ac:dyDescent="0.25">
      <c r="A327" s="1" t="s">
        <v>962</v>
      </c>
      <c r="B327" s="6" t="s">
        <v>963</v>
      </c>
      <c r="C327" s="6" t="s">
        <v>948</v>
      </c>
      <c r="D327" s="6" t="s">
        <v>964</v>
      </c>
      <c r="E327" s="6" t="s">
        <v>965</v>
      </c>
      <c r="F327" s="6" t="str">
        <f>HYPERLINK("http://www.modaita.it/","www.modaita.it")</f>
        <v>www.modaita.it</v>
      </c>
    </row>
    <row r="328" spans="1:6" ht="16.95" customHeight="1" x14ac:dyDescent="0.25">
      <c r="A328" s="5" t="s">
        <v>966</v>
      </c>
      <c r="B328" s="4" t="s">
        <v>967</v>
      </c>
      <c r="C328" s="4" t="s">
        <v>931</v>
      </c>
      <c r="D328" s="4" t="s">
        <v>940</v>
      </c>
      <c r="E328" s="4" t="s">
        <v>941</v>
      </c>
      <c r="F328" s="4" t="str">
        <f>HYPERLINK("http://conceriailcigno.com/","conceriailcigno.com")</f>
        <v>conceriailcigno.com</v>
      </c>
    </row>
    <row r="329" spans="1:6" ht="55.65" customHeight="1" x14ac:dyDescent="0.25">
      <c r="A329" s="1" t="s">
        <v>968</v>
      </c>
      <c r="B329" s="6" t="s">
        <v>969</v>
      </c>
      <c r="C329" s="6" t="s">
        <v>948</v>
      </c>
      <c r="D329" s="6" t="s">
        <v>970</v>
      </c>
      <c r="E329" s="6" t="s">
        <v>971</v>
      </c>
      <c r="F329" s="6" t="str">
        <f>HYPERLINK("http://effemme.it/","effemme.it")</f>
        <v>effemme.it</v>
      </c>
    </row>
    <row r="330" spans="1:6" ht="16.95" customHeight="1" x14ac:dyDescent="0.25">
      <c r="A330" s="5" t="s">
        <v>972</v>
      </c>
      <c r="B330" s="4" t="s">
        <v>973</v>
      </c>
      <c r="C330" s="4" t="s">
        <v>974</v>
      </c>
      <c r="D330" s="4" t="s">
        <v>975</v>
      </c>
      <c r="E330" s="4" t="s">
        <v>959</v>
      </c>
      <c r="F330" s="4" t="str">
        <f>HYPERLINK("http://mara-bini.it/","mara-bini.it")</f>
        <v>mara-bini.it</v>
      </c>
    </row>
    <row r="331" spans="1:6" ht="16.95" customHeight="1" x14ac:dyDescent="0.25">
      <c r="A331" s="1" t="s">
        <v>976</v>
      </c>
      <c r="B331" s="6" t="s">
        <v>977</v>
      </c>
      <c r="C331" s="6" t="s">
        <v>931</v>
      </c>
      <c r="D331" s="6" t="s">
        <v>958</v>
      </c>
      <c r="E331" s="6" t="s">
        <v>959</v>
      </c>
      <c r="F331" s="6" t="str">
        <f>HYPERLINK("http://www.conceriabenetti.com/","http://www.conceriabenetti.com")</f>
        <v>http://www.conceriabenetti.com</v>
      </c>
    </row>
    <row r="332" spans="1:6" ht="16.95" customHeight="1" x14ac:dyDescent="0.25">
      <c r="A332" s="1" t="s">
        <v>978</v>
      </c>
      <c r="B332" s="6" t="s">
        <v>979</v>
      </c>
      <c r="C332" s="6" t="s">
        <v>980</v>
      </c>
      <c r="D332" s="6" t="s">
        <v>943</v>
      </c>
      <c r="E332" s="6" t="s">
        <v>941</v>
      </c>
      <c r="F332" s="6" t="str">
        <f>HYPERLINK("http://www.lafrassineti.it/","www.lafrassineti.it")</f>
        <v>www.lafrassineti.it</v>
      </c>
    </row>
    <row r="333" spans="1:6" ht="16.95" customHeight="1" x14ac:dyDescent="0.25">
      <c r="A333" s="1" t="s">
        <v>981</v>
      </c>
      <c r="B333" s="6" t="s">
        <v>982</v>
      </c>
      <c r="C333" s="6" t="s">
        <v>948</v>
      </c>
      <c r="D333" s="6" t="s">
        <v>983</v>
      </c>
      <c r="E333" s="6" t="s">
        <v>959</v>
      </c>
      <c r="F333" s="6" t="str">
        <f>HYPERLINK("http://www.o-three.eu/","www.o-three.eu")</f>
        <v>www.o-three.eu</v>
      </c>
    </row>
    <row r="334" spans="1:6" ht="16.95" customHeight="1" x14ac:dyDescent="0.25">
      <c r="A334" s="5" t="s">
        <v>984</v>
      </c>
      <c r="B334" s="4" t="s">
        <v>985</v>
      </c>
      <c r="C334" s="4" t="s">
        <v>942</v>
      </c>
      <c r="D334" s="4" t="s">
        <v>932</v>
      </c>
      <c r="E334" s="4" t="s">
        <v>933</v>
      </c>
      <c r="F334" s="4" t="str">
        <f>HYPERLINK("http://www.angelasrl.com/","www.angelasrl.com")</f>
        <v>www.angelasrl.com</v>
      </c>
    </row>
    <row r="335" spans="1:6" ht="16.95" customHeight="1" x14ac:dyDescent="0.25">
      <c r="A335" s="5" t="s">
        <v>986</v>
      </c>
      <c r="B335" s="4" t="s">
        <v>987</v>
      </c>
      <c r="C335" s="4" t="s">
        <v>931</v>
      </c>
      <c r="D335" s="4" t="s">
        <v>970</v>
      </c>
      <c r="E335" s="4" t="s">
        <v>971</v>
      </c>
      <c r="F335" s="4" t="str">
        <f>HYPERLINK("http://www.trio-italia.it/","www.trio-italia.it")</f>
        <v>www.trio-italia.it</v>
      </c>
    </row>
    <row r="336" spans="1:6" ht="16.95" customHeight="1" x14ac:dyDescent="0.25">
      <c r="A336" s="1" t="s">
        <v>988</v>
      </c>
      <c r="B336" s="6" t="s">
        <v>989</v>
      </c>
      <c r="C336" s="6" t="s">
        <v>980</v>
      </c>
      <c r="D336" s="6" t="s">
        <v>958</v>
      </c>
      <c r="E336" s="6" t="s">
        <v>959</v>
      </c>
      <c r="F336" s="6" t="str">
        <f>HYPERLINK("http://www.erreplus.us/","www.erreplus.us")</f>
        <v>www.erreplus.us</v>
      </c>
    </row>
    <row r="337" spans="1:6" ht="16.95" customHeight="1" x14ac:dyDescent="0.25">
      <c r="A337" s="5" t="s">
        <v>990</v>
      </c>
      <c r="B337" s="4" t="s">
        <v>991</v>
      </c>
      <c r="C337" s="4" t="s">
        <v>931</v>
      </c>
      <c r="D337" s="4" t="s">
        <v>958</v>
      </c>
      <c r="E337" s="4" t="s">
        <v>959</v>
      </c>
      <c r="F337" s="4" t="str">
        <f>HYPERLINK("http://www.conceriabelvedere.com/","http://www.conceriabelvedere.com")</f>
        <v>http://www.conceriabelvedere.com</v>
      </c>
    </row>
    <row r="338" spans="1:6" ht="16.95" customHeight="1" x14ac:dyDescent="0.25">
      <c r="A338" s="1" t="s">
        <v>992</v>
      </c>
      <c r="B338" s="6" t="s">
        <v>993</v>
      </c>
      <c r="C338" s="6" t="s">
        <v>948</v>
      </c>
      <c r="D338" s="6" t="s">
        <v>970</v>
      </c>
      <c r="E338" s="6" t="s">
        <v>971</v>
      </c>
      <c r="F338" s="6" t="str">
        <f>HYPERLINK("http://www.lunashoes.it/","www.lunashoes.it")</f>
        <v>www.lunashoes.it</v>
      </c>
    </row>
    <row r="339" spans="1:6" ht="16.95" customHeight="1" x14ac:dyDescent="0.25">
      <c r="A339" s="5" t="s">
        <v>994</v>
      </c>
      <c r="B339" s="4" t="s">
        <v>995</v>
      </c>
      <c r="C339" s="4" t="s">
        <v>931</v>
      </c>
      <c r="D339" s="4" t="s">
        <v>996</v>
      </c>
      <c r="E339" s="4" t="s">
        <v>997</v>
      </c>
      <c r="F339" s="4" t="str">
        <f>HYPERLINK("http://prodottialfa.eu/","prodottialfa.eu")</f>
        <v>prodottialfa.eu</v>
      </c>
    </row>
    <row r="340" spans="1:6" ht="16.95" customHeight="1" x14ac:dyDescent="0.25">
      <c r="A340" s="1" t="s">
        <v>1004</v>
      </c>
      <c r="B340" s="6" t="s">
        <v>1005</v>
      </c>
      <c r="C340" s="6" t="s">
        <v>1001</v>
      </c>
      <c r="D340" s="6" t="s">
        <v>1006</v>
      </c>
      <c r="E340" s="6" t="s">
        <v>1007</v>
      </c>
      <c r="F340" s="6" t="str">
        <f>HYPERLINK("http://www.roces.com/","www.roces.com")</f>
        <v>www.roces.com</v>
      </c>
    </row>
    <row r="341" spans="1:6" ht="29.55" customHeight="1" x14ac:dyDescent="0.25">
      <c r="A341" s="5" t="s">
        <v>1008</v>
      </c>
      <c r="B341" s="4" t="s">
        <v>1009</v>
      </c>
      <c r="C341" s="4" t="s">
        <v>1010</v>
      </c>
      <c r="D341" s="4" t="s">
        <v>1011</v>
      </c>
      <c r="E341" s="4" t="s">
        <v>1007</v>
      </c>
      <c r="F341" s="4" t="str">
        <f>HYPERLINK("http://www.leatherlinesrl.it/","www.leatherlinesrl.it")</f>
        <v>www.leatherlinesrl.it</v>
      </c>
    </row>
    <row r="342" spans="1:6" ht="16.95" customHeight="1" x14ac:dyDescent="0.25">
      <c r="A342" s="1" t="s">
        <v>1012</v>
      </c>
      <c r="B342" s="6" t="s">
        <v>1013</v>
      </c>
      <c r="C342" s="6" t="s">
        <v>1010</v>
      </c>
      <c r="D342" s="6" t="s">
        <v>1011</v>
      </c>
      <c r="E342" s="6" t="s">
        <v>1007</v>
      </c>
      <c r="F342" s="6" t="str">
        <f>HYPERLINK("http://www.thimeco.it/","www.thimeco.it")</f>
        <v>www.thimeco.it</v>
      </c>
    </row>
    <row r="343" spans="1:6" ht="16.95" customHeight="1" x14ac:dyDescent="0.25">
      <c r="A343" s="5" t="s">
        <v>1014</v>
      </c>
      <c r="B343" s="4" t="s">
        <v>1015</v>
      </c>
      <c r="C343" s="4" t="s">
        <v>1001</v>
      </c>
      <c r="D343" s="4" t="s">
        <v>1016</v>
      </c>
      <c r="E343" s="4" t="s">
        <v>1017</v>
      </c>
      <c r="F343" s="4" t="str">
        <f>HYPERLINK("http://www.canapecalzature.it/","www.canapecalzature.it")</f>
        <v>www.canapecalzature.it</v>
      </c>
    </row>
    <row r="344" spans="1:6" ht="16.95" customHeight="1" x14ac:dyDescent="0.25">
      <c r="A344" s="1" t="s">
        <v>1018</v>
      </c>
      <c r="B344" s="6" t="s">
        <v>1019</v>
      </c>
      <c r="C344" s="6" t="s">
        <v>1001</v>
      </c>
      <c r="D344" s="6" t="s">
        <v>1020</v>
      </c>
      <c r="E344" s="6" t="s">
        <v>1000</v>
      </c>
      <c r="F344" s="6" t="str">
        <f>HYPERLINK("http://www.ilariasrl.com/","www.ilariasrl.com")</f>
        <v>www.ilariasrl.com</v>
      </c>
    </row>
    <row r="345" spans="1:6" ht="29.55" customHeight="1" x14ac:dyDescent="0.25">
      <c r="A345" s="5" t="s">
        <v>1021</v>
      </c>
      <c r="B345" s="4" t="s">
        <v>1022</v>
      </c>
      <c r="C345" s="4" t="s">
        <v>1010</v>
      </c>
      <c r="D345" s="4" t="s">
        <v>1023</v>
      </c>
      <c r="E345" s="4" t="s">
        <v>1000</v>
      </c>
      <c r="F345" s="4" t="str">
        <f>HYPERLINK("http://www.conceriabertini.it/","www.conceriabertini.it")</f>
        <v>www.conceriabertini.it</v>
      </c>
    </row>
    <row r="346" spans="1:6" ht="43.05" customHeight="1" x14ac:dyDescent="0.25">
      <c r="A346" s="1" t="s">
        <v>1024</v>
      </c>
      <c r="B346" s="6" t="s">
        <v>1025</v>
      </c>
      <c r="C346" s="6" t="s">
        <v>1026</v>
      </c>
      <c r="D346" s="6" t="s">
        <v>1002</v>
      </c>
      <c r="E346" s="6" t="s">
        <v>1003</v>
      </c>
      <c r="F346" s="6" t="str">
        <f>HYPERLINK("http://www.silcea.com/","www.silcea.com")</f>
        <v>www.silcea.com</v>
      </c>
    </row>
    <row r="347" spans="1:6" ht="16.95" customHeight="1" x14ac:dyDescent="0.25">
      <c r="A347" s="5" t="s">
        <v>1027</v>
      </c>
      <c r="B347" s="4" t="s">
        <v>1028</v>
      </c>
      <c r="C347" s="4" t="s">
        <v>1001</v>
      </c>
      <c r="D347" s="4" t="s">
        <v>1006</v>
      </c>
      <c r="E347" s="4" t="s">
        <v>1007</v>
      </c>
      <c r="F347" s="4" t="str">
        <f>HYPERLINK("http://www.panchic.it/","www.panchic.it")</f>
        <v>www.panchic.it</v>
      </c>
    </row>
    <row r="348" spans="1:6" ht="29.55" customHeight="1" x14ac:dyDescent="0.25">
      <c r="A348" s="1" t="s">
        <v>1029</v>
      </c>
      <c r="B348" s="6" t="s">
        <v>1030</v>
      </c>
      <c r="C348" s="6" t="s">
        <v>1031</v>
      </c>
      <c r="D348" s="6" t="s">
        <v>1023</v>
      </c>
      <c r="E348" s="6" t="s">
        <v>1000</v>
      </c>
      <c r="F348" s="6" t="str">
        <f>HYPERLINK("http://www.augustashoes.it/","http://www.augustashoes.it")</f>
        <v>http://www.augustashoes.it</v>
      </c>
    </row>
    <row r="349" spans="1:6" ht="29.55" customHeight="1" x14ac:dyDescent="0.25">
      <c r="A349" s="5" t="s">
        <v>1032</v>
      </c>
      <c r="B349" s="4" t="s">
        <v>1033</v>
      </c>
      <c r="C349" s="4" t="s">
        <v>1001</v>
      </c>
      <c r="D349" s="4" t="s">
        <v>1011</v>
      </c>
      <c r="E349" s="4" t="s">
        <v>1007</v>
      </c>
      <c r="F349" s="4" t="str">
        <f>HYPERLINK("http://stephen.it/","stephen.it")</f>
        <v>stephen.it</v>
      </c>
    </row>
    <row r="350" spans="1:6" ht="16.95" customHeight="1" x14ac:dyDescent="0.25">
      <c r="A350" s="1" t="s">
        <v>1034</v>
      </c>
      <c r="B350" s="6" t="s">
        <v>1035</v>
      </c>
      <c r="C350" s="6" t="s">
        <v>1010</v>
      </c>
      <c r="D350" s="6" t="s">
        <v>1036</v>
      </c>
      <c r="E350" s="6" t="s">
        <v>1037</v>
      </c>
      <c r="F350" s="6" t="str">
        <f>HYPERLINK("http://www.dlleather.it/","www.dlleather.it")</f>
        <v>www.dlleather.it</v>
      </c>
    </row>
    <row r="351" spans="1:6" ht="16.95" customHeight="1" x14ac:dyDescent="0.25">
      <c r="A351" s="5" t="s">
        <v>1038</v>
      </c>
      <c r="B351" s="4" t="s">
        <v>1039</v>
      </c>
      <c r="C351" s="4" t="s">
        <v>998</v>
      </c>
      <c r="D351" s="4" t="s">
        <v>1040</v>
      </c>
      <c r="E351" s="4" t="s">
        <v>1041</v>
      </c>
      <c r="F351" s="4" t="str">
        <f>HYPERLINK("http://www.metalservice.net/","www.metalservice.net")</f>
        <v>www.metalservice.net</v>
      </c>
    </row>
    <row r="352" spans="1:6" ht="16.95" customHeight="1" x14ac:dyDescent="0.25">
      <c r="A352" s="1" t="s">
        <v>1042</v>
      </c>
      <c r="B352" s="6" t="s">
        <v>1043</v>
      </c>
      <c r="C352" s="6" t="s">
        <v>998</v>
      </c>
      <c r="D352" s="6" t="s">
        <v>999</v>
      </c>
      <c r="E352" s="6" t="s">
        <v>1000</v>
      </c>
      <c r="F352" s="6" t="str">
        <f>HYPERLINK("http://www.lustampa.it/","www.lustampa.it")</f>
        <v>www.lustampa.it</v>
      </c>
    </row>
    <row r="353" spans="1:6" ht="16.95" customHeight="1" x14ac:dyDescent="0.25">
      <c r="A353" s="5" t="s">
        <v>1044</v>
      </c>
      <c r="B353" s="4" t="s">
        <v>1045</v>
      </c>
      <c r="C353" s="4" t="s">
        <v>1001</v>
      </c>
      <c r="D353" s="4" t="s">
        <v>1006</v>
      </c>
      <c r="E353" s="4" t="s">
        <v>1007</v>
      </c>
      <c r="F353" s="4" t="str">
        <f>HYPERLINK("http://www.antis.it/","www.antis.it")</f>
        <v>www.antis.it</v>
      </c>
    </row>
    <row r="354" spans="1:6" ht="16.95" customHeight="1" x14ac:dyDescent="0.25">
      <c r="A354" s="1" t="s">
        <v>1046</v>
      </c>
      <c r="B354" s="6" t="s">
        <v>1047</v>
      </c>
      <c r="C354" s="6" t="s">
        <v>1001</v>
      </c>
      <c r="D354" s="6" t="s">
        <v>1048</v>
      </c>
      <c r="E354" s="6" t="s">
        <v>1000</v>
      </c>
      <c r="F354" s="6" t="str">
        <f>HYPERLINK("http://www.guidirosellini.com/","www.guidirosellini.com")</f>
        <v>www.guidirosellini.com</v>
      </c>
    </row>
    <row r="355" spans="1:6" ht="16.95" customHeight="1" x14ac:dyDescent="0.25">
      <c r="A355" s="5" t="s">
        <v>1049</v>
      </c>
      <c r="B355" s="4" t="s">
        <v>1050</v>
      </c>
      <c r="C355" s="4" t="s">
        <v>1010</v>
      </c>
      <c r="D355" s="4" t="s">
        <v>1011</v>
      </c>
      <c r="E355" s="4" t="s">
        <v>1007</v>
      </c>
      <c r="F355" s="4" t="str">
        <f>HYPERLINK("http://www.concatogilberto.com/","www.concatogilberto.com")</f>
        <v>www.concatogilberto.com</v>
      </c>
    </row>
    <row r="356" spans="1:6" ht="16.95" customHeight="1" x14ac:dyDescent="0.25">
      <c r="A356" s="5" t="s">
        <v>1051</v>
      </c>
      <c r="B356" s="4" t="s">
        <v>1052</v>
      </c>
      <c r="C356" s="4" t="s">
        <v>1001</v>
      </c>
      <c r="D356" s="4" t="s">
        <v>1053</v>
      </c>
      <c r="E356" s="4" t="s">
        <v>1007</v>
      </c>
      <c r="F356" s="4" t="str">
        <f>HYPERLINK("http://zencalzature.it/","zencalzature.it")</f>
        <v>zencalzature.it</v>
      </c>
    </row>
    <row r="357" spans="1:6" ht="16.95" customHeight="1" x14ac:dyDescent="0.25">
      <c r="A357" s="1" t="s">
        <v>1054</v>
      </c>
      <c r="B357" s="6" t="s">
        <v>1055</v>
      </c>
      <c r="C357" s="6" t="s">
        <v>1001</v>
      </c>
      <c r="D357" s="6" t="s">
        <v>1048</v>
      </c>
      <c r="E357" s="6" t="s">
        <v>1000</v>
      </c>
      <c r="F357" s="6" t="str">
        <f>HYPERLINK("http://stokton.it/","stokton.it")</f>
        <v>stokton.it</v>
      </c>
    </row>
    <row r="358" spans="1:6" ht="16.95" customHeight="1" x14ac:dyDescent="0.25">
      <c r="A358" s="5" t="s">
        <v>1056</v>
      </c>
      <c r="B358" s="4" t="s">
        <v>1057</v>
      </c>
      <c r="C358" s="4" t="s">
        <v>1010</v>
      </c>
      <c r="D358" s="4" t="s">
        <v>1058</v>
      </c>
      <c r="E358" s="4" t="s">
        <v>1059</v>
      </c>
      <c r="F358" s="4" t="str">
        <f>HYPERLINK("http://whiteline.it/","whiteline.it")</f>
        <v>whiteline.it</v>
      </c>
    </row>
    <row r="359" spans="1:6" ht="29.55" customHeight="1" x14ac:dyDescent="0.25">
      <c r="A359" s="1" t="s">
        <v>1060</v>
      </c>
      <c r="B359" s="6" t="s">
        <v>1061</v>
      </c>
      <c r="C359" s="6" t="s">
        <v>998</v>
      </c>
      <c r="D359" s="6" t="s">
        <v>999</v>
      </c>
      <c r="E359" s="6" t="s">
        <v>1000</v>
      </c>
      <c r="F359" s="6" t="str">
        <f>HYPERLINK("http://www.radar1957.it/","www.radar1957.it")</f>
        <v>www.radar1957.it</v>
      </c>
    </row>
    <row r="360" spans="1:6" ht="16.95" customHeight="1" x14ac:dyDescent="0.25">
      <c r="A360" s="5" t="s">
        <v>1062</v>
      </c>
      <c r="B360" s="4" t="s">
        <v>1063</v>
      </c>
      <c r="C360" s="4" t="s">
        <v>1001</v>
      </c>
      <c r="D360" s="4" t="s">
        <v>1023</v>
      </c>
      <c r="E360" s="4" t="s">
        <v>1000</v>
      </c>
      <c r="F360" s="4" t="str">
        <f>HYPERLINK("http://www.tiglioshoes.it/","www.tiglioshoes.it")</f>
        <v>www.tiglioshoes.it</v>
      </c>
    </row>
    <row r="361" spans="1:6" ht="68.099999999999994" customHeight="1" x14ac:dyDescent="0.25">
      <c r="A361" s="1" t="s">
        <v>1064</v>
      </c>
      <c r="B361" s="6" t="s">
        <v>1065</v>
      </c>
      <c r="C361" s="6" t="s">
        <v>1010</v>
      </c>
      <c r="D361" s="6" t="s">
        <v>1066</v>
      </c>
      <c r="E361" s="6" t="s">
        <v>1037</v>
      </c>
      <c r="F361" s="6" t="str">
        <f>HYPERLINK("http://www.delvacchioleather.it/","www.delvacchioleather.it")</f>
        <v>www.delvacchioleather.it</v>
      </c>
    </row>
    <row r="362" spans="1:6" ht="29.55" customHeight="1" x14ac:dyDescent="0.25">
      <c r="A362" s="5" t="s">
        <v>1067</v>
      </c>
      <c r="B362" s="4" t="s">
        <v>1068</v>
      </c>
      <c r="C362" s="4" t="s">
        <v>1010</v>
      </c>
      <c r="D362" s="4" t="s">
        <v>1023</v>
      </c>
      <c r="E362" s="4" t="s">
        <v>1000</v>
      </c>
      <c r="F362" s="4" t="str">
        <f>HYPERLINK("http://www.conceriaalaska.it/","www.conceriaalaska.it")</f>
        <v>www.conceriaalaska.it</v>
      </c>
    </row>
    <row r="363" spans="1:6" ht="16.95" customHeight="1" x14ac:dyDescent="0.25">
      <c r="A363" s="1" t="s">
        <v>1069</v>
      </c>
      <c r="B363" s="6" t="s">
        <v>1070</v>
      </c>
      <c r="C363" s="6" t="s">
        <v>1001</v>
      </c>
      <c r="D363" s="6" t="s">
        <v>1071</v>
      </c>
      <c r="E363" s="6" t="s">
        <v>1000</v>
      </c>
      <c r="F363" s="6" t="str">
        <f>HYPERLINK("http://www.jelkom.com/","www.jelkom.com")</f>
        <v>www.jelkom.com</v>
      </c>
    </row>
    <row r="364" spans="1:6" ht="29.55" customHeight="1" x14ac:dyDescent="0.25">
      <c r="A364" s="5" t="s">
        <v>1072</v>
      </c>
      <c r="B364" s="4" t="s">
        <v>1073</v>
      </c>
      <c r="C364" s="4" t="s">
        <v>1001</v>
      </c>
      <c r="D364" s="4" t="s">
        <v>1074</v>
      </c>
      <c r="E364" s="4" t="s">
        <v>1007</v>
      </c>
      <c r="F364" s="4" t="str">
        <f>HYPERLINK("http://www.calzaturificiovalbrenta.com/","www.calzaturificiovalbrenta.com")</f>
        <v>www.calzaturificiovalbrenta.com</v>
      </c>
    </row>
    <row r="365" spans="1:6" ht="16.95" customHeight="1" x14ac:dyDescent="0.25">
      <c r="A365" s="5" t="s">
        <v>1075</v>
      </c>
      <c r="B365" s="4" t="s">
        <v>1076</v>
      </c>
      <c r="C365" s="4" t="s">
        <v>1010</v>
      </c>
      <c r="D365" s="4" t="s">
        <v>1023</v>
      </c>
      <c r="E365" s="4" t="s">
        <v>1000</v>
      </c>
      <c r="F365" s="4" t="str">
        <f>HYPERLINK("http://www.tempesti.com/","www.tempesti.com")</f>
        <v>www.tempesti.com</v>
      </c>
    </row>
    <row r="366" spans="1:6" ht="16.95" customHeight="1" x14ac:dyDescent="0.25">
      <c r="A366" s="1" t="s">
        <v>1077</v>
      </c>
      <c r="B366" s="6" t="s">
        <v>1078</v>
      </c>
      <c r="C366" s="6" t="s">
        <v>1079</v>
      </c>
      <c r="D366" s="6" t="s">
        <v>1080</v>
      </c>
      <c r="E366" s="6" t="s">
        <v>1081</v>
      </c>
      <c r="F366" s="6" t="str">
        <f>HYPERLINK("http://www.nuovaantilope.it/","www.nuovaantilope.it")</f>
        <v>www.nuovaantilope.it</v>
      </c>
    </row>
    <row r="367" spans="1:6" ht="16.95" customHeight="1" x14ac:dyDescent="0.25">
      <c r="A367" s="5" t="s">
        <v>1082</v>
      </c>
      <c r="B367" s="4" t="s">
        <v>1083</v>
      </c>
      <c r="C367" s="4" t="s">
        <v>1084</v>
      </c>
      <c r="D367" s="4" t="s">
        <v>1085</v>
      </c>
      <c r="E367" s="4" t="s">
        <v>1086</v>
      </c>
      <c r="F367" s="4" t="str">
        <f>HYPERLINK("http://www.delpapa.com/","www.delpapa.com")</f>
        <v>www.delpapa.com</v>
      </c>
    </row>
    <row r="368" spans="1:6" ht="29.55" customHeight="1" x14ac:dyDescent="0.25">
      <c r="A368" s="1" t="s">
        <v>1087</v>
      </c>
      <c r="B368" s="6" t="s">
        <v>1088</v>
      </c>
      <c r="C368" s="6" t="s">
        <v>1089</v>
      </c>
      <c r="D368" s="6" t="s">
        <v>1090</v>
      </c>
      <c r="E368" s="6" t="s">
        <v>1091</v>
      </c>
      <c r="F368" s="6" t="str">
        <f>HYPERLINK("http://www.baldan.it/","http://www.baldan.it")</f>
        <v>http://www.baldan.it</v>
      </c>
    </row>
    <row r="369" spans="1:6" ht="16.95" customHeight="1" x14ac:dyDescent="0.25">
      <c r="A369" s="1" t="s">
        <v>1092</v>
      </c>
      <c r="B369" s="6" t="s">
        <v>1093</v>
      </c>
      <c r="C369" s="6" t="s">
        <v>1089</v>
      </c>
      <c r="D369" s="6" t="s">
        <v>1094</v>
      </c>
      <c r="E369" s="6" t="s">
        <v>1095</v>
      </c>
      <c r="F369" s="6" t="str">
        <f>HYPERLINK("http://www.denirobootco.com/","www.denirobootco.com")</f>
        <v>www.denirobootco.com</v>
      </c>
    </row>
    <row r="370" spans="1:6" ht="29.55" customHeight="1" x14ac:dyDescent="0.25">
      <c r="A370" s="5" t="s">
        <v>1096</v>
      </c>
      <c r="B370" s="4" t="s">
        <v>1097</v>
      </c>
      <c r="C370" s="4" t="s">
        <v>1089</v>
      </c>
      <c r="D370" s="4" t="s">
        <v>1098</v>
      </c>
      <c r="E370" s="4" t="s">
        <v>1086</v>
      </c>
      <c r="F370" s="4" t="str">
        <f>HYPERLINK("http://www.giorgiofabiani.it/","www.giorgiofabiani.it")</f>
        <v>www.giorgiofabiani.it</v>
      </c>
    </row>
    <row r="371" spans="1:6" ht="16.95" customHeight="1" x14ac:dyDescent="0.25">
      <c r="A371" s="1" t="s">
        <v>1099</v>
      </c>
      <c r="B371" s="6" t="s">
        <v>1100</v>
      </c>
      <c r="C371" s="6" t="s">
        <v>1079</v>
      </c>
      <c r="D371" s="6" t="s">
        <v>1101</v>
      </c>
      <c r="E371" s="6" t="s">
        <v>1102</v>
      </c>
      <c r="F371" s="6" t="str">
        <f>HYPERLINK("http://perwangerleather.com/","perwangerleather.com")</f>
        <v>perwangerleather.com</v>
      </c>
    </row>
    <row r="372" spans="1:6" ht="29.55" customHeight="1" x14ac:dyDescent="0.25">
      <c r="A372" s="5" t="s">
        <v>1103</v>
      </c>
      <c r="B372" s="4" t="s">
        <v>1104</v>
      </c>
      <c r="C372" s="4" t="s">
        <v>1089</v>
      </c>
      <c r="D372" s="4" t="s">
        <v>1105</v>
      </c>
      <c r="E372" s="4" t="s">
        <v>1081</v>
      </c>
      <c r="F372" s="4" t="str">
        <f>HYPERLINK("http://www.lucagrossi.store/","www.lucagrossi.store")</f>
        <v>www.lucagrossi.store</v>
      </c>
    </row>
    <row r="373" spans="1:6" ht="16.95" customHeight="1" x14ac:dyDescent="0.25">
      <c r="A373" s="1" t="s">
        <v>1106</v>
      </c>
      <c r="B373" s="6" t="s">
        <v>1107</v>
      </c>
      <c r="C373" s="6" t="s">
        <v>1079</v>
      </c>
      <c r="D373" s="6" t="s">
        <v>1108</v>
      </c>
      <c r="E373" s="6" t="s">
        <v>1091</v>
      </c>
      <c r="F373" s="6" t="str">
        <f>HYPERLINK("http://conceriajunior.it/","conceriajunior.it")</f>
        <v>conceriajunior.it</v>
      </c>
    </row>
    <row r="374" spans="1:6" ht="16.95" customHeight="1" x14ac:dyDescent="0.25">
      <c r="A374" s="5" t="s">
        <v>1109</v>
      </c>
      <c r="B374" s="4" t="s">
        <v>1110</v>
      </c>
      <c r="C374" s="4" t="s">
        <v>1089</v>
      </c>
      <c r="D374" s="4" t="s">
        <v>1111</v>
      </c>
      <c r="E374" s="4" t="s">
        <v>1112</v>
      </c>
      <c r="F374" s="4" t="str">
        <f>HYPERLINK("http://www.calzaturificiocespo.com/","www.calzaturificiocespo.com")</f>
        <v>www.calzaturificiocespo.com</v>
      </c>
    </row>
    <row r="375" spans="1:6" ht="16.95" customHeight="1" x14ac:dyDescent="0.25">
      <c r="A375" s="5" t="s">
        <v>1114</v>
      </c>
      <c r="B375" s="4" t="s">
        <v>1115</v>
      </c>
      <c r="C375" s="4" t="s">
        <v>1089</v>
      </c>
      <c r="D375" s="4" t="s">
        <v>1116</v>
      </c>
      <c r="E375" s="4" t="s">
        <v>1081</v>
      </c>
      <c r="F375" s="4" t="str">
        <f>HYPERLINK("http://m.exclusivesrl.com/","m.exclusivesrl.com")</f>
        <v>m.exclusivesrl.com</v>
      </c>
    </row>
    <row r="376" spans="1:6" ht="29.55" customHeight="1" x14ac:dyDescent="0.25">
      <c r="A376" s="5" t="s">
        <v>1117</v>
      </c>
      <c r="B376" s="4" t="s">
        <v>1118</v>
      </c>
      <c r="C376" s="4" t="s">
        <v>1089</v>
      </c>
      <c r="D376" s="4" t="s">
        <v>1119</v>
      </c>
      <c r="E376" s="4" t="s">
        <v>1120</v>
      </c>
      <c r="F376" s="4" t="str">
        <f>HYPERLINK("http://www.angelocoppola.eu/","www.angelocoppola.eu")</f>
        <v>www.angelocoppola.eu</v>
      </c>
    </row>
    <row r="377" spans="1:6" ht="16.95" customHeight="1" x14ac:dyDescent="0.25">
      <c r="A377" s="5" t="s">
        <v>1121</v>
      </c>
      <c r="B377" s="4" t="s">
        <v>1122</v>
      </c>
      <c r="C377" s="4" t="s">
        <v>1089</v>
      </c>
      <c r="D377" s="4" t="s">
        <v>1080</v>
      </c>
      <c r="E377" s="4" t="s">
        <v>1081</v>
      </c>
      <c r="F377" s="4" t="str">
        <f>HYPERLINK("http://www.manifattureilfaro.it/","www.manifattureilfaro.it")</f>
        <v>www.manifattureilfaro.it</v>
      </c>
    </row>
    <row r="378" spans="1:6" ht="16.95" customHeight="1" x14ac:dyDescent="0.25">
      <c r="A378" s="1" t="s">
        <v>1123</v>
      </c>
      <c r="B378" s="6" t="s">
        <v>1124</v>
      </c>
      <c r="C378" s="6" t="s">
        <v>1084</v>
      </c>
      <c r="D378" s="6" t="s">
        <v>1080</v>
      </c>
      <c r="E378" s="6" t="s">
        <v>1081</v>
      </c>
      <c r="F378" s="6" t="str">
        <f>HYPERLINK("http://www.marcoshoes.it/","www.marcoshoes.it")</f>
        <v>www.marcoshoes.it</v>
      </c>
    </row>
    <row r="379" spans="1:6" ht="16.95" customHeight="1" x14ac:dyDescent="0.25">
      <c r="A379" s="1" t="s">
        <v>1125</v>
      </c>
      <c r="B379" s="6" t="s">
        <v>1126</v>
      </c>
      <c r="C379" s="6" t="s">
        <v>1089</v>
      </c>
      <c r="D379" s="6" t="s">
        <v>1127</v>
      </c>
      <c r="E379" s="6" t="s">
        <v>1091</v>
      </c>
      <c r="F379" s="6" t="str">
        <f>HYPERLINK("http://www.calzaturificiodiemme.it/","www.calzaturificiodiemme.it")</f>
        <v>www.calzaturificiodiemme.it</v>
      </c>
    </row>
    <row r="380" spans="1:6" ht="16.95" customHeight="1" x14ac:dyDescent="0.25">
      <c r="A380" s="5" t="s">
        <v>1129</v>
      </c>
      <c r="B380" s="4" t="s">
        <v>1130</v>
      </c>
      <c r="C380" s="4" t="s">
        <v>1128</v>
      </c>
      <c r="D380" s="4" t="s">
        <v>1131</v>
      </c>
      <c r="E380" s="4" t="s">
        <v>1120</v>
      </c>
      <c r="F380" s="4" t="str">
        <f>HYPERLINK("http://www.calzaturificiobrunate.it/","www.calzaturificiobrunate.it")</f>
        <v>www.calzaturificiobrunate.it</v>
      </c>
    </row>
    <row r="381" spans="1:6" ht="16.95" customHeight="1" x14ac:dyDescent="0.25">
      <c r="A381" s="1" t="s">
        <v>1132</v>
      </c>
      <c r="B381" s="6" t="s">
        <v>1133</v>
      </c>
      <c r="C381" s="6" t="s">
        <v>1089</v>
      </c>
      <c r="D381" s="6" t="s">
        <v>1080</v>
      </c>
      <c r="E381" s="6" t="s">
        <v>1081</v>
      </c>
      <c r="F381" s="6" t="str">
        <f>HYPERLINK("http://www.danimarc.it/","www.danimarc.it")</f>
        <v>www.danimarc.it</v>
      </c>
    </row>
    <row r="382" spans="1:6" ht="55.65" customHeight="1" x14ac:dyDescent="0.25">
      <c r="A382" s="5" t="s">
        <v>1134</v>
      </c>
      <c r="B382" s="4" t="s">
        <v>1135</v>
      </c>
      <c r="C382" s="4" t="s">
        <v>1089</v>
      </c>
      <c r="D382" s="4" t="s">
        <v>1098</v>
      </c>
      <c r="E382" s="4" t="s">
        <v>1086</v>
      </c>
      <c r="F382" s="4" t="str">
        <f>HYPERLINK("http://mirial-srl.business.site/","http://mirial-srl.business.site")</f>
        <v>http://mirial-srl.business.site</v>
      </c>
    </row>
    <row r="383" spans="1:6" ht="29.55" customHeight="1" x14ac:dyDescent="0.25">
      <c r="A383" s="5" t="s">
        <v>1136</v>
      </c>
      <c r="B383" s="4" t="s">
        <v>1137</v>
      </c>
      <c r="C383" s="4" t="s">
        <v>1138</v>
      </c>
      <c r="D383" s="4" t="s">
        <v>1113</v>
      </c>
      <c r="E383" s="4" t="s">
        <v>1081</v>
      </c>
      <c r="F383" s="4" t="str">
        <f>HYPERLINK("http://pelletteriafiorentinamontecristo.it/","pelletteriafiorentinamontecristo.it")</f>
        <v>pelletteriafiorentinamontecristo.it</v>
      </c>
    </row>
    <row r="384" spans="1:6" ht="16.95" customHeight="1" x14ac:dyDescent="0.25">
      <c r="A384" s="1" t="s">
        <v>1139</v>
      </c>
      <c r="B384" s="6" t="s">
        <v>1140</v>
      </c>
      <c r="C384" s="6" t="s">
        <v>1084</v>
      </c>
      <c r="D384" s="6" t="s">
        <v>1098</v>
      </c>
      <c r="E384" s="6" t="s">
        <v>1086</v>
      </c>
      <c r="F384" s="6" t="str">
        <f>HYPERLINK("http://www.grganticacuoieria.it/","www.grganticacuoieria.it")</f>
        <v>www.grganticacuoieria.it</v>
      </c>
    </row>
    <row r="385" spans="1:6" ht="16.95" customHeight="1" x14ac:dyDescent="0.25">
      <c r="A385" s="1" t="s">
        <v>1141</v>
      </c>
      <c r="B385" s="6" t="s">
        <v>1142</v>
      </c>
      <c r="C385" s="6" t="s">
        <v>1089</v>
      </c>
      <c r="D385" s="6" t="s">
        <v>1143</v>
      </c>
      <c r="E385" s="6" t="s">
        <v>1091</v>
      </c>
      <c r="F385" s="6" t="str">
        <f>HYPERLINK("http://www.hendersonbaracco.com/","www.hendersonbaracco.com")</f>
        <v>www.hendersonbaracco.com</v>
      </c>
    </row>
    <row r="386" spans="1:6" ht="16.95" customHeight="1" x14ac:dyDescent="0.25">
      <c r="A386" s="5" t="s">
        <v>1144</v>
      </c>
      <c r="B386" s="4" t="s">
        <v>1145</v>
      </c>
      <c r="C386" s="4" t="s">
        <v>1089</v>
      </c>
      <c r="D386" s="4" t="s">
        <v>1098</v>
      </c>
      <c r="E386" s="4" t="s">
        <v>1086</v>
      </c>
      <c r="F386" s="4" t="str">
        <f>HYPERLINK("http://www.vittoriovirgili.com/","www.vittoriovirgili.com")</f>
        <v>www.vittoriovirgili.com</v>
      </c>
    </row>
    <row r="387" spans="1:6" ht="16.95" customHeight="1" x14ac:dyDescent="0.25">
      <c r="A387" s="1" t="s">
        <v>1146</v>
      </c>
      <c r="B387" s="6" t="s">
        <v>1147</v>
      </c>
      <c r="C387" s="6" t="s">
        <v>1079</v>
      </c>
      <c r="D387" s="6" t="s">
        <v>1119</v>
      </c>
      <c r="E387" s="6" t="s">
        <v>1120</v>
      </c>
      <c r="F387" s="6" t="str">
        <f>HYPERLINK("http://www.conceriamilanese.it/","www.conceriamilanese.it")</f>
        <v>www.conceriamilanese.it</v>
      </c>
    </row>
    <row r="388" spans="1:6" ht="16.95" customHeight="1" x14ac:dyDescent="0.25">
      <c r="A388" s="5" t="s">
        <v>1148</v>
      </c>
      <c r="B388" s="4" t="s">
        <v>1149</v>
      </c>
      <c r="C388" s="4" t="s">
        <v>1079</v>
      </c>
      <c r="D388" s="4" t="s">
        <v>1108</v>
      </c>
      <c r="E388" s="4" t="s">
        <v>1091</v>
      </c>
      <c r="F388" s="4" t="str">
        <f>HYPERLINK("http://www.conceriasabrina.com/","www.conceriasabrina.com")</f>
        <v>www.conceriasabrina.com</v>
      </c>
    </row>
    <row r="389" spans="1:6" ht="16.95" customHeight="1" x14ac:dyDescent="0.25">
      <c r="A389" s="5" t="s">
        <v>1157</v>
      </c>
      <c r="B389" s="4" t="s">
        <v>1158</v>
      </c>
      <c r="C389" s="4" t="s">
        <v>1150</v>
      </c>
      <c r="D389" s="4" t="s">
        <v>1159</v>
      </c>
      <c r="E389" s="4" t="s">
        <v>1156</v>
      </c>
      <c r="F389" s="4" t="str">
        <f>HYPERLINK("http://www.calzaturificioeveryn.it/","www.calzaturificioeveryn.it")</f>
        <v>www.calzaturificioeveryn.it</v>
      </c>
    </row>
    <row r="390" spans="1:6" ht="16.95" customHeight="1" x14ac:dyDescent="0.25">
      <c r="A390" s="1" t="s">
        <v>1160</v>
      </c>
      <c r="B390" s="6" t="s">
        <v>1161</v>
      </c>
      <c r="C390" s="6" t="s">
        <v>1162</v>
      </c>
      <c r="D390" s="6" t="s">
        <v>1163</v>
      </c>
      <c r="E390" s="6" t="s">
        <v>1152</v>
      </c>
      <c r="F390" s="6" t="str">
        <f>HYPERLINK("http://www.antares3.it/","www.antares3.it")</f>
        <v>www.antares3.it</v>
      </c>
    </row>
    <row r="391" spans="1:6" ht="29.55" customHeight="1" x14ac:dyDescent="0.25">
      <c r="A391" s="5" t="s">
        <v>1164</v>
      </c>
      <c r="B391" s="4" t="s">
        <v>1165</v>
      </c>
      <c r="C391" s="4" t="s">
        <v>1150</v>
      </c>
      <c r="D391" s="4" t="s">
        <v>1166</v>
      </c>
      <c r="E391" s="4" t="s">
        <v>1167</v>
      </c>
      <c r="F391" s="4" t="str">
        <f>HYPERLINK("http://www.tacchificiomolinella.it/","www.tacchificiomolinella.it")</f>
        <v>www.tacchificiomolinella.it</v>
      </c>
    </row>
    <row r="392" spans="1:6" ht="55.65" customHeight="1" x14ac:dyDescent="0.25">
      <c r="A392" s="1" t="s">
        <v>1168</v>
      </c>
      <c r="B392" s="6" t="s">
        <v>1169</v>
      </c>
      <c r="C392" s="6" t="s">
        <v>1150</v>
      </c>
      <c r="D392" s="6" t="s">
        <v>1170</v>
      </c>
      <c r="E392" s="6" t="s">
        <v>1171</v>
      </c>
      <c r="F392" s="6" t="str">
        <f>HYPERLINK("http://www.strategiashoes.com/","www.strategiashoes.com")</f>
        <v>www.strategiashoes.com</v>
      </c>
    </row>
    <row r="393" spans="1:6" ht="16.95" customHeight="1" x14ac:dyDescent="0.25">
      <c r="A393" s="5" t="s">
        <v>1172</v>
      </c>
      <c r="B393" s="4" t="s">
        <v>1173</v>
      </c>
      <c r="C393" s="4" t="s">
        <v>1154</v>
      </c>
      <c r="D393" s="4" t="s">
        <v>1155</v>
      </c>
      <c r="E393" s="4" t="s">
        <v>1156</v>
      </c>
      <c r="F393" s="4" t="str">
        <f>HYPERLINK("http://www.firenzemodasrl.it/","www.firenzemodasrl.it")</f>
        <v>www.firenzemodasrl.it</v>
      </c>
    </row>
    <row r="394" spans="1:6" ht="16.95" customHeight="1" x14ac:dyDescent="0.25">
      <c r="A394" s="1" t="s">
        <v>1174</v>
      </c>
      <c r="B394" s="6" t="s">
        <v>1175</v>
      </c>
      <c r="C394" s="6" t="s">
        <v>1176</v>
      </c>
      <c r="D394" s="6" t="s">
        <v>1170</v>
      </c>
      <c r="E394" s="6" t="s">
        <v>1171</v>
      </c>
      <c r="F394" s="6" t="str">
        <f>HYPERLINK("http://www.gianniconti.com/","www.gianniconti.com")</f>
        <v>www.gianniconti.com</v>
      </c>
    </row>
    <row r="395" spans="1:6" ht="16.95" customHeight="1" x14ac:dyDescent="0.25">
      <c r="A395" s="5" t="s">
        <v>1177</v>
      </c>
      <c r="B395" s="4" t="s">
        <v>1178</v>
      </c>
      <c r="C395" s="4" t="s">
        <v>1150</v>
      </c>
      <c r="D395" s="4" t="s">
        <v>1155</v>
      </c>
      <c r="E395" s="4" t="s">
        <v>1156</v>
      </c>
      <c r="F395" s="4" t="str">
        <f>HYPERLINK("http://www.dominashoes.com/","www.dominashoes.com")</f>
        <v>www.dominashoes.com</v>
      </c>
    </row>
    <row r="396" spans="1:6" ht="16.95" customHeight="1" x14ac:dyDescent="0.25">
      <c r="A396" s="1" t="s">
        <v>1179</v>
      </c>
      <c r="B396" s="6" t="s">
        <v>1180</v>
      </c>
      <c r="C396" s="6" t="s">
        <v>1150</v>
      </c>
      <c r="D396" s="6" t="s">
        <v>1151</v>
      </c>
      <c r="E396" s="6" t="s">
        <v>1152</v>
      </c>
      <c r="F396" s="6" t="str">
        <f>HYPERLINK("http://www.diotto.com/","www.diotto.com")</f>
        <v>www.diotto.com</v>
      </c>
    </row>
    <row r="397" spans="1:6" ht="16.95" customHeight="1" x14ac:dyDescent="0.25">
      <c r="A397" s="5" t="s">
        <v>1183</v>
      </c>
      <c r="B397" s="4" t="s">
        <v>1184</v>
      </c>
      <c r="C397" s="4" t="s">
        <v>1150</v>
      </c>
      <c r="D397" s="4" t="s">
        <v>1185</v>
      </c>
      <c r="E397" s="4" t="s">
        <v>1152</v>
      </c>
      <c r="F397" s="4" t="str">
        <f>HYPERLINK("http://www.marchesinicalzature.com/","www.marchesinicalzature.com")</f>
        <v>www.marchesinicalzature.com</v>
      </c>
    </row>
    <row r="398" spans="1:6" ht="16.95" customHeight="1" x14ac:dyDescent="0.25">
      <c r="A398" s="5" t="s">
        <v>1186</v>
      </c>
      <c r="B398" s="4" t="s">
        <v>1187</v>
      </c>
      <c r="C398" s="4" t="s">
        <v>1162</v>
      </c>
      <c r="D398" s="4" t="s">
        <v>1163</v>
      </c>
      <c r="E398" s="4" t="s">
        <v>1152</v>
      </c>
      <c r="F398" s="4" t="str">
        <f>HYPERLINK("http://astico.com/","astico.com")</f>
        <v>astico.com</v>
      </c>
    </row>
    <row r="399" spans="1:6" ht="16.95" customHeight="1" x14ac:dyDescent="0.25">
      <c r="A399" s="1" t="s">
        <v>1188</v>
      </c>
      <c r="B399" s="6" t="s">
        <v>1189</v>
      </c>
      <c r="C399" s="6" t="s">
        <v>1190</v>
      </c>
      <c r="D399" s="6" t="s">
        <v>1170</v>
      </c>
      <c r="E399" s="6" t="s">
        <v>1171</v>
      </c>
      <c r="F399" s="6" t="str">
        <f>HYPERLINK("http://www.miamisrl.co/","www.miamisrl.co")</f>
        <v>www.miamisrl.co</v>
      </c>
    </row>
    <row r="400" spans="1:6" ht="29.55" customHeight="1" x14ac:dyDescent="0.25">
      <c r="A400" s="5" t="s">
        <v>1191</v>
      </c>
      <c r="B400" s="4" t="s">
        <v>1192</v>
      </c>
      <c r="C400" s="4" t="s">
        <v>1162</v>
      </c>
      <c r="D400" s="4" t="s">
        <v>1159</v>
      </c>
      <c r="E400" s="4" t="s">
        <v>1156</v>
      </c>
      <c r="F400" s="4" t="str">
        <f>HYPERLINK("http://www.ambassadorconceria.it/","www.ambassadorconceria.it")</f>
        <v>www.ambassadorconceria.it</v>
      </c>
    </row>
    <row r="401" spans="1:6" ht="16.95" customHeight="1" x14ac:dyDescent="0.25">
      <c r="A401" s="1" t="s">
        <v>1193</v>
      </c>
      <c r="B401" s="6" t="s">
        <v>1194</v>
      </c>
      <c r="C401" s="6" t="s">
        <v>1154</v>
      </c>
      <c r="D401" s="6" t="s">
        <v>1195</v>
      </c>
      <c r="E401" s="6" t="s">
        <v>1152</v>
      </c>
      <c r="F401" s="6" t="str">
        <f>HYPERLINK("http://arkimediagroup.it/","arkimediagroup.it")</f>
        <v>arkimediagroup.it</v>
      </c>
    </row>
    <row r="402" spans="1:6" ht="16.95" customHeight="1" x14ac:dyDescent="0.25">
      <c r="A402" s="5" t="s">
        <v>1196</v>
      </c>
      <c r="B402" s="4" t="s">
        <v>1197</v>
      </c>
      <c r="C402" s="4" t="s">
        <v>1154</v>
      </c>
      <c r="D402" s="4" t="s">
        <v>1170</v>
      </c>
      <c r="E402" s="4" t="s">
        <v>1171</v>
      </c>
      <c r="F402" s="4" t="str">
        <f>HYPERLINK("http://www.tigamaro.it/","www.tigamaro.it")</f>
        <v>www.tigamaro.it</v>
      </c>
    </row>
    <row r="403" spans="1:6" ht="16.95" customHeight="1" x14ac:dyDescent="0.25">
      <c r="A403" s="1" t="s">
        <v>1198</v>
      </c>
      <c r="B403" s="6" t="s">
        <v>1199</v>
      </c>
      <c r="C403" s="6" t="s">
        <v>1162</v>
      </c>
      <c r="D403" s="6" t="s">
        <v>1151</v>
      </c>
      <c r="E403" s="6" t="s">
        <v>1152</v>
      </c>
      <c r="F403" s="6" t="str">
        <f>HYPERLINK("http://www.chiorino.com/","www.chiorino.com")</f>
        <v>www.chiorino.com</v>
      </c>
    </row>
    <row r="404" spans="1:6" ht="16.95" customHeight="1" x14ac:dyDescent="0.25">
      <c r="A404" s="5" t="s">
        <v>1200</v>
      </c>
      <c r="B404" s="4" t="s">
        <v>1201</v>
      </c>
      <c r="C404" s="4" t="s">
        <v>1162</v>
      </c>
      <c r="D404" s="4" t="s">
        <v>1181</v>
      </c>
      <c r="E404" s="4" t="s">
        <v>1182</v>
      </c>
      <c r="F404" s="4" t="str">
        <f>HYPERLINK("http://www.umbertorusso.it/","www.umbertorusso.it")</f>
        <v>www.umbertorusso.it</v>
      </c>
    </row>
    <row r="405" spans="1:6" ht="43.05" customHeight="1" x14ac:dyDescent="0.25">
      <c r="A405" s="5" t="s">
        <v>1202</v>
      </c>
      <c r="B405" s="4" t="s">
        <v>1203</v>
      </c>
      <c r="C405" s="4" t="s">
        <v>1150</v>
      </c>
      <c r="D405" s="4" t="s">
        <v>1204</v>
      </c>
      <c r="E405" s="4" t="s">
        <v>1153</v>
      </c>
      <c r="F405" s="4" t="str">
        <f>HYPERLINK("http://cesaremartinoli.it/","cesaremartinoli.it")</f>
        <v>cesaremartinoli.it</v>
      </c>
    </row>
    <row r="406" spans="1:6" ht="16.95" customHeight="1" x14ac:dyDescent="0.25">
      <c r="A406" s="1" t="s">
        <v>1205</v>
      </c>
      <c r="B406" s="6" t="s">
        <v>1206</v>
      </c>
      <c r="C406" s="6" t="s">
        <v>1162</v>
      </c>
      <c r="D406" s="6" t="s">
        <v>1163</v>
      </c>
      <c r="E406" s="6" t="s">
        <v>1152</v>
      </c>
      <c r="F406" s="6" t="str">
        <f>HYPERLINK("http://fracca.net/","fracca.net")</f>
        <v>fracca.net</v>
      </c>
    </row>
    <row r="407" spans="1:6" ht="16.95" customHeight="1" x14ac:dyDescent="0.25">
      <c r="A407" s="5" t="s">
        <v>1207</v>
      </c>
      <c r="B407" s="4" t="s">
        <v>1208</v>
      </c>
      <c r="C407" s="4" t="s">
        <v>1162</v>
      </c>
      <c r="D407" s="4" t="s">
        <v>1163</v>
      </c>
      <c r="E407" s="4" t="s">
        <v>1152</v>
      </c>
      <c r="F407" s="4" t="str">
        <f>HYPERLINK("http://www.italleathersource.it/","www.italleathersource.it")</f>
        <v>www.italleathersource.it</v>
      </c>
    </row>
    <row r="408" spans="1:6" ht="16.95" customHeight="1" x14ac:dyDescent="0.25">
      <c r="A408" s="1" t="s">
        <v>1209</v>
      </c>
      <c r="B408" s="6" t="s">
        <v>1210</v>
      </c>
      <c r="C408" s="6" t="s">
        <v>1150</v>
      </c>
      <c r="D408" s="6" t="s">
        <v>1211</v>
      </c>
      <c r="E408" s="6" t="s">
        <v>1212</v>
      </c>
      <c r="F408" s="6" t="str">
        <f>HYPERLINK("http://www.2star.it/","www.2star.it")</f>
        <v>www.2star.it</v>
      </c>
    </row>
    <row r="409" spans="1:6" ht="29.55" customHeight="1" x14ac:dyDescent="0.25">
      <c r="A409" s="5" t="s">
        <v>1213</v>
      </c>
      <c r="B409" s="4" t="s">
        <v>1214</v>
      </c>
      <c r="C409" s="4" t="s">
        <v>1150</v>
      </c>
      <c r="D409" s="4" t="s">
        <v>1151</v>
      </c>
      <c r="E409" s="4" t="s">
        <v>1152</v>
      </c>
      <c r="F409" s="4" t="str">
        <f>HYPERLINK("http://www.effetresrl.it/","www.effetresrl.it")</f>
        <v>www.effetresrl.it</v>
      </c>
    </row>
    <row r="410" spans="1:6" ht="16.95" customHeight="1" x14ac:dyDescent="0.25">
      <c r="A410" s="1" t="s">
        <v>1215</v>
      </c>
      <c r="B410" s="6" t="s">
        <v>1216</v>
      </c>
      <c r="C410" s="6" t="s">
        <v>1154</v>
      </c>
      <c r="D410" s="6" t="s">
        <v>1155</v>
      </c>
      <c r="E410" s="6" t="s">
        <v>1156</v>
      </c>
      <c r="F410" s="6" t="str">
        <f>HYPERLINK("http://www.onlyleathersrl.com/","www.onlyleathersrl.com")</f>
        <v>www.onlyleathersrl.com</v>
      </c>
    </row>
    <row r="411" spans="1:6" ht="16.95" customHeight="1" x14ac:dyDescent="0.25">
      <c r="A411" s="5" t="s">
        <v>1217</v>
      </c>
      <c r="B411" s="4" t="s">
        <v>1218</v>
      </c>
      <c r="C411" s="4" t="s">
        <v>1162</v>
      </c>
      <c r="D411" s="4" t="s">
        <v>1185</v>
      </c>
      <c r="E411" s="4" t="s">
        <v>1152</v>
      </c>
      <c r="F411" s="4" t="str">
        <f>HYPERLINK("http://www.jacopellami.it/","www.jacopellami.it")</f>
        <v>www.jacopellami.it</v>
      </c>
    </row>
    <row r="412" spans="1:6" ht="16.95" customHeight="1" x14ac:dyDescent="0.25">
      <c r="A412" s="5" t="s">
        <v>1222</v>
      </c>
      <c r="B412" s="4" t="s">
        <v>1223</v>
      </c>
      <c r="C412" s="4" t="s">
        <v>1219</v>
      </c>
      <c r="D412" s="4" t="s">
        <v>1224</v>
      </c>
      <c r="E412" s="4" t="s">
        <v>1225</v>
      </c>
      <c r="F412" s="4" t="str">
        <f>HYPERLINK("http://www.podartis.it/","www.podartis.it")</f>
        <v>www.podartis.it</v>
      </c>
    </row>
    <row r="413" spans="1:6" ht="16.95" customHeight="1" x14ac:dyDescent="0.25">
      <c r="A413" s="1" t="s">
        <v>1226</v>
      </c>
      <c r="B413" s="6" t="s">
        <v>1227</v>
      </c>
      <c r="C413" s="6" t="s">
        <v>1228</v>
      </c>
      <c r="D413" s="6" t="s">
        <v>1229</v>
      </c>
      <c r="E413" s="6" t="s">
        <v>1230</v>
      </c>
      <c r="F413" s="6" t="str">
        <f>HYPERLINK("http://www.gruppofrangipani.it/","http://www.gruppofrangipani.it")</f>
        <v>http://www.gruppofrangipani.it</v>
      </c>
    </row>
    <row r="414" spans="1:6" ht="16.95" customHeight="1" x14ac:dyDescent="0.25">
      <c r="A414" s="5" t="s">
        <v>1231</v>
      </c>
      <c r="B414" s="4" t="s">
        <v>1232</v>
      </c>
      <c r="C414" s="4" t="s">
        <v>1233</v>
      </c>
      <c r="D414" s="4" t="s">
        <v>1234</v>
      </c>
      <c r="E414" s="4" t="s">
        <v>1225</v>
      </c>
      <c r="F414" s="4" t="str">
        <f>HYPERLINK("http://www.nopeleather.it/","www.nopeleather.it")</f>
        <v>www.nopeleather.it</v>
      </c>
    </row>
    <row r="415" spans="1:6" ht="16.95" customHeight="1" x14ac:dyDescent="0.25">
      <c r="A415" s="1" t="s">
        <v>1235</v>
      </c>
      <c r="B415" s="6" t="s">
        <v>1236</v>
      </c>
      <c r="C415" s="6" t="s">
        <v>1228</v>
      </c>
      <c r="D415" s="6" t="s">
        <v>1237</v>
      </c>
      <c r="E415" s="6" t="s">
        <v>1221</v>
      </c>
      <c r="F415" s="6" t="str">
        <f>HYPERLINK("http://www.mapeltextile.com/","www.mapeltextile.com")</f>
        <v>www.mapeltextile.com</v>
      </c>
    </row>
    <row r="416" spans="1:6" ht="16.95" customHeight="1" x14ac:dyDescent="0.25">
      <c r="A416" s="5" t="s">
        <v>1238</v>
      </c>
      <c r="B416" s="4" t="s">
        <v>1239</v>
      </c>
      <c r="C416" s="4" t="s">
        <v>1233</v>
      </c>
      <c r="D416" s="4" t="s">
        <v>1234</v>
      </c>
      <c r="E416" s="4" t="s">
        <v>1225</v>
      </c>
      <c r="F416" s="4" t="str">
        <f>HYPERLINK("http://www.conceriamarcopolo.com/","www.conceriamarcopolo.com")</f>
        <v>www.conceriamarcopolo.com</v>
      </c>
    </row>
    <row r="417" spans="1:6" ht="16.95" customHeight="1" x14ac:dyDescent="0.25">
      <c r="A417" s="1" t="s">
        <v>1240</v>
      </c>
      <c r="B417" s="6" t="s">
        <v>1241</v>
      </c>
      <c r="C417" s="6" t="s">
        <v>1242</v>
      </c>
      <c r="D417" s="6" t="s">
        <v>1237</v>
      </c>
      <c r="E417" s="6" t="s">
        <v>1221</v>
      </c>
      <c r="F417" s="6" t="str">
        <f>HYPERLINK("http://www.solettificiobiafer.it/","www.solettificiobiafer.it")</f>
        <v>www.solettificiobiafer.it</v>
      </c>
    </row>
    <row r="418" spans="1:6" ht="16.95" customHeight="1" x14ac:dyDescent="0.25">
      <c r="A418" s="1" t="s">
        <v>1243</v>
      </c>
      <c r="B418" s="6" t="s">
        <v>1244</v>
      </c>
      <c r="C418" s="6" t="s">
        <v>1219</v>
      </c>
      <c r="D418" s="6" t="s">
        <v>1245</v>
      </c>
      <c r="E418" s="6" t="s">
        <v>1230</v>
      </c>
      <c r="F418" s="6" t="str">
        <f>HYPERLINK("http://www.suolificiogfg.it/","www.suolificiogfg.it")</f>
        <v>www.suolificiogfg.it</v>
      </c>
    </row>
    <row r="419" spans="1:6" ht="16.95" customHeight="1" x14ac:dyDescent="0.25">
      <c r="A419" s="5" t="s">
        <v>1246</v>
      </c>
      <c r="B419" s="4" t="s">
        <v>1247</v>
      </c>
      <c r="C419" s="4" t="s">
        <v>1233</v>
      </c>
      <c r="D419" s="4" t="s">
        <v>1248</v>
      </c>
      <c r="E419" s="4" t="s">
        <v>1230</v>
      </c>
      <c r="F419" s="4" t="str">
        <f>HYPERLINK("http://www.coripel.it/","www.coripel.it")</f>
        <v>www.coripel.it</v>
      </c>
    </row>
    <row r="420" spans="1:6" ht="16.95" customHeight="1" x14ac:dyDescent="0.25">
      <c r="A420" s="1" t="s">
        <v>1249</v>
      </c>
      <c r="B420" s="6" t="s">
        <v>1250</v>
      </c>
      <c r="C420" s="6" t="s">
        <v>1233</v>
      </c>
      <c r="D420" s="6" t="s">
        <v>1245</v>
      </c>
      <c r="E420" s="6" t="s">
        <v>1230</v>
      </c>
      <c r="F420" s="6" t="str">
        <f>HYPERLINK("http://www.artigiano.it/","www.artigiano.it")</f>
        <v>www.artigiano.it</v>
      </c>
    </row>
    <row r="421" spans="1:6" ht="29.55" customHeight="1" x14ac:dyDescent="0.25">
      <c r="A421" s="5" t="s">
        <v>1251</v>
      </c>
      <c r="B421" s="4" t="s">
        <v>1252</v>
      </c>
      <c r="C421" s="4" t="s">
        <v>1219</v>
      </c>
      <c r="D421" s="4" t="s">
        <v>1253</v>
      </c>
      <c r="E421" s="4" t="s">
        <v>1254</v>
      </c>
      <c r="F421" s="4" t="str">
        <f>HYPERLINK("http://www.fabiani.com/","http://www.fabiani.com")</f>
        <v>http://www.fabiani.com</v>
      </c>
    </row>
    <row r="422" spans="1:6" ht="68.099999999999994" customHeight="1" x14ac:dyDescent="0.25">
      <c r="A422" s="1" t="s">
        <v>1255</v>
      </c>
      <c r="B422" s="6" t="s">
        <v>1256</v>
      </c>
      <c r="C422" s="6" t="s">
        <v>1233</v>
      </c>
      <c r="D422" s="6" t="s">
        <v>1220</v>
      </c>
      <c r="E422" s="6" t="s">
        <v>1221</v>
      </c>
      <c r="F422" s="6" t="str">
        <f>HYPERLINK("http://www.conceriavignola.it/","www.conceriavignola.it")</f>
        <v>www.conceriavignola.it</v>
      </c>
    </row>
    <row r="423" spans="1:6" ht="16.95" customHeight="1" x14ac:dyDescent="0.25">
      <c r="A423" s="1" t="s">
        <v>1257</v>
      </c>
      <c r="B423" s="6" t="s">
        <v>1258</v>
      </c>
      <c r="C423" s="6" t="s">
        <v>1219</v>
      </c>
      <c r="D423" s="6" t="s">
        <v>1259</v>
      </c>
      <c r="E423" s="6" t="s">
        <v>1260</v>
      </c>
      <c r="F423" s="6" t="str">
        <f>HYPERLINK("http://www.calzaturelotti.it/","www.calzaturelotti.it")</f>
        <v>www.calzaturelotti.it</v>
      </c>
    </row>
    <row r="424" spans="1:6" ht="16.95" customHeight="1" x14ac:dyDescent="0.25">
      <c r="A424" s="5" t="s">
        <v>1261</v>
      </c>
      <c r="B424" s="4" t="s">
        <v>1262</v>
      </c>
      <c r="C424" s="4" t="s">
        <v>1228</v>
      </c>
      <c r="D424" s="4" t="s">
        <v>1248</v>
      </c>
      <c r="E424" s="4" t="s">
        <v>1230</v>
      </c>
      <c r="F424" s="4" t="str">
        <f>HYPERLINK("http://www.ginoferruzzi.it/","www.ginoferruzzi.it")</f>
        <v>www.ginoferruzzi.it</v>
      </c>
    </row>
    <row r="425" spans="1:6" ht="16.95" customHeight="1" x14ac:dyDescent="0.25">
      <c r="A425" s="1" t="s">
        <v>1263</v>
      </c>
      <c r="B425" s="6" t="s">
        <v>1264</v>
      </c>
      <c r="C425" s="6" t="s">
        <v>1265</v>
      </c>
      <c r="D425" s="6" t="s">
        <v>1266</v>
      </c>
      <c r="E425" s="6" t="s">
        <v>1267</v>
      </c>
      <c r="F425" s="6" t="str">
        <f>HYPERLINK("http://www.parisinipelletterie.com/","www.parisinipelletterie.com")</f>
        <v>www.parisinipelletterie.com</v>
      </c>
    </row>
    <row r="426" spans="1:6" ht="16.95" customHeight="1" x14ac:dyDescent="0.25">
      <c r="A426" s="5" t="s">
        <v>1268</v>
      </c>
      <c r="B426" s="4" t="s">
        <v>1269</v>
      </c>
      <c r="C426" s="4" t="s">
        <v>1242</v>
      </c>
      <c r="D426" s="4" t="s">
        <v>1270</v>
      </c>
      <c r="E426" s="4" t="s">
        <v>1230</v>
      </c>
      <c r="F426" s="4" t="str">
        <f>HYPERLINK("http://www.bmsrl.info/","www.bmsrl.info")</f>
        <v>www.bmsrl.info</v>
      </c>
    </row>
    <row r="427" spans="1:6" ht="16.95" customHeight="1" x14ac:dyDescent="0.25">
      <c r="A427" s="1" t="s">
        <v>1271</v>
      </c>
      <c r="B427" s="6" t="s">
        <v>1272</v>
      </c>
      <c r="C427" s="6" t="s">
        <v>1233</v>
      </c>
      <c r="D427" s="6" t="s">
        <v>1245</v>
      </c>
      <c r="E427" s="6" t="s">
        <v>1230</v>
      </c>
      <c r="F427" s="6" t="str">
        <f>HYPERLINK("http://www.conceriaenterprise.it/","http://www.conceriaenterprise.it")</f>
        <v>http://www.conceriaenterprise.it</v>
      </c>
    </row>
    <row r="428" spans="1:6" ht="16.95" customHeight="1" x14ac:dyDescent="0.25">
      <c r="A428" s="1" t="s">
        <v>1273</v>
      </c>
      <c r="B428" s="6" t="s">
        <v>1274</v>
      </c>
      <c r="C428" s="6" t="s">
        <v>1233</v>
      </c>
      <c r="D428" s="6" t="s">
        <v>1234</v>
      </c>
      <c r="E428" s="6" t="s">
        <v>1225</v>
      </c>
      <c r="F428" s="6" t="str">
        <f>HYPERLINK("http://www.giduepellami.com/","www.giduepellami.com")</f>
        <v>www.giduepellami.com</v>
      </c>
    </row>
    <row r="429" spans="1:6" ht="16.95" customHeight="1" x14ac:dyDescent="0.25">
      <c r="A429" s="1" t="s">
        <v>1275</v>
      </c>
      <c r="B429" s="6" t="s">
        <v>1276</v>
      </c>
      <c r="C429" s="6" t="s">
        <v>1242</v>
      </c>
      <c r="D429" s="6" t="s">
        <v>1277</v>
      </c>
      <c r="E429" s="6" t="s">
        <v>1225</v>
      </c>
      <c r="F429" s="6" t="str">
        <f>HYPERLINK("http://www.italbordi.com/","www.italbordi.com")</f>
        <v>www.italbordi.com</v>
      </c>
    </row>
    <row r="430" spans="1:6" ht="16.95" customHeight="1" x14ac:dyDescent="0.25">
      <c r="A430" s="1" t="s">
        <v>1278</v>
      </c>
      <c r="B430" s="6" t="s">
        <v>1279</v>
      </c>
      <c r="C430" s="6" t="s">
        <v>1242</v>
      </c>
      <c r="D430" s="6" t="s">
        <v>1280</v>
      </c>
      <c r="E430" s="6" t="s">
        <v>1225</v>
      </c>
      <c r="F430" s="6" t="str">
        <f>HYPERLINK("http://www.delbrenta.com/","www.delbrenta.com")</f>
        <v>www.delbrenta.com</v>
      </c>
    </row>
    <row r="431" spans="1:6" ht="16.95" customHeight="1" x14ac:dyDescent="0.25">
      <c r="A431" s="5" t="s">
        <v>1281</v>
      </c>
      <c r="B431" s="4" t="s">
        <v>1282</v>
      </c>
      <c r="C431" s="4" t="s">
        <v>1228</v>
      </c>
      <c r="D431" s="4" t="s">
        <v>1245</v>
      </c>
      <c r="E431" s="4" t="s">
        <v>1230</v>
      </c>
      <c r="F431" s="4" t="str">
        <f>HYPERLINK("http://vegaholster.com/","vegaholster.com")</f>
        <v>vegaholster.com</v>
      </c>
    </row>
    <row r="432" spans="1:6" ht="16.95" customHeight="1" x14ac:dyDescent="0.25">
      <c r="A432" s="1" t="s">
        <v>1283</v>
      </c>
      <c r="B432" s="6" t="s">
        <v>1284</v>
      </c>
      <c r="C432" s="6" t="s">
        <v>1228</v>
      </c>
      <c r="D432" s="6" t="s">
        <v>1234</v>
      </c>
      <c r="E432" s="6" t="s">
        <v>1225</v>
      </c>
      <c r="F432" s="6" t="str">
        <f>HYPERLINK("http://www.plaber.it/","www.plaber.it")</f>
        <v>www.plaber.it</v>
      </c>
    </row>
    <row r="433" spans="1:6" ht="16.95" customHeight="1" x14ac:dyDescent="0.25">
      <c r="A433" s="5" t="s">
        <v>1285</v>
      </c>
      <c r="B433" s="4" t="s">
        <v>1286</v>
      </c>
      <c r="C433" s="4" t="s">
        <v>1233</v>
      </c>
      <c r="D433" s="4" t="s">
        <v>1234</v>
      </c>
      <c r="E433" s="4" t="s">
        <v>1225</v>
      </c>
      <c r="F433" s="4" t="str">
        <f>HYPERLINK("http://www.marleather.com/","www.marleather.com")</f>
        <v>www.marleather.com</v>
      </c>
    </row>
    <row r="434" spans="1:6" ht="29.55" customHeight="1" x14ac:dyDescent="0.25">
      <c r="A434" s="5" t="s">
        <v>1287</v>
      </c>
      <c r="B434" s="4" t="s">
        <v>1288</v>
      </c>
      <c r="C434" s="4" t="s">
        <v>1233</v>
      </c>
      <c r="D434" s="4" t="s">
        <v>1289</v>
      </c>
      <c r="E434" s="4" t="s">
        <v>1290</v>
      </c>
      <c r="F434" s="4" t="str">
        <f>HYPERLINK("http://www.flliguarino.it/","www.flliguarino.it")</f>
        <v>www.flliguarino.it</v>
      </c>
    </row>
    <row r="435" spans="1:6" ht="16.95" customHeight="1" x14ac:dyDescent="0.25">
      <c r="A435" s="1" t="s">
        <v>1291</v>
      </c>
      <c r="B435" s="6" t="s">
        <v>1292</v>
      </c>
      <c r="C435" s="6" t="s">
        <v>1242</v>
      </c>
      <c r="D435" s="6" t="s">
        <v>1293</v>
      </c>
      <c r="E435" s="6" t="s">
        <v>1225</v>
      </c>
      <c r="F435" s="6" t="str">
        <f>HYPERLINK("http://www.spac.it/","http://www.spac.it")</f>
        <v>http://www.spac.it</v>
      </c>
    </row>
    <row r="436" spans="1:6" ht="16.95" customHeight="1" x14ac:dyDescent="0.25">
      <c r="A436" s="5" t="s">
        <v>1294</v>
      </c>
      <c r="B436" s="4" t="s">
        <v>1295</v>
      </c>
      <c r="C436" s="4" t="s">
        <v>1219</v>
      </c>
      <c r="D436" s="4" t="s">
        <v>1277</v>
      </c>
      <c r="E436" s="4" t="s">
        <v>1225</v>
      </c>
      <c r="F436" s="4" t="str">
        <f>HYPERLINK("http://www.peronshoes.it/","www.peronshoes.it")</f>
        <v>www.peronshoes.it</v>
      </c>
    </row>
    <row r="437" spans="1:6" ht="16.95" customHeight="1" x14ac:dyDescent="0.25">
      <c r="A437" s="1" t="s">
        <v>1296</v>
      </c>
      <c r="B437" s="6" t="s">
        <v>1297</v>
      </c>
      <c r="C437" s="6" t="s">
        <v>1298</v>
      </c>
      <c r="D437" s="6" t="s">
        <v>1299</v>
      </c>
      <c r="E437" s="6" t="s">
        <v>1300</v>
      </c>
      <c r="F437" s="6" t="str">
        <f>HYPERLINK("http://www.calba.it/","http://www.calba.it")</f>
        <v>http://www.calba.it</v>
      </c>
    </row>
    <row r="438" spans="1:6" ht="16.95" customHeight="1" x14ac:dyDescent="0.25">
      <c r="A438" s="5" t="s">
        <v>1301</v>
      </c>
      <c r="B438" s="4" t="s">
        <v>1302</v>
      </c>
      <c r="C438" s="4" t="s">
        <v>1298</v>
      </c>
      <c r="D438" s="4" t="s">
        <v>1303</v>
      </c>
      <c r="E438" s="4" t="s">
        <v>1304</v>
      </c>
      <c r="F438" s="4" t="str">
        <f>HYPERLINK("http://www.searchndesign.com/","www.searchndesign.com")</f>
        <v>www.searchndesign.com</v>
      </c>
    </row>
    <row r="439" spans="1:6" ht="16.95" customHeight="1" x14ac:dyDescent="0.25">
      <c r="A439" s="1" t="s">
        <v>1305</v>
      </c>
      <c r="B439" s="6" t="s">
        <v>1306</v>
      </c>
      <c r="C439" s="6" t="s">
        <v>1298</v>
      </c>
      <c r="D439" s="6" t="s">
        <v>1307</v>
      </c>
      <c r="E439" s="6" t="s">
        <v>1308</v>
      </c>
      <c r="F439" s="6" t="str">
        <f>HYPERLINK("http://www.albano.it/","www.albano.it")</f>
        <v>www.albano.it</v>
      </c>
    </row>
    <row r="440" spans="1:6" ht="16.95" customHeight="1" x14ac:dyDescent="0.25">
      <c r="A440" s="5" t="s">
        <v>1309</v>
      </c>
      <c r="B440" s="4" t="s">
        <v>1310</v>
      </c>
      <c r="C440" s="4" t="s">
        <v>1311</v>
      </c>
      <c r="D440" s="4" t="s">
        <v>1312</v>
      </c>
      <c r="E440" s="4" t="s">
        <v>1313</v>
      </c>
      <c r="F440" s="4" t="str">
        <f>HYPERLINK("http://www.asgint.com/","www.asgint.com")</f>
        <v>www.asgint.com</v>
      </c>
    </row>
    <row r="441" spans="1:6" ht="29.55" customHeight="1" x14ac:dyDescent="0.25">
      <c r="A441" s="1" t="s">
        <v>1314</v>
      </c>
      <c r="B441" s="6" t="s">
        <v>1315</v>
      </c>
      <c r="C441" s="6" t="s">
        <v>1316</v>
      </c>
      <c r="D441" s="6" t="s">
        <v>1317</v>
      </c>
      <c r="E441" s="6" t="s">
        <v>1318</v>
      </c>
      <c r="F441" s="6" t="str">
        <f>HYPERLINK("http://www.calzaturificiomartini.it/","www.calzaturificiomartini.it")</f>
        <v>www.calzaturificiomartini.it</v>
      </c>
    </row>
    <row r="442" spans="1:6" ht="29.55" customHeight="1" x14ac:dyDescent="0.25">
      <c r="A442" s="1" t="s">
        <v>1321</v>
      </c>
      <c r="B442" s="6" t="s">
        <v>1322</v>
      </c>
      <c r="C442" s="6" t="s">
        <v>1323</v>
      </c>
      <c r="D442" s="6" t="s">
        <v>1324</v>
      </c>
      <c r="E442" s="6" t="s">
        <v>1320</v>
      </c>
      <c r="F442" s="6" t="str">
        <f>HYPERLINK("http://www.calzaturificiofratellivanni.it/","www.calzaturificiofratellivanni.it")</f>
        <v>www.calzaturificiofratellivanni.it</v>
      </c>
    </row>
    <row r="443" spans="1:6" ht="16.95" customHeight="1" x14ac:dyDescent="0.25">
      <c r="A443" s="5" t="s">
        <v>1325</v>
      </c>
      <c r="B443" s="4" t="s">
        <v>1326</v>
      </c>
      <c r="C443" s="4" t="s">
        <v>1311</v>
      </c>
      <c r="D443" s="4" t="s">
        <v>1319</v>
      </c>
      <c r="E443" s="4" t="s">
        <v>1320</v>
      </c>
      <c r="F443" s="4" t="str">
        <f>HYPERLINK("http://www.pell-pam.it/","www.pell-pam.it")</f>
        <v>www.pell-pam.it</v>
      </c>
    </row>
    <row r="444" spans="1:6" ht="29.55" customHeight="1" x14ac:dyDescent="0.25">
      <c r="A444" s="5" t="s">
        <v>1328</v>
      </c>
      <c r="B444" s="4" t="s">
        <v>1329</v>
      </c>
      <c r="C444" s="4" t="s">
        <v>1298</v>
      </c>
      <c r="D444" s="4" t="s">
        <v>1330</v>
      </c>
      <c r="E444" s="4" t="s">
        <v>1320</v>
      </c>
      <c r="F444" s="4" t="str">
        <f>HYPERLINK("http://www.sturlini.com/","www.sturlini.com")</f>
        <v>www.sturlini.com</v>
      </c>
    </row>
    <row r="445" spans="1:6" ht="16.95" customHeight="1" x14ac:dyDescent="0.25">
      <c r="A445" s="1" t="s">
        <v>1331</v>
      </c>
      <c r="B445" s="6" t="s">
        <v>1332</v>
      </c>
      <c r="C445" s="6" t="s">
        <v>1311</v>
      </c>
      <c r="D445" s="6" t="s">
        <v>1319</v>
      </c>
      <c r="E445" s="6" t="s">
        <v>1320</v>
      </c>
      <c r="F445" s="6" t="str">
        <f>HYPERLINK("http://minobossi.it/","minobossi.it")</f>
        <v>minobossi.it</v>
      </c>
    </row>
    <row r="446" spans="1:6" ht="16.95" customHeight="1" x14ac:dyDescent="0.25">
      <c r="A446" s="5" t="s">
        <v>1333</v>
      </c>
      <c r="B446" s="4" t="s">
        <v>1334</v>
      </c>
      <c r="C446" s="4" t="s">
        <v>1298</v>
      </c>
      <c r="D446" s="4" t="s">
        <v>1335</v>
      </c>
      <c r="E446" s="4" t="s">
        <v>1300</v>
      </c>
      <c r="F446" s="4" t="str">
        <f>HYPERLINK("http://www.villagroup.net/","www.villagroup.net")</f>
        <v>www.villagroup.net</v>
      </c>
    </row>
    <row r="447" spans="1:6" ht="29.55" customHeight="1" x14ac:dyDescent="0.25">
      <c r="A447" s="1" t="s">
        <v>1336</v>
      </c>
      <c r="B447" s="6" t="s">
        <v>1337</v>
      </c>
      <c r="C447" s="6" t="s">
        <v>1323</v>
      </c>
      <c r="D447" s="6" t="s">
        <v>1338</v>
      </c>
      <c r="E447" s="6" t="s">
        <v>1304</v>
      </c>
      <c r="F447" s="6" t="str">
        <f>HYPERLINK("http://www.portlands.it/","www.portlands.it")</f>
        <v>www.portlands.it</v>
      </c>
    </row>
    <row r="448" spans="1:6" ht="29.55" customHeight="1" x14ac:dyDescent="0.25">
      <c r="A448" s="5" t="s">
        <v>1339</v>
      </c>
      <c r="B448" s="4" t="s">
        <v>1340</v>
      </c>
      <c r="C448" s="4" t="s">
        <v>1327</v>
      </c>
      <c r="D448" s="4" t="s">
        <v>1324</v>
      </c>
      <c r="E448" s="4" t="s">
        <v>1320</v>
      </c>
      <c r="F448" s="4" t="str">
        <f>HYPERLINK("http://www.martinipio.it/","http://www.martinipio.it")</f>
        <v>http://www.martinipio.it</v>
      </c>
    </row>
    <row r="449" spans="1:6" ht="29.55" customHeight="1" x14ac:dyDescent="0.25">
      <c r="A449" s="5" t="s">
        <v>1341</v>
      </c>
      <c r="B449" s="4" t="s">
        <v>1342</v>
      </c>
      <c r="C449" s="4" t="s">
        <v>1298</v>
      </c>
      <c r="D449" s="4" t="s">
        <v>1343</v>
      </c>
      <c r="E449" s="4" t="s">
        <v>1308</v>
      </c>
      <c r="F449" s="4" t="str">
        <f>HYPERLINK("http://www.lewer.it/","www.lewer.it")</f>
        <v>www.lewer.it</v>
      </c>
    </row>
    <row r="450" spans="1:6" ht="29.55" customHeight="1" x14ac:dyDescent="0.25">
      <c r="A450" s="1" t="s">
        <v>1344</v>
      </c>
      <c r="B450" s="6" t="s">
        <v>1345</v>
      </c>
      <c r="C450" s="6" t="s">
        <v>1298</v>
      </c>
      <c r="D450" s="6" t="s">
        <v>1324</v>
      </c>
      <c r="E450" s="6" t="s">
        <v>1320</v>
      </c>
      <c r="F450" s="6" t="str">
        <f>HYPERLINK("http://www.calzaturificioambra.it/","www.calzaturificioambra.it")</f>
        <v>www.calzaturificioambra.it</v>
      </c>
    </row>
    <row r="451" spans="1:6" ht="16.95" customHeight="1" x14ac:dyDescent="0.25">
      <c r="A451" s="5" t="s">
        <v>1346</v>
      </c>
      <c r="B451" s="4" t="s">
        <v>1347</v>
      </c>
      <c r="C451" s="4" t="s">
        <v>1316</v>
      </c>
      <c r="D451" s="4" t="s">
        <v>1303</v>
      </c>
      <c r="E451" s="4" t="s">
        <v>1304</v>
      </c>
      <c r="F451" s="4" t="str">
        <f>HYPERLINK("http://eddyricami.it/","eddyricami.it")</f>
        <v>eddyricami.it</v>
      </c>
    </row>
    <row r="452" spans="1:6" ht="16.95" customHeight="1" x14ac:dyDescent="0.25">
      <c r="A452" s="1" t="s">
        <v>1348</v>
      </c>
      <c r="B452" s="6" t="s">
        <v>1349</v>
      </c>
      <c r="C452" s="6" t="s">
        <v>1327</v>
      </c>
      <c r="D452" s="6" t="s">
        <v>1324</v>
      </c>
      <c r="E452" s="6" t="s">
        <v>1320</v>
      </c>
      <c r="F452" s="6" t="str">
        <f>HYPERLINK("http://www.laquerce.it/","www.laquerce.it")</f>
        <v>www.laquerce.it</v>
      </c>
    </row>
    <row r="453" spans="1:6" ht="29.55" customHeight="1" x14ac:dyDescent="0.25">
      <c r="A453" s="5" t="s">
        <v>1350</v>
      </c>
      <c r="B453" s="4" t="s">
        <v>1351</v>
      </c>
      <c r="C453" s="4" t="s">
        <v>1298</v>
      </c>
      <c r="D453" s="4" t="s">
        <v>1319</v>
      </c>
      <c r="E453" s="4" t="s">
        <v>1320</v>
      </c>
      <c r="F453" s="4" t="str">
        <f>HYPERLINK("http://www.calzcarisma.com/","www.calzcarisma.com")</f>
        <v>www.calzcarisma.com</v>
      </c>
    </row>
    <row r="454" spans="1:6" ht="16.95" customHeight="1" x14ac:dyDescent="0.25">
      <c r="A454" s="5" t="s">
        <v>1352</v>
      </c>
      <c r="B454" s="4" t="s">
        <v>1353</v>
      </c>
      <c r="C454" s="4" t="s">
        <v>1298</v>
      </c>
      <c r="D454" s="4" t="s">
        <v>1303</v>
      </c>
      <c r="E454" s="4" t="s">
        <v>1304</v>
      </c>
      <c r="F454" s="4" t="str">
        <f>HYPERLINK("http://romagnoli.com/","romagnoli.com")</f>
        <v>romagnoli.com</v>
      </c>
    </row>
    <row r="455" spans="1:6" ht="29.55" customHeight="1" x14ac:dyDescent="0.25">
      <c r="A455" s="1" t="s">
        <v>1354</v>
      </c>
      <c r="B455" s="6" t="s">
        <v>1355</v>
      </c>
      <c r="C455" s="6" t="s">
        <v>1327</v>
      </c>
      <c r="D455" s="6" t="s">
        <v>1324</v>
      </c>
      <c r="E455" s="6" t="s">
        <v>1320</v>
      </c>
      <c r="F455" s="6" t="str">
        <f>HYPERLINK("http://www.lesrivesconceria.it/","www.lesrivesconceria.it")</f>
        <v>www.lesrivesconceria.it</v>
      </c>
    </row>
    <row r="456" spans="1:6" ht="16.95" customHeight="1" x14ac:dyDescent="0.25">
      <c r="A456" s="1" t="s">
        <v>1357</v>
      </c>
      <c r="B456" s="6" t="s">
        <v>1358</v>
      </c>
      <c r="C456" s="6" t="s">
        <v>1298</v>
      </c>
      <c r="D456" s="6" t="s">
        <v>1359</v>
      </c>
      <c r="E456" s="6" t="s">
        <v>1360</v>
      </c>
      <c r="F456" s="6" t="str">
        <f>HYPERLINK("http://www.calzaturificiomgt.com/","http://www.calzaturificiomgt.com")</f>
        <v>http://www.calzaturificiomgt.com</v>
      </c>
    </row>
    <row r="457" spans="1:6" ht="16.95" customHeight="1" x14ac:dyDescent="0.25">
      <c r="A457" s="5" t="s">
        <v>1361</v>
      </c>
      <c r="B457" s="4" t="s">
        <v>1362</v>
      </c>
      <c r="C457" s="4" t="s">
        <v>1327</v>
      </c>
      <c r="D457" s="4" t="s">
        <v>1324</v>
      </c>
      <c r="E457" s="4" t="s">
        <v>1320</v>
      </c>
      <c r="F457" s="4" t="str">
        <f>HYPERLINK("http://www.orice.com/","www.orice.com")</f>
        <v>www.orice.com</v>
      </c>
    </row>
    <row r="458" spans="1:6" ht="29.55" customHeight="1" x14ac:dyDescent="0.25">
      <c r="A458" s="1" t="s">
        <v>1363</v>
      </c>
      <c r="B458" s="6" t="s">
        <v>1364</v>
      </c>
      <c r="C458" s="6" t="s">
        <v>1316</v>
      </c>
      <c r="D458" s="6" t="s">
        <v>1356</v>
      </c>
      <c r="E458" s="6" t="s">
        <v>1300</v>
      </c>
      <c r="F458" s="6" t="str">
        <f>HYPERLINK("http://tvcgroup.it/","tvcgroup.it")</f>
        <v>tvcgroup.it</v>
      </c>
    </row>
    <row r="459" spans="1:6" ht="16.95" customHeight="1" x14ac:dyDescent="0.25">
      <c r="A459" s="1" t="s">
        <v>1365</v>
      </c>
      <c r="B459" s="6" t="s">
        <v>1366</v>
      </c>
      <c r="C459" s="6" t="s">
        <v>1367</v>
      </c>
      <c r="D459" s="6" t="s">
        <v>1368</v>
      </c>
      <c r="E459" s="6" t="s">
        <v>1369</v>
      </c>
      <c r="F459" s="6" t="str">
        <f>HYPERLINK("http://www.calzaturificiovictor.it/","www.calzaturificiovictor.it")</f>
        <v>www.calzaturificiovictor.it</v>
      </c>
    </row>
    <row r="460" spans="1:6" ht="16.95" customHeight="1" x14ac:dyDescent="0.25">
      <c r="A460" s="5" t="s">
        <v>1370</v>
      </c>
      <c r="B460" s="4" t="s">
        <v>1371</v>
      </c>
      <c r="C460" s="4" t="s">
        <v>1372</v>
      </c>
      <c r="D460" s="4" t="s">
        <v>1373</v>
      </c>
      <c r="E460" s="4" t="s">
        <v>1374</v>
      </c>
      <c r="F460" s="4" t="str">
        <f>HYPERLINK("http://valleesina.it/","valleesina.it")</f>
        <v>valleesina.it</v>
      </c>
    </row>
    <row r="461" spans="1:6" ht="29.55" customHeight="1" x14ac:dyDescent="0.25">
      <c r="A461" s="1" t="s">
        <v>1375</v>
      </c>
      <c r="B461" s="6" t="s">
        <v>1376</v>
      </c>
      <c r="C461" s="6" t="s">
        <v>1377</v>
      </c>
      <c r="D461" s="6" t="s">
        <v>1378</v>
      </c>
      <c r="E461" s="6" t="s">
        <v>1379</v>
      </c>
      <c r="F461" s="6" t="str">
        <f>HYPERLINK("http://www.esseutesse.it/","www.esseutesse.it")</f>
        <v>www.esseutesse.it</v>
      </c>
    </row>
    <row r="462" spans="1:6" ht="16.95" customHeight="1" x14ac:dyDescent="0.25">
      <c r="A462" s="5" t="s">
        <v>1380</v>
      </c>
      <c r="B462" s="4" t="s">
        <v>1381</v>
      </c>
      <c r="C462" s="4" t="s">
        <v>1382</v>
      </c>
      <c r="D462" s="4" t="s">
        <v>1383</v>
      </c>
      <c r="E462" s="4" t="s">
        <v>1369</v>
      </c>
      <c r="F462" s="4" t="str">
        <f>HYPERLINK("http://tacchificiopienne.it/","tacchificiopienne.it")</f>
        <v>tacchificiopienne.it</v>
      </c>
    </row>
    <row r="463" spans="1:6" ht="16.95" customHeight="1" x14ac:dyDescent="0.25">
      <c r="A463" s="5" t="s">
        <v>1384</v>
      </c>
      <c r="B463" s="4" t="s">
        <v>1385</v>
      </c>
      <c r="C463" s="4" t="s">
        <v>1377</v>
      </c>
      <c r="D463" s="4" t="s">
        <v>1386</v>
      </c>
      <c r="E463" s="4" t="s">
        <v>1379</v>
      </c>
      <c r="F463" s="4" t="str">
        <f>HYPERLINK("http://www.beltsystem.it/","www.beltsystem.it")</f>
        <v>www.beltsystem.it</v>
      </c>
    </row>
    <row r="464" spans="1:6" ht="16.95" customHeight="1" x14ac:dyDescent="0.25">
      <c r="A464" s="1" t="s">
        <v>1387</v>
      </c>
      <c r="B464" s="6" t="s">
        <v>1388</v>
      </c>
      <c r="C464" s="6" t="s">
        <v>1372</v>
      </c>
      <c r="D464" s="6" t="s">
        <v>1389</v>
      </c>
      <c r="E464" s="6" t="s">
        <v>1379</v>
      </c>
      <c r="F464" s="6" t="str">
        <f>HYPERLINK("http://conceriajolly.it/","conceriajolly.it")</f>
        <v>conceriajolly.it</v>
      </c>
    </row>
    <row r="465" spans="1:6" ht="16.95" customHeight="1" x14ac:dyDescent="0.25">
      <c r="A465" s="1" t="s">
        <v>1393</v>
      </c>
      <c r="B465" s="6" t="s">
        <v>1394</v>
      </c>
      <c r="C465" s="6" t="s">
        <v>1390</v>
      </c>
      <c r="D465" s="6" t="s">
        <v>1395</v>
      </c>
      <c r="E465" s="6" t="s">
        <v>1396</v>
      </c>
      <c r="F465" s="6" t="str">
        <f>HYPERLINK("http://www.lunatikabags.it/","http://www.lunatikabags.it")</f>
        <v>http://www.lunatikabags.it</v>
      </c>
    </row>
    <row r="466" spans="1:6" ht="16.95" customHeight="1" x14ac:dyDescent="0.25">
      <c r="A466" s="5" t="s">
        <v>1397</v>
      </c>
      <c r="B466" s="4" t="s">
        <v>1398</v>
      </c>
      <c r="C466" s="4" t="s">
        <v>1390</v>
      </c>
      <c r="D466" s="4" t="s">
        <v>1399</v>
      </c>
      <c r="E466" s="4" t="s">
        <v>1400</v>
      </c>
      <c r="F466" s="4" t="str">
        <f>HYPERLINK("http://www.principe.it/","www.principe.it")</f>
        <v>www.principe.it</v>
      </c>
    </row>
    <row r="467" spans="1:6" ht="29.55" customHeight="1" x14ac:dyDescent="0.25">
      <c r="A467" s="1" t="s">
        <v>1401</v>
      </c>
      <c r="B467" s="6" t="s">
        <v>1402</v>
      </c>
      <c r="C467" s="6" t="s">
        <v>1372</v>
      </c>
      <c r="D467" s="6" t="s">
        <v>1389</v>
      </c>
      <c r="E467" s="6" t="s">
        <v>1379</v>
      </c>
      <c r="F467" s="6" t="str">
        <f>HYPERLINK("http://www.concerialomar.it/","www.concerialomar.it")</f>
        <v>www.concerialomar.it</v>
      </c>
    </row>
    <row r="468" spans="1:6" ht="29.55" customHeight="1" x14ac:dyDescent="0.25">
      <c r="A468" s="5" t="s">
        <v>1403</v>
      </c>
      <c r="B468" s="4" t="s">
        <v>1404</v>
      </c>
      <c r="C468" s="4" t="s">
        <v>1377</v>
      </c>
      <c r="D468" s="4" t="s">
        <v>1405</v>
      </c>
      <c r="E468" s="4" t="s">
        <v>1379</v>
      </c>
      <c r="F468" s="4" t="str">
        <f>HYPERLINK("http://www.lm-michielon.com/","www.lm-michielon.com")</f>
        <v>www.lm-michielon.com</v>
      </c>
    </row>
    <row r="469" spans="1:6" ht="16.95" customHeight="1" x14ac:dyDescent="0.25">
      <c r="A469" s="1" t="s">
        <v>1406</v>
      </c>
      <c r="B469" s="6" t="s">
        <v>1407</v>
      </c>
      <c r="C469" s="6" t="s">
        <v>1382</v>
      </c>
      <c r="D469" s="6" t="s">
        <v>1373</v>
      </c>
      <c r="E469" s="6" t="s">
        <v>1374</v>
      </c>
      <c r="F469" s="6" t="str">
        <f>HYPERLINK("http://moma.it/","moma.it")</f>
        <v>moma.it</v>
      </c>
    </row>
    <row r="470" spans="1:6" ht="16.95" customHeight="1" x14ac:dyDescent="0.25">
      <c r="A470" s="5" t="s">
        <v>1408</v>
      </c>
      <c r="B470" s="4" t="s">
        <v>1409</v>
      </c>
      <c r="C470" s="4" t="s">
        <v>1390</v>
      </c>
      <c r="D470" s="4" t="s">
        <v>1368</v>
      </c>
      <c r="E470" s="4" t="s">
        <v>1369</v>
      </c>
      <c r="F470" s="4" t="str">
        <f>HYPERLINK("http://www.3cpelletterie.it/","http://www.3cpelletterie.it")</f>
        <v>http://www.3cpelletterie.it</v>
      </c>
    </row>
    <row r="471" spans="1:6" ht="29.55" customHeight="1" x14ac:dyDescent="0.25">
      <c r="A471" s="1" t="s">
        <v>1410</v>
      </c>
      <c r="B471" s="6" t="s">
        <v>1411</v>
      </c>
      <c r="C471" s="6" t="s">
        <v>1372</v>
      </c>
      <c r="D471" s="6" t="s">
        <v>1389</v>
      </c>
      <c r="E471" s="6" t="s">
        <v>1379</v>
      </c>
      <c r="F471" s="6" t="str">
        <f>HYPERLINK("http://www.industriaconciariamontorso.com/","www.industriaconciariamontorso.com")</f>
        <v>www.industriaconciariamontorso.com</v>
      </c>
    </row>
    <row r="472" spans="1:6" ht="16.95" customHeight="1" x14ac:dyDescent="0.25">
      <c r="A472" s="5" t="s">
        <v>1412</v>
      </c>
      <c r="B472" s="4" t="s">
        <v>1413</v>
      </c>
      <c r="C472" s="4" t="s">
        <v>1372</v>
      </c>
      <c r="D472" s="4" t="s">
        <v>1414</v>
      </c>
      <c r="E472" s="4" t="s">
        <v>1369</v>
      </c>
      <c r="F472" s="4" t="str">
        <f>HYPERLINK("http://www.selispa.it/","www.selispa.it")</f>
        <v>www.selispa.it</v>
      </c>
    </row>
    <row r="473" spans="1:6" ht="16.95" customHeight="1" x14ac:dyDescent="0.25">
      <c r="A473" s="1" t="s">
        <v>1415</v>
      </c>
      <c r="B473" s="6" t="s">
        <v>1416</v>
      </c>
      <c r="C473" s="6" t="s">
        <v>1377</v>
      </c>
      <c r="D473" s="6" t="s">
        <v>1417</v>
      </c>
      <c r="E473" s="6" t="s">
        <v>1400</v>
      </c>
      <c r="F473" s="6" t="str">
        <f>HYPERLINK("https://calzaturesolazzo.it/","https://calzaturesolazzo.it")</f>
        <v>https://calzaturesolazzo.it</v>
      </c>
    </row>
    <row r="474" spans="1:6" ht="16.95" customHeight="1" x14ac:dyDescent="0.25">
      <c r="A474" s="5" t="s">
        <v>1418</v>
      </c>
      <c r="B474" s="4" t="s">
        <v>1419</v>
      </c>
      <c r="C474" s="4" t="s">
        <v>1377</v>
      </c>
      <c r="D474" s="4" t="s">
        <v>1420</v>
      </c>
      <c r="E474" s="4" t="s">
        <v>1421</v>
      </c>
      <c r="F474" s="4" t="str">
        <f>HYPERLINK("http://www.soledan.191.it/","www.soledan.191.it")</f>
        <v>www.soledan.191.it</v>
      </c>
    </row>
    <row r="475" spans="1:6" ht="16.95" customHeight="1" x14ac:dyDescent="0.25">
      <c r="A475" s="1" t="s">
        <v>1422</v>
      </c>
      <c r="B475" s="6" t="s">
        <v>1423</v>
      </c>
      <c r="C475" s="6" t="s">
        <v>1372</v>
      </c>
      <c r="D475" s="6" t="s">
        <v>1389</v>
      </c>
      <c r="E475" s="6" t="s">
        <v>1379</v>
      </c>
      <c r="F475" s="6" t="str">
        <f>HYPERLINK("http://www.a22conceria.com/","www.a22conceria.com")</f>
        <v>www.a22conceria.com</v>
      </c>
    </row>
    <row r="476" spans="1:6" ht="43.05" customHeight="1" x14ac:dyDescent="0.25">
      <c r="A476" s="5" t="s">
        <v>1424</v>
      </c>
      <c r="B476" s="4" t="s">
        <v>1425</v>
      </c>
      <c r="C476" s="4" t="s">
        <v>1390</v>
      </c>
      <c r="D476" s="4" t="s">
        <v>1368</v>
      </c>
      <c r="E476" s="4" t="s">
        <v>1369</v>
      </c>
      <c r="F476" s="4" t="str">
        <f>HYPERLINK("http://www.fashionstudios.it/","www.fashionstudios.it")</f>
        <v>www.fashionstudios.it</v>
      </c>
    </row>
    <row r="477" spans="1:6" ht="16.95" customHeight="1" x14ac:dyDescent="0.25">
      <c r="A477" s="1" t="s">
        <v>1426</v>
      </c>
      <c r="B477" s="6" t="s">
        <v>1427</v>
      </c>
      <c r="C477" s="6" t="s">
        <v>1377</v>
      </c>
      <c r="D477" s="6" t="s">
        <v>1428</v>
      </c>
      <c r="E477" s="6" t="s">
        <v>1379</v>
      </c>
      <c r="F477" s="6" t="str">
        <f>HYPERLINK("http://dike.works/","dike.works")</f>
        <v>dike.works</v>
      </c>
    </row>
    <row r="478" spans="1:6" ht="16.95" customHeight="1" x14ac:dyDescent="0.25">
      <c r="A478" s="5" t="s">
        <v>1429</v>
      </c>
      <c r="B478" s="4" t="s">
        <v>1430</v>
      </c>
      <c r="C478" s="4" t="s">
        <v>1382</v>
      </c>
      <c r="D478" s="4" t="s">
        <v>1373</v>
      </c>
      <c r="E478" s="4" t="s">
        <v>1374</v>
      </c>
      <c r="F478" s="4" t="str">
        <f>HYPERLINK("http://www.dondiego.net/","www.dondiego.net")</f>
        <v>www.dondiego.net</v>
      </c>
    </row>
    <row r="479" spans="1:6" ht="16.95" customHeight="1" x14ac:dyDescent="0.25">
      <c r="A479" s="1" t="s">
        <v>1431</v>
      </c>
      <c r="B479" s="6" t="s">
        <v>1432</v>
      </c>
      <c r="C479" s="6" t="s">
        <v>1372</v>
      </c>
      <c r="D479" s="6" t="s">
        <v>1414</v>
      </c>
      <c r="E479" s="6" t="s">
        <v>1369</v>
      </c>
      <c r="F479" s="6" t="str">
        <f>HYPERLINK("http://www.reptilis.it/","http://www.reptilis.it")</f>
        <v>http://www.reptilis.it</v>
      </c>
    </row>
    <row r="480" spans="1:6" ht="29.55" customHeight="1" x14ac:dyDescent="0.25">
      <c r="A480" s="5" t="s">
        <v>1433</v>
      </c>
      <c r="B480" s="4" t="s">
        <v>1434</v>
      </c>
      <c r="C480" s="4" t="s">
        <v>1377</v>
      </c>
      <c r="D480" s="4" t="s">
        <v>1435</v>
      </c>
      <c r="E480" s="4" t="s">
        <v>1436</v>
      </c>
      <c r="F480" s="4" t="str">
        <f>HYPERLINK("http://lorenzo-mari.com/","lorenzo-mari.com")</f>
        <v>lorenzo-mari.com</v>
      </c>
    </row>
    <row r="481" spans="1:6" ht="16.95" customHeight="1" x14ac:dyDescent="0.25">
      <c r="A481" s="1" t="s">
        <v>1437</v>
      </c>
      <c r="B481" s="6" t="s">
        <v>1438</v>
      </c>
      <c r="C481" s="6" t="s">
        <v>1390</v>
      </c>
      <c r="D481" s="6" t="s">
        <v>1391</v>
      </c>
      <c r="E481" s="6" t="s">
        <v>1392</v>
      </c>
      <c r="F481" s="6" t="str">
        <f>HYPERLINK("http://gpemax.com/","gpemax.com")</f>
        <v>gpemax.com</v>
      </c>
    </row>
    <row r="482" spans="1:6" ht="43.05" customHeight="1" x14ac:dyDescent="0.25">
      <c r="A482" s="5" t="s">
        <v>1442</v>
      </c>
      <c r="B482" s="4" t="s">
        <v>1443</v>
      </c>
      <c r="C482" s="4" t="s">
        <v>1439</v>
      </c>
      <c r="D482" s="4" t="s">
        <v>1444</v>
      </c>
      <c r="E482" s="4" t="s">
        <v>1445</v>
      </c>
      <c r="F482" s="4" t="str">
        <f>HYPERLINK("http://www.nadacalzaturificio.it/","www.nadacalzaturificio.it")</f>
        <v>www.nadacalzaturificio.it</v>
      </c>
    </row>
    <row r="483" spans="1:6" ht="16.95" customHeight="1" x14ac:dyDescent="0.25">
      <c r="A483" s="1" t="s">
        <v>1446</v>
      </c>
      <c r="B483" s="6" t="s">
        <v>1447</v>
      </c>
      <c r="C483" s="6" t="s">
        <v>1448</v>
      </c>
      <c r="D483" s="6" t="s">
        <v>1449</v>
      </c>
      <c r="E483" s="6" t="s">
        <v>1441</v>
      </c>
      <c r="F483" s="6" t="str">
        <f>HYPERLINK("http://www.galileosrl.eu/","www.galileosrl.eu")</f>
        <v>www.galileosrl.eu</v>
      </c>
    </row>
    <row r="484" spans="1:6" ht="16.95" customHeight="1" x14ac:dyDescent="0.25">
      <c r="A484" s="5" t="s">
        <v>1450</v>
      </c>
      <c r="B484" s="4" t="s">
        <v>1451</v>
      </c>
      <c r="C484" s="4" t="s">
        <v>1452</v>
      </c>
      <c r="D484" s="4" t="s">
        <v>1453</v>
      </c>
      <c r="E484" s="4" t="s">
        <v>1441</v>
      </c>
      <c r="F484" s="4" t="str">
        <f>HYPERLINK("http://www.stadiumflorence.it/","www.stadiumflorence.it")</f>
        <v>www.stadiumflorence.it</v>
      </c>
    </row>
    <row r="485" spans="1:6" ht="16.95" customHeight="1" x14ac:dyDescent="0.25">
      <c r="A485" s="5" t="s">
        <v>1454</v>
      </c>
      <c r="B485" s="4" t="s">
        <v>1455</v>
      </c>
      <c r="C485" s="4" t="s">
        <v>1439</v>
      </c>
      <c r="D485" s="4" t="s">
        <v>1453</v>
      </c>
      <c r="E485" s="4" t="s">
        <v>1441</v>
      </c>
      <c r="F485" s="4" t="str">
        <f>HYPERLINK("http://www.grigiarancio.it/","http://www.grigiarancio.it")</f>
        <v>http://www.grigiarancio.it</v>
      </c>
    </row>
    <row r="486" spans="1:6" ht="16.95" customHeight="1" x14ac:dyDescent="0.25">
      <c r="A486" s="1" t="s">
        <v>1456</v>
      </c>
      <c r="B486" s="6" t="s">
        <v>1457</v>
      </c>
      <c r="C486" s="6" t="s">
        <v>1458</v>
      </c>
      <c r="D486" s="6" t="s">
        <v>1459</v>
      </c>
      <c r="E486" s="6" t="s">
        <v>1441</v>
      </c>
      <c r="F486" s="6" t="str">
        <f>HYPERLINK("http://www.garland74.it/","www.garland74.it")</f>
        <v>www.garland74.it</v>
      </c>
    </row>
    <row r="487" spans="1:6" ht="29.55" customHeight="1" x14ac:dyDescent="0.25">
      <c r="A487" s="1" t="s">
        <v>1460</v>
      </c>
      <c r="B487" s="6" t="s">
        <v>1461</v>
      </c>
      <c r="C487" s="6" t="s">
        <v>1439</v>
      </c>
      <c r="D487" s="6" t="s">
        <v>1462</v>
      </c>
      <c r="E487" s="6" t="s">
        <v>1441</v>
      </c>
      <c r="F487" s="6" t="str">
        <f>HYPERLINK("http://www.riccoplast.it/","www.riccoplast.it")</f>
        <v>www.riccoplast.it</v>
      </c>
    </row>
    <row r="488" spans="1:6" ht="16.95" customHeight="1" x14ac:dyDescent="0.25">
      <c r="A488" s="1" t="s">
        <v>1464</v>
      </c>
      <c r="B488" s="6" t="s">
        <v>1465</v>
      </c>
      <c r="C488" s="6" t="s">
        <v>1466</v>
      </c>
      <c r="D488" s="6" t="s">
        <v>1467</v>
      </c>
      <c r="E488" s="6" t="s">
        <v>1468</v>
      </c>
      <c r="F488" s="6" t="str">
        <f>HYPERLINK("http://www.lcmsuolificio.it/","http://www.lcmsuolificio.it")</f>
        <v>http://www.lcmsuolificio.it</v>
      </c>
    </row>
    <row r="489" spans="1:6" ht="16.95" customHeight="1" x14ac:dyDescent="0.25">
      <c r="A489" s="5" t="s">
        <v>1469</v>
      </c>
      <c r="B489" s="4" t="s">
        <v>1470</v>
      </c>
      <c r="C489" s="4" t="s">
        <v>1448</v>
      </c>
      <c r="D489" s="4" t="s">
        <v>1449</v>
      </c>
      <c r="E489" s="4" t="s">
        <v>1441</v>
      </c>
      <c r="F489" s="4" t="str">
        <f>HYPERLINK("http://www.samanta.com/","http://www.samanta.com/")</f>
        <v>http://www.samanta.com/</v>
      </c>
    </row>
    <row r="490" spans="1:6" ht="16.95" customHeight="1" x14ac:dyDescent="0.25">
      <c r="A490" s="1" t="s">
        <v>1471</v>
      </c>
      <c r="B490" s="6" t="s">
        <v>1472</v>
      </c>
      <c r="C490" s="6" t="s">
        <v>1439</v>
      </c>
      <c r="D490" s="6" t="s">
        <v>1473</v>
      </c>
      <c r="E490" s="6" t="s">
        <v>1474</v>
      </c>
      <c r="F490" s="6" t="str">
        <f>HYPERLINK("http://www.zocal.com/","www.zocal.com")</f>
        <v>www.zocal.com</v>
      </c>
    </row>
    <row r="491" spans="1:6" ht="16.95" customHeight="1" x14ac:dyDescent="0.25">
      <c r="A491" s="5" t="s">
        <v>1475</v>
      </c>
      <c r="B491" s="4" t="s">
        <v>1476</v>
      </c>
      <c r="C491" s="4" t="s">
        <v>1448</v>
      </c>
      <c r="D491" s="4" t="s">
        <v>1449</v>
      </c>
      <c r="E491" s="4" t="s">
        <v>1441</v>
      </c>
      <c r="F491" s="4" t="str">
        <f>HYPERLINK("http://www.libertytannery.it/","http://www.libertytannery.it")</f>
        <v>http://www.libertytannery.it</v>
      </c>
    </row>
    <row r="492" spans="1:6" ht="29.55" customHeight="1" x14ac:dyDescent="0.25">
      <c r="A492" s="1" t="s">
        <v>1477</v>
      </c>
      <c r="B492" s="6" t="s">
        <v>1478</v>
      </c>
      <c r="C492" s="6" t="s">
        <v>1448</v>
      </c>
      <c r="D492" s="6" t="s">
        <v>1479</v>
      </c>
      <c r="E492" s="6" t="s">
        <v>1474</v>
      </c>
      <c r="F492" s="6" t="str">
        <f>HYPERLINK("http://www.scabrenta.it/","www.scabrenta.it")</f>
        <v>www.scabrenta.it</v>
      </c>
    </row>
    <row r="493" spans="1:6" ht="16.95" customHeight="1" x14ac:dyDescent="0.25">
      <c r="A493" s="1" t="s">
        <v>1480</v>
      </c>
      <c r="B493" s="6" t="s">
        <v>1481</v>
      </c>
      <c r="C493" s="6" t="s">
        <v>1439</v>
      </c>
      <c r="D493" s="6" t="s">
        <v>1440</v>
      </c>
      <c r="E493" s="6" t="s">
        <v>1441</v>
      </c>
      <c r="F493" s="6" t="str">
        <f>HYPERLINK("http://www.suolificiodick.it/","www.suolificiodick.it")</f>
        <v>www.suolificiodick.it</v>
      </c>
    </row>
    <row r="494" spans="1:6" ht="16.95" customHeight="1" x14ac:dyDescent="0.25">
      <c r="A494" s="5" t="s">
        <v>1482</v>
      </c>
      <c r="B494" s="4" t="s">
        <v>1483</v>
      </c>
      <c r="C494" s="4" t="s">
        <v>1458</v>
      </c>
      <c r="D494" s="4" t="s">
        <v>1484</v>
      </c>
      <c r="E494" s="4" t="s">
        <v>1463</v>
      </c>
      <c r="F494" s="4" t="str">
        <f>HYPERLINK("http://www.tmcorp.it/","www.tmcorp.it")</f>
        <v>www.tmcorp.it</v>
      </c>
    </row>
    <row r="495" spans="1:6" ht="16.95" customHeight="1" x14ac:dyDescent="0.25">
      <c r="A495" s="1" t="s">
        <v>1485</v>
      </c>
      <c r="B495" s="6" t="s">
        <v>1486</v>
      </c>
      <c r="C495" s="6" t="s">
        <v>1439</v>
      </c>
      <c r="D495" s="6" t="s">
        <v>1487</v>
      </c>
      <c r="E495" s="6" t="s">
        <v>1468</v>
      </c>
      <c r="F495" s="6" t="str">
        <f>HYPERLINK("http://www.calzaturificiolusar.it/","www.calzaturificiolusar.it")</f>
        <v>www.calzaturificiolusar.it</v>
      </c>
    </row>
    <row r="496" spans="1:6" ht="29.55" customHeight="1" x14ac:dyDescent="0.25">
      <c r="A496" s="1" t="s">
        <v>1488</v>
      </c>
      <c r="B496" s="6" t="s">
        <v>1489</v>
      </c>
      <c r="C496" s="6" t="s">
        <v>1448</v>
      </c>
      <c r="D496" s="6" t="s">
        <v>1479</v>
      </c>
      <c r="E496" s="6" t="s">
        <v>1474</v>
      </c>
      <c r="F496" s="6" t="str">
        <f>HYPERLINK("http://www.unionleathers.com/","www.unionleathers.com")</f>
        <v>www.unionleathers.com</v>
      </c>
    </row>
    <row r="497" spans="1:6" ht="16.95" customHeight="1" x14ac:dyDescent="0.25">
      <c r="A497" s="5" t="s">
        <v>1490</v>
      </c>
      <c r="B497" s="4" t="s">
        <v>1491</v>
      </c>
      <c r="C497" s="4" t="s">
        <v>1448</v>
      </c>
      <c r="D497" s="4" t="s">
        <v>1449</v>
      </c>
      <c r="E497" s="4" t="s">
        <v>1441</v>
      </c>
      <c r="F497" s="4" t="str">
        <f>HYPERLINK("http://www.conceriasirte.com/","www.conceriasirte.com")</f>
        <v>www.conceriasirte.com</v>
      </c>
    </row>
    <row r="498" spans="1:6" ht="16.95" customHeight="1" x14ac:dyDescent="0.25">
      <c r="A498" s="5" t="s">
        <v>1492</v>
      </c>
      <c r="B498" s="4" t="s">
        <v>1493</v>
      </c>
      <c r="C498" s="4" t="s">
        <v>1448</v>
      </c>
      <c r="D498" s="4" t="s">
        <v>1479</v>
      </c>
      <c r="E498" s="4" t="s">
        <v>1474</v>
      </c>
      <c r="F498" s="4" t="str">
        <f>HYPERLINK("http://www.oppellami.it/","www.oppellami.it")</f>
        <v>www.oppellami.it</v>
      </c>
    </row>
    <row r="499" spans="1:6" ht="16.95" customHeight="1" x14ac:dyDescent="0.25">
      <c r="A499" s="1" t="s">
        <v>1494</v>
      </c>
      <c r="B499" s="6" t="s">
        <v>1495</v>
      </c>
      <c r="C499" s="6" t="s">
        <v>1496</v>
      </c>
      <c r="D499" s="6" t="s">
        <v>1467</v>
      </c>
      <c r="E499" s="6" t="s">
        <v>1468</v>
      </c>
      <c r="F499" s="6" t="str">
        <f>HYPERLINK("http://www.guidopasquali.it/","www.guidopasquali.it")</f>
        <v>www.guidopasquali.it</v>
      </c>
    </row>
    <row r="500" spans="1:6" ht="29.55" customHeight="1" x14ac:dyDescent="0.25">
      <c r="A500" s="5" t="s">
        <v>1497</v>
      </c>
      <c r="B500" s="4" t="s">
        <v>1498</v>
      </c>
      <c r="C500" s="4" t="s">
        <v>1448</v>
      </c>
      <c r="D500" s="4" t="s">
        <v>1449</v>
      </c>
      <c r="E500" s="4" t="s">
        <v>1441</v>
      </c>
      <c r="F500" s="4" t="str">
        <f>HYPERLINK("http://www.arnella.it/","www.arnella.it")</f>
        <v>www.arnella.it</v>
      </c>
    </row>
    <row r="501" spans="1:6" ht="16.95" customHeight="1" x14ac:dyDescent="0.25">
      <c r="A501" s="1" t="s">
        <v>1499</v>
      </c>
      <c r="B501" s="6" t="s">
        <v>1500</v>
      </c>
      <c r="C501" s="6" t="s">
        <v>1458</v>
      </c>
      <c r="D501" s="6" t="s">
        <v>1501</v>
      </c>
      <c r="E501" s="6" t="s">
        <v>1441</v>
      </c>
      <c r="F501" s="6" t="str">
        <f>HYPERLINK("http://www.arespelletteria.com/","www.arespelletteria.com")</f>
        <v>www.arespelletteria.com</v>
      </c>
    </row>
    <row r="502" spans="1:6" ht="16.95" customHeight="1" x14ac:dyDescent="0.25">
      <c r="A502" s="1" t="s">
        <v>1502</v>
      </c>
      <c r="B502" s="6" t="s">
        <v>1503</v>
      </c>
      <c r="C502" s="6" t="s">
        <v>1439</v>
      </c>
      <c r="D502" s="6" t="s">
        <v>1484</v>
      </c>
      <c r="E502" s="6" t="s">
        <v>1463</v>
      </c>
      <c r="F502" s="6" t="str">
        <f>HYPERLINK("http://www.amaresrl.it/","www.amaresrl.it")</f>
        <v>www.amaresrl.it</v>
      </c>
    </row>
    <row r="503" spans="1:6" ht="16.95" customHeight="1" x14ac:dyDescent="0.25">
      <c r="A503" s="5" t="s">
        <v>1504</v>
      </c>
      <c r="B503" s="4" t="s">
        <v>1505</v>
      </c>
      <c r="C503" s="4" t="s">
        <v>1448</v>
      </c>
      <c r="D503" s="4" t="s">
        <v>1479</v>
      </c>
      <c r="E503" s="4" t="s">
        <v>1474</v>
      </c>
      <c r="F503" s="4" t="str">
        <f>HYPERLINK("http://www.professionepelli.com/","www.professionepelli.com")</f>
        <v>www.professionepelli.com</v>
      </c>
    </row>
    <row r="504" spans="1:6" ht="29.55" customHeight="1" x14ac:dyDescent="0.25">
      <c r="A504" s="1" t="s">
        <v>1506</v>
      </c>
      <c r="B504" s="6" t="s">
        <v>1507</v>
      </c>
      <c r="C504" s="6" t="s">
        <v>1508</v>
      </c>
      <c r="D504" s="6" t="s">
        <v>1509</v>
      </c>
      <c r="E504" s="6" t="s">
        <v>1510</v>
      </c>
      <c r="F504" s="6" t="str">
        <f>HYPERLINK("http://tuscaniaspa.it/","tuscaniaspa.it")</f>
        <v>tuscaniaspa.it</v>
      </c>
    </row>
    <row r="505" spans="1:6" ht="16.95" customHeight="1" x14ac:dyDescent="0.25">
      <c r="A505" s="5" t="s">
        <v>1511</v>
      </c>
      <c r="B505" s="4" t="s">
        <v>1512</v>
      </c>
      <c r="C505" s="4" t="s">
        <v>1513</v>
      </c>
      <c r="D505" s="4" t="s">
        <v>1514</v>
      </c>
      <c r="E505" s="4" t="s">
        <v>1510</v>
      </c>
      <c r="F505" s="4" t="str">
        <f>HYPERLINK("http://www.scorpiosrl.it/","www.scorpiosrl.it")</f>
        <v>www.scorpiosrl.it</v>
      </c>
    </row>
    <row r="506" spans="1:6" ht="16.95" customHeight="1" x14ac:dyDescent="0.25">
      <c r="A506" s="1" t="s">
        <v>1515</v>
      </c>
      <c r="B506" s="6" t="s">
        <v>1516</v>
      </c>
      <c r="C506" s="6" t="s">
        <v>1513</v>
      </c>
      <c r="D506" s="6" t="s">
        <v>1517</v>
      </c>
      <c r="E506" s="6" t="s">
        <v>1518</v>
      </c>
      <c r="F506" s="6" t="str">
        <f>HYPERLINK("http://gierreandson.com/","gierreandson.com")</f>
        <v>gierreandson.com</v>
      </c>
    </row>
    <row r="507" spans="1:6" ht="16.95" customHeight="1" x14ac:dyDescent="0.25">
      <c r="A507" s="5" t="s">
        <v>1519</v>
      </c>
      <c r="B507" s="4" t="s">
        <v>1520</v>
      </c>
      <c r="C507" s="4" t="s">
        <v>1521</v>
      </c>
      <c r="D507" s="4" t="s">
        <v>1517</v>
      </c>
      <c r="E507" s="4" t="s">
        <v>1518</v>
      </c>
      <c r="F507" s="4" t="str">
        <f>HYPERLINK("http://www.conceria-tari.com/","www.conceria-tari.com")</f>
        <v>www.conceria-tari.com</v>
      </c>
    </row>
    <row r="508" spans="1:6" ht="16.95" customHeight="1" x14ac:dyDescent="0.25">
      <c r="A508" s="1" t="s">
        <v>1522</v>
      </c>
      <c r="B508" s="6" t="s">
        <v>1523</v>
      </c>
      <c r="C508" s="6" t="s">
        <v>1513</v>
      </c>
      <c r="D508" s="6" t="s">
        <v>1524</v>
      </c>
      <c r="E508" s="6" t="s">
        <v>1518</v>
      </c>
      <c r="F508" s="6" t="str">
        <f>HYPERLINK("http://lerre.com/","lerre.com")</f>
        <v>lerre.com</v>
      </c>
    </row>
    <row r="509" spans="1:6" ht="16.95" customHeight="1" x14ac:dyDescent="0.25">
      <c r="A509" s="5" t="s">
        <v>1525</v>
      </c>
      <c r="B509" s="4" t="s">
        <v>1526</v>
      </c>
      <c r="C509" s="4" t="s">
        <v>1513</v>
      </c>
      <c r="D509" s="4" t="s">
        <v>1509</v>
      </c>
      <c r="E509" s="4" t="s">
        <v>1510</v>
      </c>
      <c r="F509" s="4" t="str">
        <f>HYPERLINK("http://www.calzaturificiostatus.it/","www.calzaturificiostatus.it")</f>
        <v>www.calzaturificiostatus.it</v>
      </c>
    </row>
    <row r="510" spans="1:6" ht="16.95" customHeight="1" x14ac:dyDescent="0.25">
      <c r="A510" s="1" t="s">
        <v>1527</v>
      </c>
      <c r="B510" s="6" t="s">
        <v>1528</v>
      </c>
      <c r="C510" s="6" t="s">
        <v>1513</v>
      </c>
      <c r="D510" s="6" t="s">
        <v>1529</v>
      </c>
      <c r="E510" s="6" t="s">
        <v>1530</v>
      </c>
      <c r="F510" s="6" t="str">
        <f>HYPERLINK("http://www.fpsport.it/","www.fpsport.it")</f>
        <v>www.fpsport.it</v>
      </c>
    </row>
    <row r="511" spans="1:6" ht="16.95" customHeight="1" x14ac:dyDescent="0.25">
      <c r="A511" s="5" t="s">
        <v>1531</v>
      </c>
      <c r="B511" s="4" t="s">
        <v>1532</v>
      </c>
      <c r="C511" s="4" t="s">
        <v>1513</v>
      </c>
      <c r="D511" s="4" t="s">
        <v>1517</v>
      </c>
      <c r="E511" s="4" t="s">
        <v>1518</v>
      </c>
      <c r="F511" s="4" t="str">
        <f>HYPERLINK("http://www.sharonsrl.it/","www.sharonsrl.it")</f>
        <v>www.sharonsrl.it</v>
      </c>
    </row>
    <row r="512" spans="1:6" ht="16.95" customHeight="1" x14ac:dyDescent="0.25">
      <c r="A512" s="5" t="s">
        <v>1534</v>
      </c>
      <c r="B512" s="4" t="s">
        <v>1535</v>
      </c>
      <c r="C512" s="4" t="s">
        <v>1508</v>
      </c>
      <c r="D512" s="4" t="s">
        <v>1509</v>
      </c>
      <c r="E512" s="4" t="s">
        <v>1510</v>
      </c>
      <c r="F512" s="4" t="str">
        <f>HYPERLINK("http://www.vicar.it/","www.vicar.it")</f>
        <v>www.vicar.it</v>
      </c>
    </row>
    <row r="513" spans="1:6" ht="16.95" customHeight="1" x14ac:dyDescent="0.25">
      <c r="A513" s="1" t="s">
        <v>1536</v>
      </c>
      <c r="B513" s="6" t="s">
        <v>1537</v>
      </c>
      <c r="C513" s="6" t="s">
        <v>1538</v>
      </c>
      <c r="D513" s="6" t="s">
        <v>1539</v>
      </c>
      <c r="E513" s="6" t="s">
        <v>1530</v>
      </c>
      <c r="F513" s="6" t="str">
        <f>HYPERLINK("http://www.zanellato.com/","www.zanellato.com")</f>
        <v>www.zanellato.com</v>
      </c>
    </row>
    <row r="514" spans="1:6" ht="29.55" customHeight="1" x14ac:dyDescent="0.25">
      <c r="A514" s="1" t="s">
        <v>1542</v>
      </c>
      <c r="B514" s="6" t="s">
        <v>1543</v>
      </c>
      <c r="C514" s="6" t="s">
        <v>1508</v>
      </c>
      <c r="D514" s="6" t="s">
        <v>1540</v>
      </c>
      <c r="E514" s="6" t="s">
        <v>1541</v>
      </c>
      <c r="F514" s="6" t="str">
        <f>HYPERLINK("http://www.concerianuvolari.com/","www.concerianuvolari.com")</f>
        <v>www.concerianuvolari.com</v>
      </c>
    </row>
    <row r="515" spans="1:6" ht="29.55" customHeight="1" x14ac:dyDescent="0.25">
      <c r="A515" s="5" t="s">
        <v>1544</v>
      </c>
      <c r="B515" s="4" t="s">
        <v>1545</v>
      </c>
      <c r="C515" s="4" t="s">
        <v>1508</v>
      </c>
      <c r="D515" s="4" t="s">
        <v>1509</v>
      </c>
      <c r="E515" s="4" t="s">
        <v>1510</v>
      </c>
      <c r="F515" s="4" t="str">
        <f>HYPERLINK("http://www.concerianuovaoverlord.com/","www.concerianuovaoverlord.com")</f>
        <v>www.concerianuovaoverlord.com</v>
      </c>
    </row>
    <row r="516" spans="1:6" ht="16.95" customHeight="1" x14ac:dyDescent="0.25">
      <c r="A516" s="1" t="s">
        <v>1546</v>
      </c>
      <c r="B516" s="6" t="s">
        <v>1547</v>
      </c>
      <c r="C516" s="6" t="s">
        <v>1513</v>
      </c>
      <c r="D516" s="6" t="s">
        <v>1548</v>
      </c>
      <c r="E516" s="6" t="s">
        <v>1530</v>
      </c>
      <c r="F516" s="6" t="str">
        <f>HYPERLINK("http://www.maximaonline.it/","www.maximaonline.it")</f>
        <v>www.maximaonline.it</v>
      </c>
    </row>
    <row r="517" spans="1:6" ht="16.95" customHeight="1" x14ac:dyDescent="0.25">
      <c r="A517" s="5" t="s">
        <v>1549</v>
      </c>
      <c r="B517" s="4" t="s">
        <v>1550</v>
      </c>
      <c r="C517" s="4" t="s">
        <v>1513</v>
      </c>
      <c r="D517" s="4" t="s">
        <v>1540</v>
      </c>
      <c r="E517" s="4" t="s">
        <v>1541</v>
      </c>
      <c r="F517" s="4" t="str">
        <f>HYPERLINK("http://www.giusy.com/","www.giusy.com")</f>
        <v>www.giusy.com</v>
      </c>
    </row>
    <row r="518" spans="1:6" ht="16.95" customHeight="1" x14ac:dyDescent="0.25">
      <c r="A518" s="1" t="s">
        <v>1551</v>
      </c>
      <c r="B518" s="6" t="s">
        <v>1552</v>
      </c>
      <c r="C518" s="6" t="s">
        <v>1553</v>
      </c>
      <c r="D518" s="6" t="s">
        <v>1548</v>
      </c>
      <c r="E518" s="6" t="s">
        <v>1530</v>
      </c>
      <c r="F518" s="6" t="str">
        <f>HYPERLINK("http://www.tecnostra.it/","www.tecnostra.it")</f>
        <v>www.tecnostra.it</v>
      </c>
    </row>
    <row r="519" spans="1:6" ht="16.95" customHeight="1" x14ac:dyDescent="0.25">
      <c r="A519" s="1" t="s">
        <v>1554</v>
      </c>
      <c r="B519" s="6" t="s">
        <v>1555</v>
      </c>
      <c r="C519" s="6" t="s">
        <v>1513</v>
      </c>
      <c r="D519" s="6" t="s">
        <v>1540</v>
      </c>
      <c r="E519" s="6" t="s">
        <v>1541</v>
      </c>
      <c r="F519" s="6" t="str">
        <f>HYPERLINK("http://www.laramanni.it/","www.laramanni.it")</f>
        <v>www.laramanni.it</v>
      </c>
    </row>
    <row r="520" spans="1:6" ht="16.95" customHeight="1" x14ac:dyDescent="0.25">
      <c r="A520" s="5" t="s">
        <v>1556</v>
      </c>
      <c r="B520" s="4" t="s">
        <v>1557</v>
      </c>
      <c r="C520" s="4" t="s">
        <v>1508</v>
      </c>
      <c r="D520" s="4" t="s">
        <v>1558</v>
      </c>
      <c r="E520" s="4" t="s">
        <v>1530</v>
      </c>
      <c r="F520" s="4" t="str">
        <f>HYPERLINK("http://www.ariannasrl.it/","www.ariannasrl.it")</f>
        <v>www.ariannasrl.it</v>
      </c>
    </row>
    <row r="521" spans="1:6" ht="16.95" customHeight="1" x14ac:dyDescent="0.25">
      <c r="A521" s="5" t="s">
        <v>1560</v>
      </c>
      <c r="B521" s="4" t="s">
        <v>1561</v>
      </c>
      <c r="C521" s="4" t="s">
        <v>1513</v>
      </c>
      <c r="D521" s="4" t="s">
        <v>1562</v>
      </c>
      <c r="E521" s="4" t="s">
        <v>1563</v>
      </c>
      <c r="F521" s="4" t="str">
        <f>HYPERLINK("http://www.podoline.it/","www.podoline.it")</f>
        <v>www.podoline.it</v>
      </c>
    </row>
    <row r="522" spans="1:6" ht="16.95" customHeight="1" x14ac:dyDescent="0.25">
      <c r="A522" s="1" t="s">
        <v>1564</v>
      </c>
      <c r="B522" s="6" t="s">
        <v>1565</v>
      </c>
      <c r="C522" s="6" t="s">
        <v>1513</v>
      </c>
      <c r="D522" s="6" t="s">
        <v>1559</v>
      </c>
      <c r="E522" s="6" t="s">
        <v>1530</v>
      </c>
      <c r="F522" s="6" t="str">
        <f>HYPERLINK("http://www.ghoud-venice.com/","www.ghoud-venice.com")</f>
        <v>www.ghoud-venice.com</v>
      </c>
    </row>
    <row r="523" spans="1:6" ht="16.95" customHeight="1" x14ac:dyDescent="0.25">
      <c r="A523" s="1" t="s">
        <v>1566</v>
      </c>
      <c r="B523" s="6" t="s">
        <v>1567</v>
      </c>
      <c r="C523" s="6" t="s">
        <v>1508</v>
      </c>
      <c r="D523" s="6" t="s">
        <v>1533</v>
      </c>
      <c r="E523" s="6" t="s">
        <v>1510</v>
      </c>
      <c r="F523" s="6" t="str">
        <f>HYPERLINK("http://www.conceriailponte.it/","www.conceriailponte.it")</f>
        <v>www.conceriailponte.it</v>
      </c>
    </row>
    <row r="524" spans="1:6" ht="16.95" customHeight="1" x14ac:dyDescent="0.25">
      <c r="A524" s="1" t="s">
        <v>1568</v>
      </c>
      <c r="B524" s="6" t="s">
        <v>1569</v>
      </c>
      <c r="C524" s="6" t="s">
        <v>1513</v>
      </c>
      <c r="D524" s="6" t="s">
        <v>1529</v>
      </c>
      <c r="E524" s="6" t="s">
        <v>1530</v>
      </c>
      <c r="F524" s="6" t="str">
        <f>HYPERLINK("http://giannifalco.com/","giannifalco.com")</f>
        <v>giannifalco.com</v>
      </c>
    </row>
    <row r="525" spans="1:6" ht="16.95" customHeight="1" x14ac:dyDescent="0.25">
      <c r="A525" s="5" t="s">
        <v>1570</v>
      </c>
      <c r="B525" s="4" t="s">
        <v>1571</v>
      </c>
      <c r="C525" s="4" t="s">
        <v>1508</v>
      </c>
      <c r="D525" s="4" t="s">
        <v>1539</v>
      </c>
      <c r="E525" s="4" t="s">
        <v>1530</v>
      </c>
      <c r="F525" s="4" t="str">
        <f>HYPERLINK("http://www.euroconciaria.it/","www.euroconciaria.it")</f>
        <v>www.euroconciaria.it</v>
      </c>
    </row>
    <row r="526" spans="1:6" ht="16.95" customHeight="1" x14ac:dyDescent="0.25">
      <c r="A526" s="1" t="s">
        <v>1572</v>
      </c>
      <c r="B526" s="6" t="s">
        <v>1573</v>
      </c>
      <c r="C526" s="6" t="s">
        <v>1513</v>
      </c>
      <c r="D526" s="6" t="s">
        <v>1574</v>
      </c>
      <c r="E526" s="6" t="s">
        <v>1563</v>
      </c>
      <c r="F526" s="6" t="str">
        <f>HYPERLINK("http://www.barrett.it/","http://www.barrett.it")</f>
        <v>http://www.barrett.it</v>
      </c>
    </row>
    <row r="527" spans="1:6" ht="16.95" customHeight="1" x14ac:dyDescent="0.25">
      <c r="A527" s="1" t="s">
        <v>1575</v>
      </c>
      <c r="B527" s="6" t="s">
        <v>1576</v>
      </c>
      <c r="C527" s="6" t="s">
        <v>1508</v>
      </c>
      <c r="D527" s="6" t="s">
        <v>1509</v>
      </c>
      <c r="E527" s="6" t="s">
        <v>1510</v>
      </c>
      <c r="F527" s="6" t="str">
        <f>HYPERLINK("http://www.volpi.it/","www.volpi.it")</f>
        <v>www.volpi.it</v>
      </c>
    </row>
    <row r="528" spans="1:6" ht="16.95" customHeight="1" x14ac:dyDescent="0.25">
      <c r="A528" s="5" t="s">
        <v>1577</v>
      </c>
      <c r="B528" s="4" t="s">
        <v>1578</v>
      </c>
      <c r="C528" s="4" t="s">
        <v>1513</v>
      </c>
      <c r="D528" s="4" t="s">
        <v>1540</v>
      </c>
      <c r="E528" s="4" t="s">
        <v>1541</v>
      </c>
      <c r="F528" s="4" t="str">
        <f>HYPERLINK("http://www.annabellaspa.eu/","www.annabellaspa.eu")</f>
        <v>www.annabellaspa.eu</v>
      </c>
    </row>
    <row r="529" spans="1:6" ht="68.099999999999994" customHeight="1" x14ac:dyDescent="0.25">
      <c r="A529" s="1" t="s">
        <v>1579</v>
      </c>
      <c r="B529" s="6" t="s">
        <v>1580</v>
      </c>
      <c r="C529" s="6" t="s">
        <v>1581</v>
      </c>
      <c r="D529" s="6" t="s">
        <v>1582</v>
      </c>
      <c r="E529" s="6" t="s">
        <v>1583</v>
      </c>
      <c r="F529" s="6" t="str">
        <f>HYPERLINK("http://www.viaroma15.com/","www.viaroma15.com")</f>
        <v>www.viaroma15.com</v>
      </c>
    </row>
    <row r="530" spans="1:6" ht="16.95" customHeight="1" x14ac:dyDescent="0.25">
      <c r="A530" s="1" t="s">
        <v>1586</v>
      </c>
      <c r="B530" s="6" t="s">
        <v>1587</v>
      </c>
      <c r="C530" s="6" t="s">
        <v>1588</v>
      </c>
      <c r="D530" s="6" t="s">
        <v>1589</v>
      </c>
      <c r="E530" s="6" t="s">
        <v>1585</v>
      </c>
      <c r="F530" s="6" t="str">
        <f>HYPERLINK("http://conceriamangusta.it/","conceriamangusta.it")</f>
        <v>conceriamangusta.it</v>
      </c>
    </row>
    <row r="531" spans="1:6" ht="29.55" customHeight="1" x14ac:dyDescent="0.25">
      <c r="A531" s="5" t="s">
        <v>1590</v>
      </c>
      <c r="B531" s="4" t="s">
        <v>1591</v>
      </c>
      <c r="C531" s="4" t="s">
        <v>1588</v>
      </c>
      <c r="D531" s="4" t="s">
        <v>1592</v>
      </c>
      <c r="E531" s="4" t="s">
        <v>1593</v>
      </c>
      <c r="F531" s="4" t="str">
        <f>HYPERLINK("http://www.nuovaicos.com/","www.nuovaicos.com")</f>
        <v>www.nuovaicos.com</v>
      </c>
    </row>
    <row r="532" spans="1:6" ht="29.55" customHeight="1" x14ac:dyDescent="0.25">
      <c r="A532" s="1" t="s">
        <v>1594</v>
      </c>
      <c r="B532" s="6" t="s">
        <v>1595</v>
      </c>
      <c r="C532" s="6" t="s">
        <v>1588</v>
      </c>
      <c r="D532" s="6" t="s">
        <v>1596</v>
      </c>
      <c r="E532" s="6" t="s">
        <v>1597</v>
      </c>
      <c r="F532" s="6" t="str">
        <f>HYPERLINK("http://www.conceriapresot.it/","www.conceriapresot.it")</f>
        <v>www.conceriapresot.it</v>
      </c>
    </row>
    <row r="533" spans="1:6" ht="16.95" customHeight="1" x14ac:dyDescent="0.25">
      <c r="A533" s="5" t="s">
        <v>1598</v>
      </c>
      <c r="B533" s="4" t="s">
        <v>1599</v>
      </c>
      <c r="C533" s="4" t="s">
        <v>1600</v>
      </c>
      <c r="D533" s="4" t="s">
        <v>1601</v>
      </c>
      <c r="E533" s="4" t="s">
        <v>1593</v>
      </c>
      <c r="F533" s="4" t="str">
        <f>HYPERLINK("http://www.campel.net/","www.campel.net")</f>
        <v>www.campel.net</v>
      </c>
    </row>
    <row r="534" spans="1:6" ht="16.95" customHeight="1" x14ac:dyDescent="0.25">
      <c r="A534" s="1" t="s">
        <v>1602</v>
      </c>
      <c r="B534" s="6" t="s">
        <v>1603</v>
      </c>
      <c r="C534" s="6" t="s">
        <v>1604</v>
      </c>
      <c r="D534" s="6" t="s">
        <v>1605</v>
      </c>
      <c r="E534" s="6" t="s">
        <v>1583</v>
      </c>
      <c r="F534" s="6" t="str">
        <f>HYPERLINK("http://cycalzature.com/","cycalzature.com")</f>
        <v>cycalzature.com</v>
      </c>
    </row>
    <row r="535" spans="1:6" ht="29.55" customHeight="1" x14ac:dyDescent="0.25">
      <c r="A535" s="5" t="s">
        <v>1606</v>
      </c>
      <c r="B535" s="4" t="s">
        <v>1607</v>
      </c>
      <c r="C535" s="4" t="s">
        <v>1604</v>
      </c>
      <c r="D535" s="4" t="s">
        <v>1605</v>
      </c>
      <c r="E535" s="4" t="s">
        <v>1583</v>
      </c>
      <c r="F535" s="4" t="str">
        <f>HYPERLINK("http://www.suolificiopiovan.it/","www.suolificiopiovan.it")</f>
        <v>www.suolificiopiovan.it</v>
      </c>
    </row>
    <row r="536" spans="1:6" ht="55.65" customHeight="1" x14ac:dyDescent="0.25">
      <c r="A536" s="5" t="s">
        <v>1608</v>
      </c>
      <c r="B536" s="4" t="s">
        <v>1609</v>
      </c>
      <c r="C536" s="4" t="s">
        <v>1588</v>
      </c>
      <c r="D536" s="4" t="s">
        <v>1610</v>
      </c>
      <c r="E536" s="4" t="s">
        <v>1611</v>
      </c>
      <c r="F536" s="4" t="str">
        <f>HYPERLINK("http://www.foglizzo.com/","http://www.foglizzo.com")</f>
        <v>http://www.foglizzo.com</v>
      </c>
    </row>
    <row r="537" spans="1:6" ht="29.55" customHeight="1" x14ac:dyDescent="0.25">
      <c r="A537" s="1" t="s">
        <v>1612</v>
      </c>
      <c r="B537" s="6" t="s">
        <v>1613</v>
      </c>
      <c r="C537" s="6" t="s">
        <v>1581</v>
      </c>
      <c r="D537" s="6" t="s">
        <v>1614</v>
      </c>
      <c r="E537" s="6" t="s">
        <v>1585</v>
      </c>
      <c r="F537" s="6" t="str">
        <f>HYPERLINK("http://www.calzaturecappellini.it/","http://www.calzaturecappellini.it")</f>
        <v>http://www.calzaturecappellini.it</v>
      </c>
    </row>
    <row r="538" spans="1:6" ht="16.95" customHeight="1" x14ac:dyDescent="0.25">
      <c r="A538" s="5" t="s">
        <v>1615</v>
      </c>
      <c r="B538" s="4" t="s">
        <v>1616</v>
      </c>
      <c r="C538" s="4" t="s">
        <v>1604</v>
      </c>
      <c r="D538" s="4" t="s">
        <v>1617</v>
      </c>
      <c r="E538" s="4" t="s">
        <v>1585</v>
      </c>
      <c r="F538" s="4" t="str">
        <f>HYPERLINK("http://www.solettificiojannelli.com/","www.solettificiojannelli.com")</f>
        <v>www.solettificiojannelli.com</v>
      </c>
    </row>
    <row r="539" spans="1:6" ht="16.95" customHeight="1" x14ac:dyDescent="0.25">
      <c r="A539" s="1" t="s">
        <v>1618</v>
      </c>
      <c r="B539" s="6" t="s">
        <v>1619</v>
      </c>
      <c r="C539" s="6" t="s">
        <v>1620</v>
      </c>
      <c r="D539" s="6" t="s">
        <v>1621</v>
      </c>
      <c r="E539" s="6" t="s">
        <v>1622</v>
      </c>
      <c r="F539" s="6" t="str">
        <f>HYPERLINK("http://www.lellabaldi.com/","www.lellabaldi.com")</f>
        <v>www.lellabaldi.com</v>
      </c>
    </row>
    <row r="540" spans="1:6" ht="16.95" customHeight="1" x14ac:dyDescent="0.25">
      <c r="A540" s="5" t="s">
        <v>1623</v>
      </c>
      <c r="B540" s="4" t="s">
        <v>1624</v>
      </c>
      <c r="C540" s="4" t="s">
        <v>1581</v>
      </c>
      <c r="D540" s="4" t="s">
        <v>1601</v>
      </c>
      <c r="E540" s="4" t="s">
        <v>1593</v>
      </c>
      <c r="F540" s="4" t="str">
        <f>HYPERLINK("http://www.ucchiello.com/","www.ucchiello.com")</f>
        <v>www.ucchiello.com</v>
      </c>
    </row>
    <row r="541" spans="1:6" ht="16.95" customHeight="1" x14ac:dyDescent="0.25">
      <c r="A541" s="1" t="s">
        <v>1625</v>
      </c>
      <c r="B541" s="6" t="s">
        <v>1626</v>
      </c>
      <c r="C541" s="6" t="s">
        <v>1581</v>
      </c>
      <c r="D541" s="6" t="s">
        <v>1627</v>
      </c>
      <c r="E541" s="6" t="s">
        <v>1622</v>
      </c>
      <c r="F541" s="6" t="str">
        <f>HYPERLINK("http://www.novashoes.it/","http://www.novashoes.it")</f>
        <v>http://www.novashoes.it</v>
      </c>
    </row>
    <row r="542" spans="1:6" ht="16.95" customHeight="1" x14ac:dyDescent="0.25">
      <c r="A542" s="5" t="s">
        <v>1628</v>
      </c>
      <c r="B542" s="4" t="s">
        <v>1629</v>
      </c>
      <c r="C542" s="4" t="s">
        <v>1581</v>
      </c>
      <c r="D542" s="4" t="s">
        <v>1589</v>
      </c>
      <c r="E542" s="4" t="s">
        <v>1585</v>
      </c>
      <c r="F542" s="4" t="str">
        <f>HYPERLINK("http://www.simonettarossi.com/","www.simonettarossi.com")</f>
        <v>www.simonettarossi.com</v>
      </c>
    </row>
    <row r="543" spans="1:6" ht="29.55" customHeight="1" x14ac:dyDescent="0.25">
      <c r="A543" s="1" t="s">
        <v>1630</v>
      </c>
      <c r="B543" s="6" t="s">
        <v>1631</v>
      </c>
      <c r="C543" s="6" t="s">
        <v>1581</v>
      </c>
      <c r="D543" s="6" t="s">
        <v>1627</v>
      </c>
      <c r="E543" s="6" t="s">
        <v>1622</v>
      </c>
      <c r="F543" s="6" t="str">
        <f>HYPERLINK("http://montebove.com/","montebove.com")</f>
        <v>montebove.com</v>
      </c>
    </row>
    <row r="544" spans="1:6" ht="29.55" customHeight="1" x14ac:dyDescent="0.25">
      <c r="A544" s="5" t="s">
        <v>1632</v>
      </c>
      <c r="B544" s="4" t="s">
        <v>1633</v>
      </c>
      <c r="C544" s="4" t="s">
        <v>1581</v>
      </c>
      <c r="D544" s="4" t="s">
        <v>1605</v>
      </c>
      <c r="E544" s="4" t="s">
        <v>1583</v>
      </c>
      <c r="F544" s="4" t="str">
        <f>HYPERLINK("http://www.accademiashoes.it/","http://www.accademiashoes.it")</f>
        <v>http://www.accademiashoes.it</v>
      </c>
    </row>
    <row r="545" spans="1:6" ht="16.95" customHeight="1" x14ac:dyDescent="0.25">
      <c r="A545" s="1" t="s">
        <v>1634</v>
      </c>
      <c r="B545" s="6" t="s">
        <v>1635</v>
      </c>
      <c r="C545" s="6" t="s">
        <v>1588</v>
      </c>
      <c r="D545" s="6" t="s">
        <v>1589</v>
      </c>
      <c r="E545" s="6" t="s">
        <v>1585</v>
      </c>
      <c r="F545" s="6" t="str">
        <f>HYPERLINK("http://conceriapagni.it/","conceriapagni.it")</f>
        <v>conceriapagni.it</v>
      </c>
    </row>
    <row r="546" spans="1:6" ht="29.55" customHeight="1" x14ac:dyDescent="0.25">
      <c r="A546" s="5" t="s">
        <v>1636</v>
      </c>
      <c r="B546" s="4" t="s">
        <v>1637</v>
      </c>
      <c r="C546" s="4" t="s">
        <v>1581</v>
      </c>
      <c r="D546" s="4" t="s">
        <v>1627</v>
      </c>
      <c r="E546" s="4" t="s">
        <v>1622</v>
      </c>
      <c r="F546" s="4" t="str">
        <f>HYPERLINK("http://www.calzaturificiomarcos.it/","www.calzaturificiomarcos.it")</f>
        <v>www.calzaturificiomarcos.it</v>
      </c>
    </row>
    <row r="547" spans="1:6" ht="16.95" customHeight="1" x14ac:dyDescent="0.25">
      <c r="A547" s="1" t="s">
        <v>1638</v>
      </c>
      <c r="B547" s="6" t="s">
        <v>1639</v>
      </c>
      <c r="C547" s="6" t="s">
        <v>1581</v>
      </c>
      <c r="D547" s="6" t="s">
        <v>1605</v>
      </c>
      <c r="E547" s="6" t="s">
        <v>1583</v>
      </c>
      <c r="F547" s="6" t="str">
        <f>HYPERLINK("http://www.bettiosrl.it/","www.bettiosrl.it")</f>
        <v>www.bettiosrl.it</v>
      </c>
    </row>
    <row r="548" spans="1:6" ht="29.55" customHeight="1" x14ac:dyDescent="0.25">
      <c r="A548" s="5" t="s">
        <v>1640</v>
      </c>
      <c r="B548" s="4" t="s">
        <v>1641</v>
      </c>
      <c r="C548" s="4" t="s">
        <v>1581</v>
      </c>
      <c r="D548" s="4" t="s">
        <v>1642</v>
      </c>
      <c r="E548" s="4" t="s">
        <v>1583</v>
      </c>
      <c r="F548" s="4" t="str">
        <f>HYPERLINK("http://www.exportacc.it/","www.exportacc.it")</f>
        <v>www.exportacc.it</v>
      </c>
    </row>
    <row r="549" spans="1:6" ht="16.95" customHeight="1" x14ac:dyDescent="0.25">
      <c r="A549" s="1" t="s">
        <v>1643</v>
      </c>
      <c r="B549" s="6" t="s">
        <v>1644</v>
      </c>
      <c r="C549" s="6" t="s">
        <v>1588</v>
      </c>
      <c r="D549" s="6" t="s">
        <v>1584</v>
      </c>
      <c r="E549" s="6" t="s">
        <v>1585</v>
      </c>
      <c r="F549" s="6" t="str">
        <f>HYPERLINK("http://conceriaupimar.it/","conceriaupimar.it")</f>
        <v>conceriaupimar.it</v>
      </c>
    </row>
    <row r="550" spans="1:6" ht="16.95" customHeight="1" x14ac:dyDescent="0.25">
      <c r="A550" s="5" t="s">
        <v>1645</v>
      </c>
      <c r="B550" s="4" t="s">
        <v>1646</v>
      </c>
      <c r="C550" s="4" t="s">
        <v>1581</v>
      </c>
      <c r="D550" s="4" t="s">
        <v>1601</v>
      </c>
      <c r="E550" s="4" t="s">
        <v>1593</v>
      </c>
      <c r="F550" s="4" t="str">
        <f>HYPERLINK("http://www.divinasrl.com/","www.divinasrl.com")</f>
        <v>www.divinasrl.com</v>
      </c>
    </row>
    <row r="551" spans="1:6" ht="16.95" customHeight="1" x14ac:dyDescent="0.25">
      <c r="A551" s="1" t="s">
        <v>1647</v>
      </c>
      <c r="B551" s="6" t="s">
        <v>1648</v>
      </c>
      <c r="C551" s="6" t="s">
        <v>1604</v>
      </c>
      <c r="D551" s="6" t="s">
        <v>1617</v>
      </c>
      <c r="E551" s="6" t="s">
        <v>1585</v>
      </c>
      <c r="F551" s="6" t="str">
        <f>HYPERLINK("http://www.pamisrl.com/","www.pamisrl.com")</f>
        <v>www.pamisrl.com</v>
      </c>
    </row>
    <row r="552" spans="1:6" ht="16.95" customHeight="1" x14ac:dyDescent="0.25">
      <c r="A552" s="5" t="s">
        <v>1649</v>
      </c>
      <c r="B552" s="4" t="s">
        <v>1650</v>
      </c>
      <c r="C552" s="4" t="s">
        <v>1581</v>
      </c>
      <c r="D552" s="4" t="s">
        <v>1651</v>
      </c>
      <c r="E552" s="4" t="s">
        <v>1652</v>
      </c>
      <c r="F552" s="4" t="str">
        <f>HYPERLINK("http://www.thierryrabotin.shop/","www.thierryrabotin.shop")</f>
        <v>www.thierryrabotin.shop</v>
      </c>
    </row>
    <row r="553" spans="1:6" ht="16.95" customHeight="1" x14ac:dyDescent="0.25">
      <c r="A553" s="1" t="s">
        <v>1653</v>
      </c>
      <c r="B553" s="6" t="s">
        <v>1654</v>
      </c>
      <c r="C553" s="6" t="s">
        <v>1604</v>
      </c>
      <c r="D553" s="6" t="s">
        <v>1589</v>
      </c>
      <c r="E553" s="6" t="s">
        <v>1585</v>
      </c>
      <c r="F553" s="6" t="str">
        <f>HYPERLINK("http://www.ars-suola.it/","www.ars-suola.it")</f>
        <v>www.ars-suola.it</v>
      </c>
    </row>
    <row r="554" spans="1:6" ht="16.95" customHeight="1" x14ac:dyDescent="0.25">
      <c r="A554" s="5" t="s">
        <v>1655</v>
      </c>
      <c r="B554" s="4" t="s">
        <v>1656</v>
      </c>
      <c r="C554" s="4" t="s">
        <v>1581</v>
      </c>
      <c r="D554" s="4" t="s">
        <v>1657</v>
      </c>
      <c r="E554" s="4" t="s">
        <v>1583</v>
      </c>
      <c r="F554" s="4" t="str">
        <f>HYPERLINK("http://shop.armond.com/","shop.armond.com")</f>
        <v>shop.armond.com</v>
      </c>
    </row>
    <row r="555" spans="1:6" ht="16.95" customHeight="1" x14ac:dyDescent="0.25">
      <c r="A555" s="1" t="s">
        <v>1658</v>
      </c>
      <c r="B555" s="6" t="s">
        <v>1659</v>
      </c>
      <c r="C555" s="6" t="s">
        <v>1581</v>
      </c>
      <c r="D555" s="6" t="s">
        <v>1614</v>
      </c>
      <c r="E555" s="6" t="s">
        <v>1585</v>
      </c>
      <c r="F555" s="6" t="str">
        <f>HYPERLINK("http://www.regshoes.it/","www.regshoes.it")</f>
        <v>www.regshoes.it</v>
      </c>
    </row>
    <row r="556" spans="1:6" ht="29.55" customHeight="1" x14ac:dyDescent="0.25">
      <c r="A556" s="5" t="s">
        <v>1660</v>
      </c>
      <c r="B556" s="4" t="s">
        <v>1661</v>
      </c>
      <c r="C556" s="4" t="s">
        <v>1588</v>
      </c>
      <c r="D556" s="4" t="s">
        <v>1662</v>
      </c>
      <c r="E556" s="4" t="s">
        <v>1583</v>
      </c>
      <c r="F556" s="4" t="str">
        <f>HYPERLINK("http://www.conceriads.it/","http://www.conceriads.it")</f>
        <v>http://www.conceriads.it</v>
      </c>
    </row>
    <row r="557" spans="1:6" ht="16.95" customHeight="1" x14ac:dyDescent="0.25">
      <c r="A557" s="1" t="s">
        <v>1663</v>
      </c>
      <c r="B557" s="6" t="s">
        <v>1664</v>
      </c>
      <c r="C557" s="6" t="s">
        <v>1581</v>
      </c>
      <c r="D557" s="6" t="s">
        <v>1651</v>
      </c>
      <c r="E557" s="6" t="s">
        <v>1652</v>
      </c>
      <c r="F557" s="6" t="str">
        <f>HYPERLINK("http://blackboard.it/","blackboard.it")</f>
        <v>blackboard.it</v>
      </c>
    </row>
    <row r="558" spans="1:6" ht="16.95" customHeight="1" x14ac:dyDescent="0.25">
      <c r="A558" s="5" t="s">
        <v>1665</v>
      </c>
      <c r="B558" s="4" t="s">
        <v>1666</v>
      </c>
      <c r="C558" s="4" t="s">
        <v>1588</v>
      </c>
      <c r="D558" s="4" t="s">
        <v>1662</v>
      </c>
      <c r="E558" s="4" t="s">
        <v>1583</v>
      </c>
      <c r="F558" s="4" t="str">
        <f>HYPERLINK("http://dimar.com/","dimar.com")</f>
        <v>dimar.com</v>
      </c>
    </row>
    <row r="559" spans="1:6" ht="16.95" customHeight="1" x14ac:dyDescent="0.25">
      <c r="A559" s="1" t="s">
        <v>1667</v>
      </c>
      <c r="B559" s="6" t="s">
        <v>1668</v>
      </c>
      <c r="C559" s="6" t="s">
        <v>1669</v>
      </c>
      <c r="D559" s="6" t="s">
        <v>1670</v>
      </c>
      <c r="E559" s="6" t="s">
        <v>1671</v>
      </c>
      <c r="F559" s="6" t="str">
        <f>HYPERLINK("http://nordpellami.com/","nordpellami.com")</f>
        <v>nordpellami.com</v>
      </c>
    </row>
    <row r="560" spans="1:6" ht="16.95" customHeight="1" x14ac:dyDescent="0.25">
      <c r="A560" s="5" t="s">
        <v>1672</v>
      </c>
      <c r="B560" s="4" t="s">
        <v>1673</v>
      </c>
      <c r="C560" s="4" t="s">
        <v>1674</v>
      </c>
      <c r="D560" s="4" t="s">
        <v>1670</v>
      </c>
      <c r="E560" s="4" t="s">
        <v>1671</v>
      </c>
      <c r="F560" s="4" t="str">
        <f>HYPERLINK("http://www.cb-pelletterie.com/","www.cb-pelletterie.com")</f>
        <v>www.cb-pelletterie.com</v>
      </c>
    </row>
    <row r="561" spans="1:6" ht="16.95" customHeight="1" x14ac:dyDescent="0.25">
      <c r="A561" s="1" t="s">
        <v>1675</v>
      </c>
      <c r="B561" s="6" t="s">
        <v>1676</v>
      </c>
      <c r="C561" s="6" t="s">
        <v>1677</v>
      </c>
      <c r="D561" s="6" t="s">
        <v>1678</v>
      </c>
      <c r="E561" s="6" t="s">
        <v>1679</v>
      </c>
      <c r="F561" s="6" t="str">
        <f>HYPERLINK("http://www.prosperine.it/","www.prosperine.it")</f>
        <v>www.prosperine.it</v>
      </c>
    </row>
    <row r="562" spans="1:6" ht="16.95" customHeight="1" x14ac:dyDescent="0.25">
      <c r="A562" s="5" t="s">
        <v>1680</v>
      </c>
      <c r="B562" s="4" t="s">
        <v>1681</v>
      </c>
      <c r="C562" s="4" t="s">
        <v>1682</v>
      </c>
      <c r="D562" s="4" t="s">
        <v>1670</v>
      </c>
      <c r="E562" s="4" t="s">
        <v>1671</v>
      </c>
      <c r="F562" s="4" t="str">
        <f>HYPERLINK("http://www.cpleathers.com/","www.cpleathers.com")</f>
        <v>www.cpleathers.com</v>
      </c>
    </row>
    <row r="563" spans="1:6" ht="55.65" customHeight="1" x14ac:dyDescent="0.25">
      <c r="A563" s="1" t="s">
        <v>1683</v>
      </c>
      <c r="B563" s="6" t="s">
        <v>1684</v>
      </c>
      <c r="C563" s="6" t="s">
        <v>1682</v>
      </c>
      <c r="D563" s="6" t="s">
        <v>1685</v>
      </c>
      <c r="E563" s="6" t="s">
        <v>1686</v>
      </c>
      <c r="F563" s="6" t="str">
        <f>HYPERLINK("http://www.conceriadellaneve.it/","www.conceriadellaneve.it")</f>
        <v>www.conceriadellaneve.it</v>
      </c>
    </row>
    <row r="564" spans="1:6" ht="55.65" customHeight="1" x14ac:dyDescent="0.25">
      <c r="A564" s="1" t="s">
        <v>1687</v>
      </c>
      <c r="B564" s="6" t="s">
        <v>1688</v>
      </c>
      <c r="C564" s="6" t="s">
        <v>1674</v>
      </c>
      <c r="D564" s="6" t="s">
        <v>1689</v>
      </c>
      <c r="E564" s="6" t="s">
        <v>1679</v>
      </c>
      <c r="F564" s="6" t="str">
        <f>HYPERLINK("http://www.verderana.it/","www.verderana.it")</f>
        <v>www.verderana.it</v>
      </c>
    </row>
    <row r="565" spans="1:6" ht="16.95" customHeight="1" x14ac:dyDescent="0.25">
      <c r="A565" s="5" t="s">
        <v>1691</v>
      </c>
      <c r="B565" s="4" t="s">
        <v>1692</v>
      </c>
      <c r="C565" s="4" t="s">
        <v>1677</v>
      </c>
      <c r="D565" s="4" t="s">
        <v>1693</v>
      </c>
      <c r="E565" s="4" t="s">
        <v>1694</v>
      </c>
      <c r="F565" s="4" t="str">
        <f>HYPERLINK("http://www.salacalzature.it/","www.salacalzature.it")</f>
        <v>www.salacalzature.it</v>
      </c>
    </row>
    <row r="566" spans="1:6" ht="16.95" customHeight="1" x14ac:dyDescent="0.25">
      <c r="A566" s="1" t="s">
        <v>1695</v>
      </c>
      <c r="B566" s="6" t="s">
        <v>1696</v>
      </c>
      <c r="C566" s="6" t="s">
        <v>1677</v>
      </c>
      <c r="D566" s="6" t="s">
        <v>1697</v>
      </c>
      <c r="E566" s="6" t="s">
        <v>1671</v>
      </c>
      <c r="F566" s="6" t="str">
        <f>HYPERLINK("http://www.sandrovicari.it/","www.sandrovicari.it")</f>
        <v>www.sandrovicari.it</v>
      </c>
    </row>
    <row r="567" spans="1:6" ht="16.95" customHeight="1" x14ac:dyDescent="0.25">
      <c r="A567" s="5" t="s">
        <v>1698</v>
      </c>
      <c r="B567" s="4" t="s">
        <v>1699</v>
      </c>
      <c r="C567" s="4" t="s">
        <v>1677</v>
      </c>
      <c r="D567" s="4" t="s">
        <v>1700</v>
      </c>
      <c r="E567" s="4" t="s">
        <v>1686</v>
      </c>
      <c r="F567" s="4" t="str">
        <f>HYPERLINK("http://www.micmarshoes.it/","www.micmarshoes.it")</f>
        <v>www.micmarshoes.it</v>
      </c>
    </row>
    <row r="568" spans="1:6" ht="16.95" customHeight="1" x14ac:dyDescent="0.25">
      <c r="A568" s="1" t="s">
        <v>1701</v>
      </c>
      <c r="B568" s="6" t="s">
        <v>1702</v>
      </c>
      <c r="C568" s="6" t="s">
        <v>1682</v>
      </c>
      <c r="D568" s="6" t="s">
        <v>1690</v>
      </c>
      <c r="E568" s="6" t="s">
        <v>1679</v>
      </c>
      <c r="F568" s="6" t="str">
        <f>HYPERLINK("http://www.carliconc.net/","www.carliconc.net")</f>
        <v>www.carliconc.net</v>
      </c>
    </row>
    <row r="569" spans="1:6" ht="16.95" customHeight="1" x14ac:dyDescent="0.25">
      <c r="A569" s="1" t="s">
        <v>1703</v>
      </c>
      <c r="B569" s="6" t="s">
        <v>1704</v>
      </c>
      <c r="C569" s="6" t="s">
        <v>1677</v>
      </c>
      <c r="D569" s="6" t="s">
        <v>1705</v>
      </c>
      <c r="E569" s="6" t="s">
        <v>1706</v>
      </c>
      <c r="F569" s="6" t="str">
        <f>HYPERLINK("http://www.rossanobisconti.it/","http://www.rossanobisconti.it")</f>
        <v>http://www.rossanobisconti.it</v>
      </c>
    </row>
    <row r="570" spans="1:6" ht="16.95" customHeight="1" x14ac:dyDescent="0.25">
      <c r="A570" s="1" t="s">
        <v>1707</v>
      </c>
      <c r="B570" s="6" t="s">
        <v>1708</v>
      </c>
      <c r="C570" s="6" t="s">
        <v>1709</v>
      </c>
      <c r="D570" s="6" t="s">
        <v>1690</v>
      </c>
      <c r="E570" s="6" t="s">
        <v>1679</v>
      </c>
      <c r="F570" s="6" t="str">
        <f>HYPERLINK("http://www.solettificioilveliero-calcinaia.it/","www.solettificioilveliero-calcinaia.it")</f>
        <v>www.solettificioilveliero-calcinaia.it</v>
      </c>
    </row>
    <row r="571" spans="1:6" ht="16.95" customHeight="1" x14ac:dyDescent="0.25">
      <c r="A571" s="5" t="s">
        <v>1710</v>
      </c>
      <c r="B571" s="4" t="s">
        <v>1711</v>
      </c>
      <c r="C571" s="4" t="s">
        <v>1674</v>
      </c>
      <c r="D571" s="4" t="s">
        <v>1689</v>
      </c>
      <c r="E571" s="4" t="s">
        <v>1679</v>
      </c>
      <c r="F571" s="4" t="str">
        <f>HYPERLINK("http://www.cristianspa.com/","www.cristianspa.com")</f>
        <v>www.cristianspa.com</v>
      </c>
    </row>
    <row r="572" spans="1:6" ht="29.55" customHeight="1" x14ac:dyDescent="0.25">
      <c r="A572" s="1" t="s">
        <v>1712</v>
      </c>
      <c r="B572" s="6" t="s">
        <v>1713</v>
      </c>
      <c r="C572" s="6" t="s">
        <v>1677</v>
      </c>
      <c r="D572" s="6" t="s">
        <v>1705</v>
      </c>
      <c r="E572" s="6" t="s">
        <v>1706</v>
      </c>
      <c r="F572" s="6" t="str">
        <f>HYPERLINK("http://www.silvanosassetti.it/","www.silvanosassetti.it")</f>
        <v>www.silvanosassetti.it</v>
      </c>
    </row>
    <row r="573" spans="1:6" ht="29.55" customHeight="1" x14ac:dyDescent="0.25">
      <c r="A573" s="1" t="s">
        <v>1714</v>
      </c>
      <c r="B573" s="6" t="s">
        <v>1715</v>
      </c>
      <c r="C573" s="6" t="s">
        <v>1677</v>
      </c>
      <c r="D573" s="6" t="s">
        <v>1716</v>
      </c>
      <c r="E573" s="6" t="s">
        <v>1706</v>
      </c>
      <c r="F573" s="6" t="str">
        <f>HYPERLINK("http://www.napoleoni.it/","www.napoleoni.it")</f>
        <v>www.napoleoni.it</v>
      </c>
    </row>
    <row r="574" spans="1:6" ht="16.95" customHeight="1" x14ac:dyDescent="0.25">
      <c r="A574" s="1" t="s">
        <v>1718</v>
      </c>
      <c r="B574" s="6" t="s">
        <v>1719</v>
      </c>
      <c r="C574" s="6" t="s">
        <v>1677</v>
      </c>
      <c r="D574" s="6" t="s">
        <v>1705</v>
      </c>
      <c r="E574" s="6" t="s">
        <v>1706</v>
      </c>
      <c r="F574" s="6" t="str">
        <f>HYPERLINK("http://www.andreamontelpare.com/","www.andreamontelpare.com")</f>
        <v>www.andreamontelpare.com</v>
      </c>
    </row>
    <row r="575" spans="1:6" ht="16.95" customHeight="1" x14ac:dyDescent="0.25">
      <c r="A575" s="5" t="s">
        <v>1720</v>
      </c>
      <c r="B575" s="4" t="s">
        <v>1721</v>
      </c>
      <c r="C575" s="4" t="s">
        <v>1669</v>
      </c>
      <c r="D575" s="4" t="s">
        <v>1722</v>
      </c>
      <c r="E575" s="4" t="s">
        <v>1717</v>
      </c>
      <c r="F575" s="4" t="str">
        <f>HYPERLINK("http://www.calandrini.it/","www.calandrini.it")</f>
        <v>www.calandrini.it</v>
      </c>
    </row>
    <row r="576" spans="1:6" ht="16.95" customHeight="1" x14ac:dyDescent="0.25">
      <c r="A576" s="1" t="s">
        <v>1723</v>
      </c>
      <c r="B576" s="6" t="s">
        <v>1724</v>
      </c>
      <c r="C576" s="6" t="s">
        <v>1677</v>
      </c>
      <c r="D576" s="6" t="s">
        <v>1716</v>
      </c>
      <c r="E576" s="6" t="s">
        <v>1706</v>
      </c>
      <c r="F576" s="6" t="str">
        <f>HYPERLINK("http://www.afgitaly.com/","www.afgitaly.com")</f>
        <v>www.afgitaly.com</v>
      </c>
    </row>
    <row r="577" spans="1:6" ht="16.95" customHeight="1" x14ac:dyDescent="0.25">
      <c r="A577" s="1" t="s">
        <v>1725</v>
      </c>
      <c r="B577" s="6" t="s">
        <v>1726</v>
      </c>
      <c r="C577" s="6" t="s">
        <v>1727</v>
      </c>
      <c r="D577" s="6" t="s">
        <v>1728</v>
      </c>
      <c r="E577" s="6" t="s">
        <v>1729</v>
      </c>
      <c r="F577" s="6" t="str">
        <f>HYPERLINK("http://www.sabatinicalzature.com/","www.sabatinicalzature.com")</f>
        <v>www.sabatinicalzature.com</v>
      </c>
    </row>
    <row r="578" spans="1:6" ht="16.95" customHeight="1" x14ac:dyDescent="0.25">
      <c r="A578" s="5" t="s">
        <v>1734</v>
      </c>
      <c r="B578" s="4" t="s">
        <v>1735</v>
      </c>
      <c r="C578" s="4" t="s">
        <v>1731</v>
      </c>
      <c r="D578" s="4" t="s">
        <v>1736</v>
      </c>
      <c r="E578" s="4" t="s">
        <v>1737</v>
      </c>
      <c r="F578" s="4" t="str">
        <f>HYPERLINK("http://www.conceriaemmedue.com/","www.conceriaemmedue.com")</f>
        <v>www.conceriaemmedue.com</v>
      </c>
    </row>
    <row r="579" spans="1:6" ht="16.95" customHeight="1" x14ac:dyDescent="0.25">
      <c r="A579" s="1" t="s">
        <v>1741</v>
      </c>
      <c r="B579" s="6" t="s">
        <v>1742</v>
      </c>
      <c r="C579" s="6" t="s">
        <v>1743</v>
      </c>
      <c r="D579" s="6" t="s">
        <v>1744</v>
      </c>
      <c r="E579" s="6" t="s">
        <v>1737</v>
      </c>
      <c r="F579" s="6" t="str">
        <f>HYPERLINK("http://beltrameluciano.com/","beltrameluciano.com")</f>
        <v>beltrameluciano.com</v>
      </c>
    </row>
    <row r="580" spans="1:6" ht="29.55" customHeight="1" x14ac:dyDescent="0.25">
      <c r="A580" s="5" t="s">
        <v>1745</v>
      </c>
      <c r="B580" s="4" t="s">
        <v>1746</v>
      </c>
      <c r="C580" s="4" t="s">
        <v>1731</v>
      </c>
      <c r="D580" s="4" t="s">
        <v>1736</v>
      </c>
      <c r="E580" s="4" t="s">
        <v>1737</v>
      </c>
      <c r="F580" s="4" t="str">
        <f>HYPERLINK("http://www.adler-chemicals.com/","http://www.adler-chemicals.com")</f>
        <v>http://www.adler-chemicals.com</v>
      </c>
    </row>
    <row r="581" spans="1:6" ht="16.95" customHeight="1" x14ac:dyDescent="0.25">
      <c r="A581" s="5" t="s">
        <v>1747</v>
      </c>
      <c r="B581" s="4" t="s">
        <v>1748</v>
      </c>
      <c r="C581" s="4" t="s">
        <v>1730</v>
      </c>
      <c r="D581" s="4" t="s">
        <v>1749</v>
      </c>
      <c r="E581" s="4" t="s">
        <v>1750</v>
      </c>
      <c r="F581" s="4" t="str">
        <f>HYPERLINK("http://anna-rossi.it/language/it","anna-rossi.it/language/it")</f>
        <v>anna-rossi.it/language/it</v>
      </c>
    </row>
    <row r="582" spans="1:6" ht="43.05" customHeight="1" x14ac:dyDescent="0.25">
      <c r="A582" s="1" t="s">
        <v>1751</v>
      </c>
      <c r="B582" s="6" t="s">
        <v>1752</v>
      </c>
      <c r="C582" s="6" t="s">
        <v>1738</v>
      </c>
      <c r="D582" s="6" t="s">
        <v>1736</v>
      </c>
      <c r="E582" s="6" t="s">
        <v>1737</v>
      </c>
      <c r="F582" s="6" t="str">
        <f>HYPERLINK("http://www.susimoda.it/","www.susimoda.it")</f>
        <v>www.susimoda.it</v>
      </c>
    </row>
    <row r="583" spans="1:6" ht="16.95" customHeight="1" x14ac:dyDescent="0.25">
      <c r="A583" s="1" t="s">
        <v>1753</v>
      </c>
      <c r="B583" s="6" t="s">
        <v>1754</v>
      </c>
      <c r="C583" s="6" t="s">
        <v>1731</v>
      </c>
      <c r="D583" s="6" t="s">
        <v>1732</v>
      </c>
      <c r="E583" s="6" t="s">
        <v>1733</v>
      </c>
      <c r="F583" s="6" t="str">
        <f>HYPERLINK("http://morellinopelli.it/","morellinopelli.it")</f>
        <v>morellinopelli.it</v>
      </c>
    </row>
    <row r="584" spans="1:6" ht="16.95" customHeight="1" x14ac:dyDescent="0.25">
      <c r="A584" s="5" t="s">
        <v>1755</v>
      </c>
      <c r="B584" s="4" t="s">
        <v>1756</v>
      </c>
      <c r="C584" s="4" t="s">
        <v>1730</v>
      </c>
      <c r="D584" s="4" t="s">
        <v>1757</v>
      </c>
      <c r="E584" s="4" t="s">
        <v>1758</v>
      </c>
      <c r="F584" s="4" t="str">
        <f>HYPERLINK("http://oltredonna.com/","oltredonna.com")</f>
        <v>oltredonna.com</v>
      </c>
    </row>
    <row r="585" spans="1:6" ht="16.95" customHeight="1" x14ac:dyDescent="0.25">
      <c r="A585" s="1" t="s">
        <v>1759</v>
      </c>
      <c r="B585" s="6" t="s">
        <v>1760</v>
      </c>
      <c r="C585" s="6" t="s">
        <v>1743</v>
      </c>
      <c r="D585" s="6" t="s">
        <v>1761</v>
      </c>
      <c r="E585" s="6" t="s">
        <v>1737</v>
      </c>
      <c r="F585" s="6" t="str">
        <f>HYPERLINK("http://solettificiovigna.com/","solettificiovigna.com")</f>
        <v>solettificiovigna.com</v>
      </c>
    </row>
    <row r="586" spans="1:6" ht="16.95" customHeight="1" x14ac:dyDescent="0.25">
      <c r="A586" s="1" t="s">
        <v>1762</v>
      </c>
      <c r="B586" s="6" t="s">
        <v>1763</v>
      </c>
      <c r="C586" s="6" t="s">
        <v>1743</v>
      </c>
      <c r="D586" s="6" t="s">
        <v>1764</v>
      </c>
      <c r="E586" s="6" t="s">
        <v>1740</v>
      </c>
      <c r="F586" s="6" t="str">
        <f>HYPERLINK("http://www.rmsuole.com/","www.rmsuole.com")</f>
        <v>www.rmsuole.com</v>
      </c>
    </row>
    <row r="587" spans="1:6" ht="55.65" customHeight="1" x14ac:dyDescent="0.25">
      <c r="A587" s="5" t="s">
        <v>1765</v>
      </c>
      <c r="B587" s="4" t="s">
        <v>1766</v>
      </c>
      <c r="C587" s="4" t="s">
        <v>1731</v>
      </c>
      <c r="D587" s="4" t="s">
        <v>1767</v>
      </c>
      <c r="E587" s="4" t="s">
        <v>1768</v>
      </c>
      <c r="F587" s="4" t="str">
        <f>HYPERLINK("http://www.mesi.it/","www.mesi.it")</f>
        <v>www.mesi.it</v>
      </c>
    </row>
    <row r="588" spans="1:6" ht="29.55" customHeight="1" x14ac:dyDescent="0.25">
      <c r="A588" s="1" t="s">
        <v>1769</v>
      </c>
      <c r="B588" s="6" t="s">
        <v>1770</v>
      </c>
      <c r="C588" s="6" t="s">
        <v>1743</v>
      </c>
      <c r="D588" s="6" t="s">
        <v>1771</v>
      </c>
      <c r="E588" s="6" t="s">
        <v>1750</v>
      </c>
      <c r="F588" s="6" t="str">
        <f>HYPERLINK("http://www.solettificiocompagnone.it/","www.solettificiocompagnone.it")</f>
        <v>www.solettificiocompagnone.it</v>
      </c>
    </row>
    <row r="589" spans="1:6" ht="16.95" customHeight="1" x14ac:dyDescent="0.25">
      <c r="A589" s="5" t="s">
        <v>1772</v>
      </c>
      <c r="B589" s="4" t="s">
        <v>1773</v>
      </c>
      <c r="C589" s="4" t="s">
        <v>1727</v>
      </c>
      <c r="D589" s="4" t="s">
        <v>1739</v>
      </c>
      <c r="E589" s="4" t="s">
        <v>1740</v>
      </c>
      <c r="F589" s="4" t="str">
        <f>HYPERLINK("http://www.marialuisa.info/","www.marialuisa.info")</f>
        <v>www.marialuisa.info</v>
      </c>
    </row>
    <row r="590" spans="1:6" ht="16.95" customHeight="1" x14ac:dyDescent="0.25">
      <c r="A590" s="1" t="s">
        <v>1774</v>
      </c>
      <c r="B590" s="6" t="s">
        <v>1775</v>
      </c>
      <c r="C590" s="6" t="s">
        <v>1730</v>
      </c>
      <c r="D590" s="6" t="s">
        <v>1776</v>
      </c>
      <c r="E590" s="6" t="s">
        <v>1733</v>
      </c>
      <c r="F590" s="6" t="str">
        <f>HYPERLINK("http://www.pineider.com/","www.pineider.com")</f>
        <v>www.pineider.com</v>
      </c>
    </row>
    <row r="591" spans="1:6" ht="16.95" customHeight="1" x14ac:dyDescent="0.25">
      <c r="A591" s="5" t="s">
        <v>1777</v>
      </c>
      <c r="B591" s="4" t="s">
        <v>1778</v>
      </c>
      <c r="C591" s="4" t="s">
        <v>1743</v>
      </c>
      <c r="D591" s="4" t="s">
        <v>1779</v>
      </c>
      <c r="E591" s="4" t="s">
        <v>1750</v>
      </c>
      <c r="F591" s="4" t="str">
        <f>HYPERLINK("http://www.apcsrl.it/","http://www.apcsrl.it")</f>
        <v>http://www.apcsrl.it</v>
      </c>
    </row>
    <row r="592" spans="1:6" ht="16.95" customHeight="1" x14ac:dyDescent="0.25">
      <c r="A592" s="1" t="s">
        <v>1780</v>
      </c>
      <c r="B592" s="6" t="s">
        <v>1781</v>
      </c>
      <c r="C592" s="6" t="s">
        <v>1730</v>
      </c>
      <c r="D592" s="6" t="s">
        <v>1776</v>
      </c>
      <c r="E592" s="6" t="s">
        <v>1733</v>
      </c>
      <c r="F592" s="6" t="str">
        <f>HYPERLINK("http://www.becpelletterie.it/","www.becpelletterie.it")</f>
        <v>www.becpelletterie.it</v>
      </c>
    </row>
    <row r="593" spans="1:6" ht="16.95" customHeight="1" x14ac:dyDescent="0.25">
      <c r="A593" s="5" t="s">
        <v>1782</v>
      </c>
      <c r="B593" s="4" t="s">
        <v>1783</v>
      </c>
      <c r="C593" s="4" t="s">
        <v>1743</v>
      </c>
      <c r="D593" s="4" t="s">
        <v>1764</v>
      </c>
      <c r="E593" s="4" t="s">
        <v>1740</v>
      </c>
      <c r="F593" s="4" t="str">
        <f>HYPERLINK("http://www.prefinitisimon.com/","www.prefinitisimon.com")</f>
        <v>www.prefinitisimon.com</v>
      </c>
    </row>
    <row r="594" spans="1:6" ht="16.95" customHeight="1" x14ac:dyDescent="0.25">
      <c r="A594" s="5" t="s">
        <v>1784</v>
      </c>
      <c r="B594" s="4" t="s">
        <v>1785</v>
      </c>
      <c r="C594" s="4" t="s">
        <v>1743</v>
      </c>
      <c r="D594" s="4" t="s">
        <v>1786</v>
      </c>
      <c r="E594" s="4" t="s">
        <v>1737</v>
      </c>
      <c r="F594" s="4" t="str">
        <f>HYPERLINK("http://www.tre-bi.it/","http://www.tre-bi.it")</f>
        <v>http://www.tre-bi.it</v>
      </c>
    </row>
    <row r="595" spans="1:6" ht="16.95" customHeight="1" x14ac:dyDescent="0.25">
      <c r="A595" s="1" t="s">
        <v>1787</v>
      </c>
      <c r="B595" s="6" t="s">
        <v>1788</v>
      </c>
      <c r="C595" s="6" t="s">
        <v>1731</v>
      </c>
      <c r="D595" s="6" t="s">
        <v>1732</v>
      </c>
      <c r="E595" s="6" t="s">
        <v>1733</v>
      </c>
      <c r="F595" s="6" t="str">
        <f>HYPERLINK("http://www.conceriacaravaggio.it/","www.conceriacaravaggio.it")</f>
        <v>www.conceriacaravaggio.it</v>
      </c>
    </row>
    <row r="596" spans="1:6" ht="29.55" customHeight="1" x14ac:dyDescent="0.25">
      <c r="A596" s="5" t="s">
        <v>1789</v>
      </c>
      <c r="B596" s="4" t="s">
        <v>1790</v>
      </c>
      <c r="C596" s="4" t="s">
        <v>1731</v>
      </c>
      <c r="D596" s="4" t="s">
        <v>1732</v>
      </c>
      <c r="E596" s="4" t="s">
        <v>1733</v>
      </c>
      <c r="F596" s="4" t="str">
        <f>HYPERLINK("http://www.conceriacaponigiuseppe.it/","www.conceriacaponigiuseppe.it")</f>
        <v>www.conceriacaponigiuseppe.it</v>
      </c>
    </row>
    <row r="597" spans="1:6" ht="29.55" customHeight="1" x14ac:dyDescent="0.25">
      <c r="A597" s="1" t="s">
        <v>1796</v>
      </c>
      <c r="B597" s="6" t="s">
        <v>1797</v>
      </c>
      <c r="C597" s="6" t="s">
        <v>1791</v>
      </c>
      <c r="D597" s="6" t="s">
        <v>1798</v>
      </c>
      <c r="E597" s="6" t="s">
        <v>1795</v>
      </c>
      <c r="F597" s="6" t="str">
        <f>HYPERLINK("http://www.conceriapuccini.com/","www.conceriapuccini.com")</f>
        <v>www.conceriapuccini.com</v>
      </c>
    </row>
    <row r="598" spans="1:6" ht="16.95" customHeight="1" x14ac:dyDescent="0.25">
      <c r="A598" s="5" t="s">
        <v>1799</v>
      </c>
      <c r="B598" s="4" t="s">
        <v>1800</v>
      </c>
      <c r="C598" s="4" t="s">
        <v>1801</v>
      </c>
      <c r="D598" s="4" t="s">
        <v>1802</v>
      </c>
      <c r="E598" s="4" t="s">
        <v>1803</v>
      </c>
      <c r="F598" s="4" t="str">
        <f>HYPERLINK("http://www.vittorioercoli.it/","www.vittorioercoli.it")</f>
        <v>www.vittorioercoli.it</v>
      </c>
    </row>
    <row r="599" spans="1:6" ht="16.95" customHeight="1" x14ac:dyDescent="0.25">
      <c r="A599" s="1" t="s">
        <v>1804</v>
      </c>
      <c r="B599" s="6" t="s">
        <v>1805</v>
      </c>
      <c r="C599" s="6" t="s">
        <v>1801</v>
      </c>
      <c r="D599" s="6" t="s">
        <v>1806</v>
      </c>
      <c r="E599" s="6" t="s">
        <v>1807</v>
      </c>
      <c r="F599" s="6" t="str">
        <f>HYPERLINK("http://www.rucoline.com/","www.rucoline.com")</f>
        <v>www.rucoline.com</v>
      </c>
    </row>
    <row r="600" spans="1:6" ht="29.55" customHeight="1" x14ac:dyDescent="0.25">
      <c r="A600" s="5" t="s">
        <v>1808</v>
      </c>
      <c r="B600" s="4" t="s">
        <v>1809</v>
      </c>
      <c r="C600" s="4" t="s">
        <v>1801</v>
      </c>
      <c r="D600" s="4" t="s">
        <v>1798</v>
      </c>
      <c r="E600" s="4" t="s">
        <v>1795</v>
      </c>
      <c r="F600" s="4" t="str">
        <f>HYPERLINK("http://www.calzaturificiobellofatto.it/","www.calzaturificiobellofatto.it")</f>
        <v>www.calzaturificiobellofatto.it</v>
      </c>
    </row>
    <row r="601" spans="1:6" ht="29.55" customHeight="1" x14ac:dyDescent="0.25">
      <c r="A601" s="1" t="s">
        <v>1811</v>
      </c>
      <c r="B601" s="6" t="s">
        <v>1812</v>
      </c>
      <c r="C601" s="6" t="s">
        <v>1791</v>
      </c>
      <c r="D601" s="6" t="s">
        <v>1798</v>
      </c>
      <c r="E601" s="6" t="s">
        <v>1795</v>
      </c>
      <c r="F601" s="6" t="str">
        <f>HYPERLINK("http://www.pellealvegetale.it/concerie/nuova-grenoble/","www.pellealvegetale.it/concerie/nuova-grenoble/")</f>
        <v>www.pellealvegetale.it/concerie/nuova-grenoble/</v>
      </c>
    </row>
    <row r="602" spans="1:6" ht="16.95" customHeight="1" x14ac:dyDescent="0.25">
      <c r="A602" s="5" t="s">
        <v>1813</v>
      </c>
      <c r="B602" s="4" t="s">
        <v>1814</v>
      </c>
      <c r="C602" s="4" t="s">
        <v>1801</v>
      </c>
      <c r="D602" s="4" t="s">
        <v>1815</v>
      </c>
      <c r="E602" s="4" t="s">
        <v>1793</v>
      </c>
      <c r="F602" s="4" t="str">
        <f>HYPERLINK("http://www.calzaturificiobello.it/","www.calzaturificiobello.it")</f>
        <v>www.calzaturificiobello.it</v>
      </c>
    </row>
    <row r="603" spans="1:6" ht="16.95" customHeight="1" x14ac:dyDescent="0.25">
      <c r="A603" s="1" t="s">
        <v>1816</v>
      </c>
      <c r="B603" s="6" t="s">
        <v>1817</v>
      </c>
      <c r="C603" s="6" t="s">
        <v>1801</v>
      </c>
      <c r="D603" s="6" t="s">
        <v>1818</v>
      </c>
      <c r="E603" s="6" t="s">
        <v>1803</v>
      </c>
      <c r="F603" s="6" t="str">
        <f>HYPERLINK("http://www.molliter.com/","www.molliter.com")</f>
        <v>www.molliter.com</v>
      </c>
    </row>
    <row r="604" spans="1:6" ht="16.95" customHeight="1" x14ac:dyDescent="0.25">
      <c r="A604" s="5" t="s">
        <v>1819</v>
      </c>
      <c r="B604" s="4" t="s">
        <v>1820</v>
      </c>
      <c r="C604" s="4" t="s">
        <v>1801</v>
      </c>
      <c r="D604" s="4" t="s">
        <v>1821</v>
      </c>
      <c r="E604" s="4" t="s">
        <v>1793</v>
      </c>
      <c r="F604" s="4" t="str">
        <f>HYPERLINK("http://franzini.eu/","franzini.eu")</f>
        <v>franzini.eu</v>
      </c>
    </row>
    <row r="605" spans="1:6" ht="16.95" customHeight="1" x14ac:dyDescent="0.25">
      <c r="A605" s="5" t="s">
        <v>1822</v>
      </c>
      <c r="B605" s="4" t="s">
        <v>1823</v>
      </c>
      <c r="C605" s="4" t="s">
        <v>1791</v>
      </c>
      <c r="D605" s="4" t="s">
        <v>1824</v>
      </c>
      <c r="E605" s="4" t="s">
        <v>1795</v>
      </c>
      <c r="F605" s="4" t="str">
        <f>HYPERLINK("http://www.europellsrl.it/","www.europellsrl.it")</f>
        <v>www.europellsrl.it</v>
      </c>
    </row>
    <row r="606" spans="1:6" ht="16.95" customHeight="1" x14ac:dyDescent="0.25">
      <c r="A606" s="5" t="s">
        <v>1825</v>
      </c>
      <c r="B606" s="4" t="s">
        <v>1826</v>
      </c>
      <c r="C606" s="4" t="s">
        <v>1791</v>
      </c>
      <c r="D606" s="4" t="s">
        <v>1792</v>
      </c>
      <c r="E606" s="4" t="s">
        <v>1793</v>
      </c>
      <c r="F606" s="4" t="str">
        <f>HYPERLINK("http://www.doraonline.it/","www.doraonline.it")</f>
        <v>www.doraonline.it</v>
      </c>
    </row>
    <row r="607" spans="1:6" ht="16.95" customHeight="1" x14ac:dyDescent="0.25">
      <c r="A607" s="5" t="s">
        <v>1827</v>
      </c>
      <c r="B607" s="4" t="s">
        <v>1828</v>
      </c>
      <c r="C607" s="4" t="s">
        <v>1801</v>
      </c>
      <c r="D607" s="4" t="s">
        <v>1815</v>
      </c>
      <c r="E607" s="4" t="s">
        <v>1793</v>
      </c>
      <c r="F607" s="4" t="str">
        <f>HYPERLINK("http://www.cdivertiamo.com/","www.cdivertiamo.com")</f>
        <v>www.cdivertiamo.com</v>
      </c>
    </row>
    <row r="608" spans="1:6" ht="16.95" customHeight="1" x14ac:dyDescent="0.25">
      <c r="A608" s="1" t="s">
        <v>1829</v>
      </c>
      <c r="B608" s="6" t="s">
        <v>1830</v>
      </c>
      <c r="C608" s="6" t="s">
        <v>1791</v>
      </c>
      <c r="D608" s="6" t="s">
        <v>1798</v>
      </c>
      <c r="E608" s="6" t="s">
        <v>1795</v>
      </c>
      <c r="F608" s="6" t="str">
        <f>HYPERLINK("http://treeffegroup.it/","treeffegroup.it")</f>
        <v>treeffegroup.it</v>
      </c>
    </row>
    <row r="609" spans="1:6" ht="16.95" customHeight="1" x14ac:dyDescent="0.25">
      <c r="A609" s="1" t="s">
        <v>1831</v>
      </c>
      <c r="B609" s="6" t="s">
        <v>1832</v>
      </c>
      <c r="C609" s="6" t="s">
        <v>1791</v>
      </c>
      <c r="D609" s="6" t="s">
        <v>1802</v>
      </c>
      <c r="E609" s="6" t="s">
        <v>1803</v>
      </c>
      <c r="F609" s="6" t="str">
        <f>HYPERLINK("http://www.rocpellami.com/","www.rocpellami.com")</f>
        <v>www.rocpellami.com</v>
      </c>
    </row>
    <row r="610" spans="1:6" ht="16.95" customHeight="1" x14ac:dyDescent="0.25">
      <c r="A610" s="5" t="s">
        <v>1833</v>
      </c>
      <c r="B610" s="4" t="s">
        <v>1834</v>
      </c>
      <c r="C610" s="4" t="s">
        <v>1810</v>
      </c>
      <c r="D610" s="4" t="s">
        <v>1802</v>
      </c>
      <c r="E610" s="4" t="s">
        <v>1803</v>
      </c>
      <c r="F610" s="4" t="str">
        <f>HYPERLINK("http://www.gsbsrl.it/","www.gsbsrl.it")</f>
        <v>www.gsbsrl.it</v>
      </c>
    </row>
    <row r="611" spans="1:6" ht="16.95" customHeight="1" x14ac:dyDescent="0.25">
      <c r="A611" s="1" t="s">
        <v>1835</v>
      </c>
      <c r="B611" s="6" t="s">
        <v>1836</v>
      </c>
      <c r="C611" s="6" t="s">
        <v>1791</v>
      </c>
      <c r="D611" s="6" t="s">
        <v>1837</v>
      </c>
      <c r="E611" s="6" t="s">
        <v>1838</v>
      </c>
      <c r="F611" s="6" t="str">
        <f>HYPERLINK("http://www.seipo.it/","www.seipo.it")</f>
        <v>www.seipo.it</v>
      </c>
    </row>
    <row r="612" spans="1:6" ht="16.95" customHeight="1" x14ac:dyDescent="0.25">
      <c r="A612" s="5" t="s">
        <v>1839</v>
      </c>
      <c r="B612" s="4" t="s">
        <v>1840</v>
      </c>
      <c r="C612" s="4" t="s">
        <v>1794</v>
      </c>
      <c r="D612" s="4" t="s">
        <v>1824</v>
      </c>
      <c r="E612" s="4" t="s">
        <v>1795</v>
      </c>
      <c r="F612" s="4" t="str">
        <f>HYPERLINK("http://www.leatherluxury.it/","www.leatherluxury.it")</f>
        <v>www.leatherluxury.it</v>
      </c>
    </row>
    <row r="613" spans="1:6" ht="16.95" customHeight="1" x14ac:dyDescent="0.25">
      <c r="A613" s="1" t="s">
        <v>1841</v>
      </c>
      <c r="B613" s="6" t="s">
        <v>1842</v>
      </c>
      <c r="C613" s="6" t="s">
        <v>1791</v>
      </c>
      <c r="D613" s="6" t="s">
        <v>1792</v>
      </c>
      <c r="E613" s="6" t="s">
        <v>1793</v>
      </c>
      <c r="F613" s="6" t="str">
        <f>HYPERLINK("http://www.nuovaleon.com/","www.nuovaleon.com")</f>
        <v>www.nuovaleon.com</v>
      </c>
    </row>
    <row r="614" spans="1:6" ht="16.95" customHeight="1" x14ac:dyDescent="0.25">
      <c r="A614" s="5" t="s">
        <v>1843</v>
      </c>
      <c r="B614" s="4" t="s">
        <v>1844</v>
      </c>
      <c r="C614" s="4" t="s">
        <v>1794</v>
      </c>
      <c r="D614" s="4" t="s">
        <v>1824</v>
      </c>
      <c r="E614" s="4" t="s">
        <v>1795</v>
      </c>
      <c r="F614" s="4" t="str">
        <f>HYPERLINK("http://www.dreampell.it/","www.dreampell.it")</f>
        <v>www.dreampell.it</v>
      </c>
    </row>
    <row r="615" spans="1:6" ht="16.95" customHeight="1" x14ac:dyDescent="0.25">
      <c r="A615" s="1" t="s">
        <v>1845</v>
      </c>
      <c r="B615" s="6" t="s">
        <v>1846</v>
      </c>
      <c r="C615" s="6" t="s">
        <v>1791</v>
      </c>
      <c r="D615" s="6" t="s">
        <v>1792</v>
      </c>
      <c r="E615" s="6" t="s">
        <v>1793</v>
      </c>
      <c r="F615" s="6" t="str">
        <f>HYPERLINK("http://www.dogiinternational.com/","www.dogiinternational.com")</f>
        <v>www.dogiinternational.com</v>
      </c>
    </row>
    <row r="616" spans="1:6" ht="16.95" customHeight="1" x14ac:dyDescent="0.25">
      <c r="A616" s="1" t="s">
        <v>1847</v>
      </c>
      <c r="B616" s="6" t="s">
        <v>1848</v>
      </c>
      <c r="C616" s="6" t="s">
        <v>1849</v>
      </c>
      <c r="D616" s="6" t="s">
        <v>1850</v>
      </c>
      <c r="E616" s="6" t="s">
        <v>1851</v>
      </c>
      <c r="F616" s="6" t="str">
        <f>HYPERLINK("http://www.maxisuola.it/","www.maxisuola.it/")</f>
        <v>www.maxisuola.it/</v>
      </c>
    </row>
    <row r="617" spans="1:6" ht="16.95" customHeight="1" x14ac:dyDescent="0.25">
      <c r="A617" s="5" t="s">
        <v>1852</v>
      </c>
      <c r="B617" s="4" t="s">
        <v>1853</v>
      </c>
      <c r="C617" s="4" t="s">
        <v>1854</v>
      </c>
      <c r="D617" s="4" t="s">
        <v>1855</v>
      </c>
      <c r="E617" s="4" t="s">
        <v>1856</v>
      </c>
      <c r="F617" s="4" t="str">
        <f>HYPERLINK("http://www.conceriaconti.biz/","http://www.conceriaconti.biz")</f>
        <v>http://www.conceriaconti.biz</v>
      </c>
    </row>
    <row r="618" spans="1:6" ht="16.95" customHeight="1" x14ac:dyDescent="0.25">
      <c r="A618" s="1" t="s">
        <v>1857</v>
      </c>
      <c r="B618" s="6" t="s">
        <v>1858</v>
      </c>
      <c r="C618" s="6" t="s">
        <v>1859</v>
      </c>
      <c r="D618" s="6" t="s">
        <v>1860</v>
      </c>
      <c r="E618" s="6" t="s">
        <v>1861</v>
      </c>
      <c r="F618" s="6" t="str">
        <f>HYPERLINK("http://www.fru.it/","www.fru.it")</f>
        <v>www.fru.it</v>
      </c>
    </row>
    <row r="619" spans="1:6" ht="29.55" customHeight="1" x14ac:dyDescent="0.25">
      <c r="A619" s="5" t="s">
        <v>1862</v>
      </c>
      <c r="B619" s="4" t="s">
        <v>1863</v>
      </c>
      <c r="C619" s="4" t="s">
        <v>1859</v>
      </c>
      <c r="D619" s="4" t="s">
        <v>1864</v>
      </c>
      <c r="E619" s="4" t="s">
        <v>1865</v>
      </c>
      <c r="F619" s="4" t="str">
        <f>HYPERLINK("http://www.digiuseppe.it/","www.digiuseppe.it")</f>
        <v>www.digiuseppe.it</v>
      </c>
    </row>
    <row r="620" spans="1:6" ht="16.95" customHeight="1" x14ac:dyDescent="0.25">
      <c r="A620" s="1" t="s">
        <v>1866</v>
      </c>
      <c r="B620" s="6" t="s">
        <v>1867</v>
      </c>
      <c r="C620" s="6" t="s">
        <v>1854</v>
      </c>
      <c r="D620" s="6" t="s">
        <v>1868</v>
      </c>
      <c r="E620" s="6" t="s">
        <v>1869</v>
      </c>
      <c r="F620" s="6" t="str">
        <f>HYPERLINK("http://concerialufran.it/","concerialufran.it")</f>
        <v>concerialufran.it</v>
      </c>
    </row>
    <row r="621" spans="1:6" ht="16.95" customHeight="1" x14ac:dyDescent="0.25">
      <c r="A621" s="5" t="s">
        <v>1870</v>
      </c>
      <c r="B621" s="4" t="s">
        <v>1871</v>
      </c>
      <c r="C621" s="4" t="s">
        <v>1859</v>
      </c>
      <c r="D621" s="4" t="s">
        <v>1872</v>
      </c>
      <c r="E621" s="4" t="s">
        <v>1873</v>
      </c>
      <c r="F621" s="4" t="str">
        <f>HYPERLINK("http://www.wildsideshoes.com/","www.wildsideshoes.com")</f>
        <v>www.wildsideshoes.com</v>
      </c>
    </row>
    <row r="622" spans="1:6" ht="16.95" customHeight="1" x14ac:dyDescent="0.25">
      <c r="A622" s="1" t="s">
        <v>1875</v>
      </c>
      <c r="B622" s="6" t="s">
        <v>1876</v>
      </c>
      <c r="C622" s="6" t="s">
        <v>1859</v>
      </c>
      <c r="D622" s="6" t="s">
        <v>1877</v>
      </c>
      <c r="E622" s="6" t="s">
        <v>1865</v>
      </c>
      <c r="F622" s="6" t="str">
        <f>HYPERLINK("http://www.bervicato.com/","www.bervicato.com")</f>
        <v>www.bervicato.com</v>
      </c>
    </row>
    <row r="623" spans="1:6" ht="16.95" customHeight="1" x14ac:dyDescent="0.25">
      <c r="A623" s="1" t="s">
        <v>1878</v>
      </c>
      <c r="B623" s="6" t="s">
        <v>1879</v>
      </c>
      <c r="C623" s="6" t="s">
        <v>1854</v>
      </c>
      <c r="D623" s="6" t="s">
        <v>1880</v>
      </c>
      <c r="E623" s="6" t="s">
        <v>1869</v>
      </c>
      <c r="F623" s="6" t="str">
        <f>HYPERLINK("http://www.a-tema.com/","www.a-tema.com")</f>
        <v>www.a-tema.com</v>
      </c>
    </row>
    <row r="624" spans="1:6" ht="16.95" customHeight="1" x14ac:dyDescent="0.25">
      <c r="A624" s="5" t="s">
        <v>1881</v>
      </c>
      <c r="B624" s="4" t="s">
        <v>1882</v>
      </c>
      <c r="C624" s="4" t="s">
        <v>1859</v>
      </c>
      <c r="D624" s="4" t="s">
        <v>1880</v>
      </c>
      <c r="E624" s="4" t="s">
        <v>1869</v>
      </c>
      <c r="F624" s="4" t="str">
        <f>HYPERLINK("http://calzaturificiocosmo.it/","calzaturificiocosmo.it")</f>
        <v>calzaturificiocosmo.it</v>
      </c>
    </row>
    <row r="625" spans="1:6" ht="16.95" customHeight="1" x14ac:dyDescent="0.25">
      <c r="A625" s="1" t="s">
        <v>1883</v>
      </c>
      <c r="B625" s="6" t="s">
        <v>1884</v>
      </c>
      <c r="C625" s="6" t="s">
        <v>1849</v>
      </c>
      <c r="D625" s="6" t="s">
        <v>1860</v>
      </c>
      <c r="E625" s="6" t="s">
        <v>1861</v>
      </c>
      <c r="F625" s="6" t="str">
        <f>HYPERLINK("http://www.squadroni.info/","www.squadroni.info")</f>
        <v>www.squadroni.info</v>
      </c>
    </row>
    <row r="626" spans="1:6" ht="29.55" customHeight="1" x14ac:dyDescent="0.25">
      <c r="A626" s="1" t="s">
        <v>1885</v>
      </c>
      <c r="B626" s="6" t="s">
        <v>1886</v>
      </c>
      <c r="C626" s="6" t="s">
        <v>1887</v>
      </c>
      <c r="D626" s="6" t="s">
        <v>1888</v>
      </c>
      <c r="E626" s="6" t="s">
        <v>1856</v>
      </c>
      <c r="F626" s="6" t="str">
        <f>HYPERLINK("http://valigeriatasca.com/","valigeriatasca.com")</f>
        <v>valigeriatasca.com</v>
      </c>
    </row>
    <row r="627" spans="1:6" ht="29.55" customHeight="1" x14ac:dyDescent="0.25">
      <c r="A627" s="5" t="s">
        <v>1889</v>
      </c>
      <c r="B627" s="4" t="s">
        <v>1890</v>
      </c>
      <c r="C627" s="4" t="s">
        <v>1854</v>
      </c>
      <c r="D627" s="4" t="s">
        <v>1880</v>
      </c>
      <c r="E627" s="4" t="s">
        <v>1869</v>
      </c>
      <c r="F627" s="4" t="str">
        <f>HYPERLINK("http://www.ellegipellami.it/","www.ellegipellami.it")</f>
        <v>www.ellegipellami.it</v>
      </c>
    </row>
    <row r="628" spans="1:6" ht="16.95" customHeight="1" x14ac:dyDescent="0.25">
      <c r="A628" s="1" t="s">
        <v>1891</v>
      </c>
      <c r="B628" s="6" t="s">
        <v>1892</v>
      </c>
      <c r="C628" s="6" t="s">
        <v>1859</v>
      </c>
      <c r="D628" s="6" t="s">
        <v>1893</v>
      </c>
      <c r="E628" s="6" t="s">
        <v>1894</v>
      </c>
      <c r="F628" s="6" t="str">
        <f>HYPERLINK("http://www.lacchiplast.it/","www.lacchiplast.it")</f>
        <v>www.lacchiplast.it</v>
      </c>
    </row>
    <row r="629" spans="1:6" ht="43.05" customHeight="1" x14ac:dyDescent="0.25">
      <c r="A629" s="5" t="s">
        <v>1895</v>
      </c>
      <c r="B629" s="4" t="s">
        <v>1896</v>
      </c>
      <c r="C629" s="4" t="s">
        <v>1854</v>
      </c>
      <c r="D629" s="4" t="s">
        <v>1868</v>
      </c>
      <c r="E629" s="4" t="s">
        <v>1869</v>
      </c>
      <c r="F629" s="4" t="str">
        <f>HYPERLINK("http://www.classicleatheritalia.com/","www.classicleatheritalia.com")</f>
        <v>www.classicleatheritalia.com</v>
      </c>
    </row>
    <row r="630" spans="1:6" ht="16.95" customHeight="1" x14ac:dyDescent="0.25">
      <c r="A630" s="5" t="s">
        <v>1897</v>
      </c>
      <c r="B630" s="4" t="s">
        <v>1898</v>
      </c>
      <c r="C630" s="4" t="s">
        <v>1854</v>
      </c>
      <c r="D630" s="4" t="s">
        <v>1874</v>
      </c>
      <c r="E630" s="4" t="s">
        <v>1865</v>
      </c>
      <c r="F630" s="4" t="str">
        <f>HYPERLINK("http://www.mastertan.com/","www.mastertan.com")</f>
        <v>www.mastertan.com</v>
      </c>
    </row>
    <row r="631" spans="1:6" ht="29.55" customHeight="1" x14ac:dyDescent="0.25">
      <c r="A631" s="1" t="s">
        <v>1899</v>
      </c>
      <c r="B631" s="6" t="s">
        <v>1900</v>
      </c>
      <c r="C631" s="6" t="s">
        <v>1854</v>
      </c>
      <c r="D631" s="6" t="s">
        <v>1901</v>
      </c>
      <c r="E631" s="6" t="s">
        <v>1873</v>
      </c>
      <c r="F631" s="6" t="str">
        <f>HYPERLINK("http://www.conceriabruttomesso.it/","www.conceriabruttomesso.it")</f>
        <v>www.conceriabruttomesso.it</v>
      </c>
    </row>
    <row r="632" spans="1:6" ht="16.95" customHeight="1" x14ac:dyDescent="0.25">
      <c r="A632" s="5" t="s">
        <v>1902</v>
      </c>
      <c r="B632" s="4" t="s">
        <v>1903</v>
      </c>
      <c r="C632" s="4" t="s">
        <v>1859</v>
      </c>
      <c r="D632" s="4" t="s">
        <v>1868</v>
      </c>
      <c r="E632" s="4" t="s">
        <v>1869</v>
      </c>
      <c r="F632" s="4" t="str">
        <f>HYPERLINK("http://www.caparrini.it/","http://www.caparrini.it")</f>
        <v>http://www.caparrini.it</v>
      </c>
    </row>
    <row r="633" spans="1:6" ht="16.95" customHeight="1" x14ac:dyDescent="0.25">
      <c r="A633" s="5" t="s">
        <v>1904</v>
      </c>
      <c r="B633" s="4" t="s">
        <v>1905</v>
      </c>
      <c r="C633" s="4" t="s">
        <v>1859</v>
      </c>
      <c r="D633" s="4" t="s">
        <v>1860</v>
      </c>
      <c r="E633" s="4" t="s">
        <v>1861</v>
      </c>
      <c r="F633" s="4" t="str">
        <f>HYPERLINK("http://www.comartshoes.it/","www.comartshoes.it")</f>
        <v>www.comartshoes.it</v>
      </c>
    </row>
    <row r="634" spans="1:6" ht="29.55" customHeight="1" x14ac:dyDescent="0.25">
      <c r="A634" s="1" t="s">
        <v>1906</v>
      </c>
      <c r="B634" s="6" t="s">
        <v>1907</v>
      </c>
      <c r="C634" s="6" t="s">
        <v>1908</v>
      </c>
      <c r="D634" s="6" t="s">
        <v>1909</v>
      </c>
      <c r="E634" s="6" t="s">
        <v>1856</v>
      </c>
      <c r="F634" s="6" t="str">
        <f>HYPERLINK("http://guidoangeloni.com/","guidoangeloni.com")</f>
        <v>guidoangeloni.com</v>
      </c>
    </row>
    <row r="635" spans="1:6" ht="29.55" customHeight="1" x14ac:dyDescent="0.25">
      <c r="A635" s="5" t="s">
        <v>1910</v>
      </c>
      <c r="B635" s="4" t="s">
        <v>1911</v>
      </c>
      <c r="C635" s="4" t="s">
        <v>1859</v>
      </c>
      <c r="D635" s="4" t="s">
        <v>1912</v>
      </c>
      <c r="E635" s="4" t="s">
        <v>1873</v>
      </c>
      <c r="F635" s="4" t="str">
        <f>HYPERLINK("http://www.straffordshoes.com/","www.straffordshoes.com")</f>
        <v>www.straffordshoes.com</v>
      </c>
    </row>
    <row r="636" spans="1:6" ht="16.95" customHeight="1" x14ac:dyDescent="0.25">
      <c r="A636" s="1" t="s">
        <v>1913</v>
      </c>
      <c r="B636" s="6" t="s">
        <v>1914</v>
      </c>
      <c r="C636" s="6" t="s">
        <v>1859</v>
      </c>
      <c r="D636" s="6" t="s">
        <v>1864</v>
      </c>
      <c r="E636" s="6" t="s">
        <v>1865</v>
      </c>
      <c r="F636" s="6" t="str">
        <f>HYPERLINK("http://www.calpierre.it/","www.calpierre.it")</f>
        <v>www.calpierre.it</v>
      </c>
    </row>
    <row r="637" spans="1:6" ht="16.95" customHeight="1" x14ac:dyDescent="0.25">
      <c r="A637" s="1" t="s">
        <v>1915</v>
      </c>
      <c r="B637" s="6" t="s">
        <v>1916</v>
      </c>
      <c r="C637" s="6" t="s">
        <v>1854</v>
      </c>
      <c r="D637" s="6" t="s">
        <v>1874</v>
      </c>
      <c r="E637" s="6" t="s">
        <v>1865</v>
      </c>
      <c r="F637" s="6" t="str">
        <f>HYPERLINK("http://www.conceriaf3.com/","www.conceriaf3.com")</f>
        <v>www.conceriaf3.com</v>
      </c>
    </row>
    <row r="638" spans="1:6" ht="29.55" customHeight="1" x14ac:dyDescent="0.25">
      <c r="A638" s="5" t="s">
        <v>1917</v>
      </c>
      <c r="B638" s="4" t="s">
        <v>1918</v>
      </c>
      <c r="C638" s="4" t="s">
        <v>1859</v>
      </c>
      <c r="D638" s="4" t="s">
        <v>1860</v>
      </c>
      <c r="E638" s="4" t="s">
        <v>1861</v>
      </c>
      <c r="F638" s="4" t="str">
        <f>HYPERLINK("http://www.designlabitalia.com/","www.designlabitalia.com")</f>
        <v>www.designlabitalia.com</v>
      </c>
    </row>
    <row r="639" spans="1:6" ht="16.95" customHeight="1" x14ac:dyDescent="0.25">
      <c r="A639" s="1" t="s">
        <v>1919</v>
      </c>
      <c r="B639" s="6" t="s">
        <v>1920</v>
      </c>
      <c r="C639" s="6" t="s">
        <v>1921</v>
      </c>
      <c r="D639" s="6" t="s">
        <v>1922</v>
      </c>
      <c r="E639" s="6" t="s">
        <v>1923</v>
      </c>
      <c r="F639" s="6" t="str">
        <f>HYPERLINK("http://santipel.com/","santipel.com")</f>
        <v>santipel.com</v>
      </c>
    </row>
    <row r="640" spans="1:6" ht="16.95" customHeight="1" x14ac:dyDescent="0.25">
      <c r="A640" s="5" t="s">
        <v>1924</v>
      </c>
      <c r="B640" s="4" t="s">
        <v>1925</v>
      </c>
      <c r="C640" s="4" t="s">
        <v>1926</v>
      </c>
      <c r="D640" s="4" t="s">
        <v>1927</v>
      </c>
      <c r="E640" s="4" t="s">
        <v>1928</v>
      </c>
      <c r="F640" s="4" t="str">
        <f>HYPERLINK("http://www.assiatrend.it/","http://www.assiatrend.it")</f>
        <v>http://www.assiatrend.it</v>
      </c>
    </row>
    <row r="641" spans="1:6" ht="16.95" customHeight="1" x14ac:dyDescent="0.25">
      <c r="A641" s="5" t="s">
        <v>1929</v>
      </c>
      <c r="B641" s="4" t="s">
        <v>1930</v>
      </c>
      <c r="C641" s="4" t="s">
        <v>1926</v>
      </c>
      <c r="D641" s="4" t="s">
        <v>1931</v>
      </c>
      <c r="E641" s="4" t="s">
        <v>1932</v>
      </c>
      <c r="F641" s="4" t="str">
        <f>HYPERLINK("http://exton.it/","exton.it")</f>
        <v>exton.it</v>
      </c>
    </row>
    <row r="642" spans="1:6" ht="16.95" customHeight="1" x14ac:dyDescent="0.25">
      <c r="A642" s="1" t="s">
        <v>1933</v>
      </c>
      <c r="B642" s="6" t="s">
        <v>1934</v>
      </c>
      <c r="C642" s="6" t="s">
        <v>1926</v>
      </c>
      <c r="D642" s="6" t="s">
        <v>1927</v>
      </c>
      <c r="E642" s="6" t="s">
        <v>1928</v>
      </c>
      <c r="F642" s="6" t="str">
        <f>HYPERLINK("http://www.torresi.it/","www.torresi.it")</f>
        <v>www.torresi.it</v>
      </c>
    </row>
    <row r="643" spans="1:6" ht="16.95" customHeight="1" x14ac:dyDescent="0.25">
      <c r="A643" s="1" t="s">
        <v>1935</v>
      </c>
      <c r="B643" s="6" t="s">
        <v>1936</v>
      </c>
      <c r="C643" s="6" t="s">
        <v>1926</v>
      </c>
      <c r="D643" s="6" t="s">
        <v>1937</v>
      </c>
      <c r="E643" s="6" t="s">
        <v>1938</v>
      </c>
      <c r="F643" s="6" t="str">
        <f>HYPERLINK("http://www.lomer.it/","www.lomer.it")</f>
        <v>www.lomer.it</v>
      </c>
    </row>
    <row r="644" spans="1:6" ht="29.55" customHeight="1" x14ac:dyDescent="0.25">
      <c r="A644" s="5" t="s">
        <v>1939</v>
      </c>
      <c r="B644" s="4" t="s">
        <v>1940</v>
      </c>
      <c r="C644" s="4" t="s">
        <v>1926</v>
      </c>
      <c r="D644" s="4" t="s">
        <v>1941</v>
      </c>
      <c r="E644" s="4" t="s">
        <v>1923</v>
      </c>
      <c r="F644" s="4" t="str">
        <f>HYPERLINK("http://sandyshoes.it/","sandyshoes.it")</f>
        <v>sandyshoes.it</v>
      </c>
    </row>
    <row r="645" spans="1:6" ht="16.95" customHeight="1" x14ac:dyDescent="0.25">
      <c r="A645" s="5" t="s">
        <v>1942</v>
      </c>
      <c r="B645" s="4" t="s">
        <v>1943</v>
      </c>
      <c r="C645" s="4" t="s">
        <v>1926</v>
      </c>
      <c r="D645" s="4" t="s">
        <v>1944</v>
      </c>
      <c r="E645" s="4" t="s">
        <v>1923</v>
      </c>
      <c r="F645" s="4" t="str">
        <f>HYPERLINK("http://www.farida.it/","www.farida.it")</f>
        <v>www.farida.it</v>
      </c>
    </row>
    <row r="646" spans="1:6" ht="29.55" customHeight="1" x14ac:dyDescent="0.25">
      <c r="A646" s="5" t="s">
        <v>1945</v>
      </c>
      <c r="B646" s="4" t="s">
        <v>1946</v>
      </c>
      <c r="C646" s="4" t="s">
        <v>1947</v>
      </c>
      <c r="D646" s="4" t="s">
        <v>1927</v>
      </c>
      <c r="E646" s="4" t="s">
        <v>1928</v>
      </c>
      <c r="F646" s="4" t="str">
        <f>HYPERLINK("http://suolificiomannini.it/","suolificiomannini.it")</f>
        <v>suolificiomannini.it</v>
      </c>
    </row>
    <row r="647" spans="1:6" ht="29.55" customHeight="1" x14ac:dyDescent="0.25">
      <c r="A647" s="1" t="s">
        <v>1948</v>
      </c>
      <c r="B647" s="6" t="s">
        <v>1949</v>
      </c>
      <c r="C647" s="6" t="s">
        <v>1926</v>
      </c>
      <c r="D647" s="6" t="s">
        <v>1950</v>
      </c>
      <c r="E647" s="6" t="s">
        <v>1938</v>
      </c>
      <c r="F647" s="6" t="str">
        <f>HYPERLINK("http://www.gronell.it/","www.gronell.it")</f>
        <v>www.gronell.it</v>
      </c>
    </row>
    <row r="648" spans="1:6" ht="16.95" customHeight="1" x14ac:dyDescent="0.25">
      <c r="A648" s="1" t="s">
        <v>1953</v>
      </c>
      <c r="B648" s="6" t="s">
        <v>1954</v>
      </c>
      <c r="C648" s="6" t="s">
        <v>1926</v>
      </c>
      <c r="D648" s="6" t="s">
        <v>1955</v>
      </c>
      <c r="E648" s="6" t="s">
        <v>1932</v>
      </c>
      <c r="F648" s="6" t="str">
        <f>HYPERLINK("http://giannidelprete.it/","giannidelprete.it")</f>
        <v>giannidelprete.it</v>
      </c>
    </row>
    <row r="649" spans="1:6" ht="16.95" customHeight="1" x14ac:dyDescent="0.25">
      <c r="A649" s="5" t="s">
        <v>1957</v>
      </c>
      <c r="B649" s="4" t="s">
        <v>1958</v>
      </c>
      <c r="C649" s="4" t="s">
        <v>1926</v>
      </c>
      <c r="D649" s="4" t="s">
        <v>1959</v>
      </c>
      <c r="E649" s="4" t="s">
        <v>1960</v>
      </c>
      <c r="F649" s="4" t="str">
        <f>HYPERLINK("http://www.cbr-tacstile.com/","www.cbr-tacstile.com")</f>
        <v>www.cbr-tacstile.com</v>
      </c>
    </row>
    <row r="650" spans="1:6" ht="16.95" customHeight="1" x14ac:dyDescent="0.25">
      <c r="A650" s="5" t="s">
        <v>1961</v>
      </c>
      <c r="B650" s="4" t="s">
        <v>1962</v>
      </c>
      <c r="C650" s="4" t="s">
        <v>1951</v>
      </c>
      <c r="D650" s="4" t="s">
        <v>1963</v>
      </c>
      <c r="E650" s="4" t="s">
        <v>1964</v>
      </c>
      <c r="F650" s="4" t="str">
        <f>HYPERLINK("http://conciariamondovi.com/","conciariamondovi.com")</f>
        <v>conciariamondovi.com</v>
      </c>
    </row>
    <row r="651" spans="1:6" ht="16.95" customHeight="1" x14ac:dyDescent="0.25">
      <c r="A651" s="5" t="s">
        <v>1965</v>
      </c>
      <c r="B651" s="4" t="s">
        <v>1966</v>
      </c>
      <c r="C651" s="4" t="s">
        <v>1967</v>
      </c>
      <c r="D651" s="4" t="s">
        <v>1950</v>
      </c>
      <c r="E651" s="4" t="s">
        <v>1938</v>
      </c>
      <c r="F651" s="4" t="str">
        <f>HYPERLINK("http://www.medikaitalia.it/","www.medikaitalia.it")</f>
        <v>www.medikaitalia.it</v>
      </c>
    </row>
    <row r="652" spans="1:6" ht="16.95" customHeight="1" x14ac:dyDescent="0.25">
      <c r="A652" s="5" t="s">
        <v>1968</v>
      </c>
      <c r="B652" s="4" t="s">
        <v>1969</v>
      </c>
      <c r="C652" s="4" t="s">
        <v>1921</v>
      </c>
      <c r="D652" s="4" t="s">
        <v>1922</v>
      </c>
      <c r="E652" s="4" t="s">
        <v>1923</v>
      </c>
      <c r="F652" s="4" t="str">
        <f>HYPERLINK("http://www.pelletteriayobel.it/","www.pelletteriayobel.it")</f>
        <v>www.pelletteriayobel.it</v>
      </c>
    </row>
    <row r="653" spans="1:6" ht="16.95" customHeight="1" x14ac:dyDescent="0.25">
      <c r="A653" s="1" t="s">
        <v>1970</v>
      </c>
      <c r="B653" s="6" t="s">
        <v>1971</v>
      </c>
      <c r="C653" s="6" t="s">
        <v>1951</v>
      </c>
      <c r="D653" s="6" t="s">
        <v>1952</v>
      </c>
      <c r="E653" s="6" t="s">
        <v>1938</v>
      </c>
      <c r="F653" s="6" t="str">
        <f>HYPERLINK("http://www.farbopelli.it/","www.farbopelli.it")</f>
        <v>www.farbopelli.it</v>
      </c>
    </row>
    <row r="654" spans="1:6" ht="16.95" customHeight="1" x14ac:dyDescent="0.25">
      <c r="A654" s="5" t="s">
        <v>1972</v>
      </c>
      <c r="B654" s="4" t="s">
        <v>1973</v>
      </c>
      <c r="C654" s="4" t="s">
        <v>1926</v>
      </c>
      <c r="D654" s="4" t="s">
        <v>1956</v>
      </c>
      <c r="E654" s="4" t="s">
        <v>1923</v>
      </c>
      <c r="F654" s="4" t="str">
        <f>HYPERLINK("http://www.loisishoes.it/","www.loisishoes.it")</f>
        <v>www.loisishoes.it</v>
      </c>
    </row>
    <row r="655" spans="1:6" ht="16.95" customHeight="1" x14ac:dyDescent="0.25">
      <c r="A655" s="1" t="s">
        <v>1974</v>
      </c>
      <c r="B655" s="6" t="s">
        <v>1975</v>
      </c>
      <c r="C655" s="6" t="s">
        <v>1951</v>
      </c>
      <c r="D655" s="6" t="s">
        <v>1952</v>
      </c>
      <c r="E655" s="6" t="s">
        <v>1938</v>
      </c>
      <c r="F655" s="6" t="str">
        <f>HYPERLINK("http://www.tecnopelli.com/","http://www.tecnopelli.com")</f>
        <v>http://www.tecnopelli.com</v>
      </c>
    </row>
    <row r="656" spans="1:6" ht="29.55" customHeight="1" x14ac:dyDescent="0.25">
      <c r="A656" s="1" t="s">
        <v>1976</v>
      </c>
      <c r="B656" s="6" t="s">
        <v>1977</v>
      </c>
      <c r="C656" s="6" t="s">
        <v>1926</v>
      </c>
      <c r="D656" s="6" t="s">
        <v>1978</v>
      </c>
      <c r="E656" s="6" t="s">
        <v>1938</v>
      </c>
      <c r="F656" s="6" t="str">
        <f>HYPERLINK("http://www.panizzoloantonio.com/","http://www.panizzoloantonio.com")</f>
        <v>http://www.panizzoloantonio.com</v>
      </c>
    </row>
    <row r="657" spans="1:6" ht="16.95" customHeight="1" x14ac:dyDescent="0.25">
      <c r="A657" s="5" t="s">
        <v>1979</v>
      </c>
      <c r="B657" s="4" t="s">
        <v>1980</v>
      </c>
      <c r="C657" s="4" t="s">
        <v>1926</v>
      </c>
      <c r="D657" s="4" t="s">
        <v>1981</v>
      </c>
      <c r="E657" s="4" t="s">
        <v>1928</v>
      </c>
      <c r="F657" s="4" t="str">
        <f>HYPERLINK("http://www.pantofoladoro.com/","www.pantofoladoro.com")</f>
        <v>www.pantofoladoro.com</v>
      </c>
    </row>
    <row r="658" spans="1:6" ht="16.95" customHeight="1" x14ac:dyDescent="0.25">
      <c r="A658" s="1" t="s">
        <v>1982</v>
      </c>
      <c r="B658" s="6" t="s">
        <v>1983</v>
      </c>
      <c r="C658" s="6" t="s">
        <v>1984</v>
      </c>
      <c r="D658" s="6" t="s">
        <v>1985</v>
      </c>
      <c r="E658" s="6" t="s">
        <v>1986</v>
      </c>
      <c r="F658" s="6" t="str">
        <f>HYPERLINK("http://pliniovisona.com/","pliniovisona.com")</f>
        <v>pliniovisona.com</v>
      </c>
    </row>
    <row r="659" spans="1:6" ht="16.95" customHeight="1" x14ac:dyDescent="0.25">
      <c r="A659" s="5" t="s">
        <v>1987</v>
      </c>
      <c r="B659" s="4" t="s">
        <v>1988</v>
      </c>
      <c r="C659" s="4" t="s">
        <v>1984</v>
      </c>
      <c r="D659" s="4" t="s">
        <v>1989</v>
      </c>
      <c r="E659" s="4" t="s">
        <v>1990</v>
      </c>
      <c r="F659" s="4" t="str">
        <f>HYPERLINK("http://www.bludue.com/","www.bludue.com")</f>
        <v>www.bludue.com</v>
      </c>
    </row>
    <row r="660" spans="1:6" ht="16.95" customHeight="1" x14ac:dyDescent="0.25">
      <c r="A660" s="1" t="s">
        <v>1991</v>
      </c>
      <c r="B660" s="6" t="s">
        <v>1992</v>
      </c>
      <c r="C660" s="6" t="s">
        <v>1993</v>
      </c>
      <c r="D660" s="6" t="s">
        <v>1994</v>
      </c>
      <c r="E660" s="6" t="s">
        <v>1995</v>
      </c>
      <c r="F660" s="6" t="str">
        <f>HYPERLINK("http://www.maffei33.it/","www.maffei33.it")</f>
        <v>www.maffei33.it</v>
      </c>
    </row>
    <row r="661" spans="1:6" ht="16.95" customHeight="1" x14ac:dyDescent="0.25">
      <c r="A661" s="5" t="s">
        <v>1996</v>
      </c>
      <c r="B661" s="4" t="s">
        <v>1997</v>
      </c>
      <c r="C661" s="4" t="s">
        <v>1998</v>
      </c>
      <c r="D661" s="4" t="s">
        <v>1985</v>
      </c>
      <c r="E661" s="4" t="s">
        <v>1986</v>
      </c>
      <c r="F661" s="4" t="str">
        <f>HYPERLINK("http://www.bioline-saty.it/","www.bioline-saty.it")</f>
        <v>www.bioline-saty.it</v>
      </c>
    </row>
    <row r="662" spans="1:6" ht="29.55" customHeight="1" x14ac:dyDescent="0.25">
      <c r="A662" s="1" t="s">
        <v>1999</v>
      </c>
      <c r="B662" s="6" t="s">
        <v>2000</v>
      </c>
      <c r="C662" s="6" t="s">
        <v>1998</v>
      </c>
      <c r="D662" s="6" t="s">
        <v>2001</v>
      </c>
      <c r="E662" s="6" t="s">
        <v>2002</v>
      </c>
      <c r="F662" s="6" t="str">
        <f>HYPERLINK("http://www.calzaturificioormeda.com/","http://www.calzaturificioormeda.com")</f>
        <v>http://www.calzaturificioormeda.com</v>
      </c>
    </row>
    <row r="663" spans="1:6" ht="16.95" customHeight="1" x14ac:dyDescent="0.25">
      <c r="A663" s="1" t="s">
        <v>2003</v>
      </c>
      <c r="B663" s="6" t="s">
        <v>2004</v>
      </c>
      <c r="C663" s="6" t="s">
        <v>1998</v>
      </c>
      <c r="D663" s="6" t="s">
        <v>2005</v>
      </c>
      <c r="E663" s="6" t="s">
        <v>2002</v>
      </c>
      <c r="F663" s="6" t="str">
        <f>HYPERLINK("http://heroscalzature.it/","heroscalzature.it")</f>
        <v>heroscalzature.it</v>
      </c>
    </row>
    <row r="664" spans="1:6" ht="16.95" customHeight="1" x14ac:dyDescent="0.25">
      <c r="A664" s="1" t="s">
        <v>2009</v>
      </c>
      <c r="B664" s="6" t="s">
        <v>2010</v>
      </c>
      <c r="C664" s="6" t="s">
        <v>1998</v>
      </c>
      <c r="D664" s="6" t="s">
        <v>2011</v>
      </c>
      <c r="E664" s="6" t="s">
        <v>2002</v>
      </c>
      <c r="F664" s="6" t="str">
        <f>HYPERLINK("http://www.meline.it/","www.meline.it")</f>
        <v>www.meline.it</v>
      </c>
    </row>
    <row r="665" spans="1:6" ht="55.65" customHeight="1" x14ac:dyDescent="0.25">
      <c r="A665" s="5" t="s">
        <v>2012</v>
      </c>
      <c r="B665" s="4" t="s">
        <v>2013</v>
      </c>
      <c r="C665" s="4" t="s">
        <v>1998</v>
      </c>
      <c r="D665" s="4" t="s">
        <v>2001</v>
      </c>
      <c r="E665" s="4" t="s">
        <v>2002</v>
      </c>
      <c r="F665" s="4" t="str">
        <f>HYPERLINK("http://www.elios.it/","www.elios.it")</f>
        <v>www.elios.it</v>
      </c>
    </row>
    <row r="666" spans="1:6" ht="16.95" customHeight="1" x14ac:dyDescent="0.25">
      <c r="A666" s="5" t="s">
        <v>2014</v>
      </c>
      <c r="B666" s="4" t="s">
        <v>2015</v>
      </c>
      <c r="C666" s="4" t="s">
        <v>1984</v>
      </c>
      <c r="D666" s="4" t="s">
        <v>2016</v>
      </c>
      <c r="E666" s="4" t="s">
        <v>2008</v>
      </c>
      <c r="F666" s="4" t="str">
        <f>HYPERLINK("http://www.cfepsrl.com/","http://www.cfepsrl.com")</f>
        <v>http://www.cfepsrl.com</v>
      </c>
    </row>
    <row r="667" spans="1:6" ht="16.95" customHeight="1" x14ac:dyDescent="0.25">
      <c r="A667" s="1" t="s">
        <v>2017</v>
      </c>
      <c r="B667" s="6" t="s">
        <v>2018</v>
      </c>
      <c r="C667" s="6" t="s">
        <v>1984</v>
      </c>
      <c r="D667" s="6" t="s">
        <v>2019</v>
      </c>
      <c r="E667" s="6" t="s">
        <v>2020</v>
      </c>
      <c r="F667" s="6" t="str">
        <f>HYPERLINK("http://www.colonnellimanifatture.com/","www.colonnellimanifatture.com")</f>
        <v>www.colonnellimanifatture.com</v>
      </c>
    </row>
    <row r="668" spans="1:6" ht="16.95" customHeight="1" x14ac:dyDescent="0.25">
      <c r="A668" s="5" t="s">
        <v>2021</v>
      </c>
      <c r="B668" s="4" t="s">
        <v>2022</v>
      </c>
      <c r="C668" s="4" t="s">
        <v>1998</v>
      </c>
      <c r="D668" s="4" t="s">
        <v>2023</v>
      </c>
      <c r="E668" s="4" t="s">
        <v>1995</v>
      </c>
      <c r="F668" s="4" t="str">
        <f>HYPERLINK("http://www.sauroshoes.it/","www.sauroshoes.it")</f>
        <v>www.sauroshoes.it</v>
      </c>
    </row>
    <row r="669" spans="1:6" ht="16.95" customHeight="1" x14ac:dyDescent="0.25">
      <c r="A669" s="1" t="s">
        <v>2024</v>
      </c>
      <c r="B669" s="6" t="s">
        <v>2025</v>
      </c>
      <c r="C669" s="6" t="s">
        <v>2006</v>
      </c>
      <c r="D669" s="6" t="s">
        <v>2001</v>
      </c>
      <c r="E669" s="6" t="s">
        <v>2002</v>
      </c>
      <c r="F669" s="6" t="str">
        <f>HYPERLINK("http://www.laserartstyle.it/","www.laserartstyle.it")</f>
        <v>www.laserartstyle.it</v>
      </c>
    </row>
    <row r="670" spans="1:6" ht="16.95" customHeight="1" x14ac:dyDescent="0.25">
      <c r="A670" s="5" t="s">
        <v>2026</v>
      </c>
      <c r="B670" s="4" t="s">
        <v>2027</v>
      </c>
      <c r="C670" s="4" t="s">
        <v>1998</v>
      </c>
      <c r="D670" s="4" t="s">
        <v>2016</v>
      </c>
      <c r="E670" s="4" t="s">
        <v>2008</v>
      </c>
      <c r="F670" s="4" t="str">
        <f>HYPERLINK("http://pasc.it/","pasc.it")</f>
        <v>pasc.it</v>
      </c>
    </row>
    <row r="671" spans="1:6" ht="16.95" customHeight="1" x14ac:dyDescent="0.25">
      <c r="A671" s="1" t="s">
        <v>2028</v>
      </c>
      <c r="B671" s="6" t="s">
        <v>2029</v>
      </c>
      <c r="C671" s="6" t="s">
        <v>1998</v>
      </c>
      <c r="D671" s="6" t="s">
        <v>2001</v>
      </c>
      <c r="E671" s="6" t="s">
        <v>2002</v>
      </c>
      <c r="F671" s="6" t="str">
        <f>HYPERLINK("http://www.calzatureperbambini.com/","www.calzatureperbambini.com")</f>
        <v>www.calzatureperbambini.com</v>
      </c>
    </row>
    <row r="672" spans="1:6" ht="16.95" customHeight="1" x14ac:dyDescent="0.25">
      <c r="A672" s="5" t="s">
        <v>2030</v>
      </c>
      <c r="B672" s="4" t="s">
        <v>2031</v>
      </c>
      <c r="C672" s="4" t="s">
        <v>1998</v>
      </c>
      <c r="D672" s="4" t="s">
        <v>2032</v>
      </c>
      <c r="E672" s="4" t="s">
        <v>2020</v>
      </c>
      <c r="F672" s="4" t="str">
        <f>HYPERLINK("http://www.primocecilia.com/","www.primocecilia.com")</f>
        <v>www.primocecilia.com</v>
      </c>
    </row>
    <row r="673" spans="1:6" ht="16.95" customHeight="1" x14ac:dyDescent="0.25">
      <c r="A673" s="1" t="s">
        <v>2033</v>
      </c>
      <c r="B673" s="6" t="s">
        <v>2034</v>
      </c>
      <c r="C673" s="6" t="s">
        <v>1998</v>
      </c>
      <c r="D673" s="6" t="s">
        <v>2007</v>
      </c>
      <c r="E673" s="6" t="s">
        <v>2008</v>
      </c>
      <c r="F673" s="6" t="str">
        <f>HYPERLINK("http://www.thesandalsfactory.com/","www.thesandalsfactory.com")</f>
        <v>www.thesandalsfactory.com</v>
      </c>
    </row>
    <row r="674" spans="1:6" ht="16.95" customHeight="1" x14ac:dyDescent="0.25">
      <c r="A674" s="5" t="s">
        <v>2035</v>
      </c>
      <c r="B674" s="4" t="s">
        <v>2036</v>
      </c>
      <c r="C674" s="4" t="s">
        <v>2037</v>
      </c>
      <c r="D674" s="4" t="s">
        <v>2016</v>
      </c>
      <c r="E674" s="4" t="s">
        <v>2008</v>
      </c>
      <c r="F674" s="4" t="str">
        <f>HYPERLINK("http://www.albatros-accessories.it/","www.albatros-accessories.it")</f>
        <v>www.albatros-accessories.it</v>
      </c>
    </row>
    <row r="675" spans="1:6" ht="16.95" customHeight="1" x14ac:dyDescent="0.25">
      <c r="A675" s="1" t="s">
        <v>2038</v>
      </c>
      <c r="B675" s="6" t="s">
        <v>2039</v>
      </c>
      <c r="C675" s="6" t="s">
        <v>1998</v>
      </c>
      <c r="D675" s="6" t="s">
        <v>2005</v>
      </c>
      <c r="E675" s="6" t="s">
        <v>2002</v>
      </c>
      <c r="F675" s="6" t="str">
        <f>HYPERLINK("http://www.calzaturificiofancy.it/","www.calzaturificiofancy.it")</f>
        <v>www.calzaturificiofancy.it</v>
      </c>
    </row>
    <row r="676" spans="1:6" ht="29.55" customHeight="1" x14ac:dyDescent="0.25">
      <c r="A676" s="5" t="s">
        <v>2040</v>
      </c>
      <c r="B676" s="4" t="s">
        <v>2041</v>
      </c>
      <c r="C676" s="4" t="s">
        <v>1993</v>
      </c>
      <c r="D676" s="4" t="s">
        <v>2007</v>
      </c>
      <c r="E676" s="4" t="s">
        <v>2008</v>
      </c>
      <c r="F676" s="4" t="str">
        <f>HYPERLINK("http://www.nuovaalbora.it/","www.nuovaalbora.it")</f>
        <v>www.nuovaalbora.it</v>
      </c>
    </row>
    <row r="677" spans="1:6" ht="16.95" customHeight="1" x14ac:dyDescent="0.25">
      <c r="A677" s="5" t="s">
        <v>2042</v>
      </c>
      <c r="B677" s="4" t="s">
        <v>2043</v>
      </c>
      <c r="C677" s="4" t="s">
        <v>1993</v>
      </c>
      <c r="D677" s="4" t="s">
        <v>1985</v>
      </c>
      <c r="E677" s="4" t="s">
        <v>1986</v>
      </c>
      <c r="F677" s="4" t="str">
        <f>HYPERLINK("http://www.creativeleathers.com/","www.creativeleathers.com")</f>
        <v>www.creativeleathers.com</v>
      </c>
    </row>
    <row r="678" spans="1:6" ht="29.55" customHeight="1" x14ac:dyDescent="0.25">
      <c r="A678" s="1" t="s">
        <v>2044</v>
      </c>
      <c r="B678" s="6" t="s">
        <v>2045</v>
      </c>
      <c r="C678" s="6" t="s">
        <v>1993</v>
      </c>
      <c r="D678" s="6" t="s">
        <v>2007</v>
      </c>
      <c r="E678" s="6" t="s">
        <v>2008</v>
      </c>
      <c r="F678" s="6" t="str">
        <f>HYPERLINK("http://www.eng.laperlaazzurra.com/","www.eng.laperlaazzurra.com")</f>
        <v>www.eng.laperlaazzurra.com</v>
      </c>
    </row>
    <row r="679" spans="1:6" ht="16.95" customHeight="1" x14ac:dyDescent="0.25">
      <c r="A679" s="1" t="s">
        <v>2046</v>
      </c>
      <c r="B679" s="6" t="s">
        <v>2047</v>
      </c>
      <c r="C679" s="6" t="s">
        <v>1993</v>
      </c>
      <c r="D679" s="6" t="s">
        <v>2007</v>
      </c>
      <c r="E679" s="6" t="s">
        <v>2008</v>
      </c>
      <c r="F679" s="6" t="str">
        <f>HYPERLINK("http://www.lostivale.it/","www.lostivale.it")</f>
        <v>www.lostivale.it</v>
      </c>
    </row>
    <row r="680" spans="1:6" ht="16.95" customHeight="1" x14ac:dyDescent="0.25">
      <c r="A680" s="5" t="s">
        <v>2048</v>
      </c>
      <c r="B680" s="4" t="s">
        <v>2049</v>
      </c>
      <c r="C680" s="4" t="s">
        <v>1984</v>
      </c>
      <c r="D680" s="4" t="s">
        <v>2001</v>
      </c>
      <c r="E680" s="4" t="s">
        <v>2002</v>
      </c>
      <c r="F680" s="4" t="str">
        <f>HYPERLINK("http://www.giudi.com/","www.giudi.com")</f>
        <v>www.giudi.com</v>
      </c>
    </row>
    <row r="681" spans="1:6" ht="16.95" customHeight="1" x14ac:dyDescent="0.25">
      <c r="A681" s="1" t="s">
        <v>2050</v>
      </c>
      <c r="B681" s="6" t="s">
        <v>2051</v>
      </c>
      <c r="C681" s="6" t="s">
        <v>2052</v>
      </c>
      <c r="D681" s="6" t="s">
        <v>2053</v>
      </c>
      <c r="E681" s="6" t="s">
        <v>2054</v>
      </c>
      <c r="F681" s="6" t="str">
        <f>HYPERLINK("http://www.joghost.com/","www.joghost.com")</f>
        <v>www.joghost.com</v>
      </c>
    </row>
    <row r="682" spans="1:6" ht="16.95" customHeight="1" x14ac:dyDescent="0.25">
      <c r="A682" s="5" t="s">
        <v>2055</v>
      </c>
      <c r="B682" s="4" t="s">
        <v>2056</v>
      </c>
      <c r="C682" s="4" t="s">
        <v>2052</v>
      </c>
      <c r="D682" s="4" t="s">
        <v>2057</v>
      </c>
      <c r="E682" s="4" t="s">
        <v>2058</v>
      </c>
      <c r="F682" s="4" t="str">
        <f>HYPERLINK("http://harrisshoes.it/","harrisshoes.it")</f>
        <v>harrisshoes.it</v>
      </c>
    </row>
    <row r="683" spans="1:6" ht="16.95" customHeight="1" x14ac:dyDescent="0.25">
      <c r="A683" s="1" t="s">
        <v>2059</v>
      </c>
      <c r="B683" s="6" t="s">
        <v>2060</v>
      </c>
      <c r="C683" s="6" t="s">
        <v>2061</v>
      </c>
      <c r="D683" s="6" t="s">
        <v>2062</v>
      </c>
      <c r="E683" s="6" t="s">
        <v>2058</v>
      </c>
      <c r="F683" s="6" t="str">
        <f>HYPERLINK("http://www.conceriawalpier.it/","www.conceriawalpier.it")</f>
        <v>www.conceriawalpier.it</v>
      </c>
    </row>
    <row r="684" spans="1:6" ht="16.95" customHeight="1" x14ac:dyDescent="0.25">
      <c r="A684" s="5" t="s">
        <v>2063</v>
      </c>
      <c r="B684" s="4" t="s">
        <v>2064</v>
      </c>
      <c r="C684" s="4" t="s">
        <v>2061</v>
      </c>
      <c r="D684" s="4" t="s">
        <v>2065</v>
      </c>
      <c r="E684" s="4" t="s">
        <v>2066</v>
      </c>
      <c r="F684" s="4" t="str">
        <f>HYPERLINK("http://www.mottapelli.191.it/","www.mottapelli.191.it")</f>
        <v>www.mottapelli.191.it</v>
      </c>
    </row>
    <row r="685" spans="1:6" ht="16.95" customHeight="1" x14ac:dyDescent="0.25">
      <c r="A685" s="5" t="s">
        <v>2067</v>
      </c>
      <c r="B685" s="4" t="s">
        <v>2068</v>
      </c>
      <c r="C685" s="4" t="s">
        <v>2061</v>
      </c>
      <c r="D685" s="4" t="s">
        <v>2069</v>
      </c>
      <c r="E685" s="4" t="s">
        <v>2070</v>
      </c>
      <c r="F685" s="4" t="str">
        <f>HYPERLINK("http://www.leatherteamsrl.it/","www.leatherteamsrl.it")</f>
        <v>www.leatherteamsrl.it</v>
      </c>
    </row>
    <row r="686" spans="1:6" ht="29.55" customHeight="1" x14ac:dyDescent="0.25">
      <c r="A686" s="1" t="s">
        <v>2071</v>
      </c>
      <c r="B686" s="6" t="s">
        <v>2072</v>
      </c>
      <c r="C686" s="6" t="s">
        <v>2073</v>
      </c>
      <c r="D686" s="6" t="s">
        <v>2062</v>
      </c>
      <c r="E686" s="6" t="s">
        <v>2058</v>
      </c>
      <c r="F686" s="6" t="str">
        <f>HYPERLINK("http://www.tacchificioilgabbiano.it/","www.tacchificioilgabbiano.it")</f>
        <v>www.tacchificioilgabbiano.it</v>
      </c>
    </row>
    <row r="687" spans="1:6" ht="16.95" customHeight="1" x14ac:dyDescent="0.25">
      <c r="A687" s="1" t="s">
        <v>2075</v>
      </c>
      <c r="B687" s="6" t="s">
        <v>2076</v>
      </c>
      <c r="C687" s="6" t="s">
        <v>2061</v>
      </c>
      <c r="D687" s="6" t="s">
        <v>2062</v>
      </c>
      <c r="E687" s="6" t="s">
        <v>2058</v>
      </c>
      <c r="F687" s="6" t="str">
        <f>HYPERLINK("http://www.meridianaindustriaconciaria.com/","www.meridianaindustriaconciaria.com")</f>
        <v>www.meridianaindustriaconciaria.com</v>
      </c>
    </row>
    <row r="688" spans="1:6" ht="16.95" customHeight="1" x14ac:dyDescent="0.25">
      <c r="A688" s="5" t="s">
        <v>2077</v>
      </c>
      <c r="B688" s="4" t="s">
        <v>2078</v>
      </c>
      <c r="C688" s="4" t="s">
        <v>2079</v>
      </c>
      <c r="D688" s="4" t="s">
        <v>2057</v>
      </c>
      <c r="E688" s="4" t="s">
        <v>2058</v>
      </c>
      <c r="F688" s="4" t="str">
        <f>HYPERLINK("http://www.saccardi.it/","www.saccardi.it")</f>
        <v>www.saccardi.it</v>
      </c>
    </row>
    <row r="689" spans="1:6" ht="16.95" customHeight="1" x14ac:dyDescent="0.25">
      <c r="A689" s="1" t="s">
        <v>2080</v>
      </c>
      <c r="B689" s="6" t="s">
        <v>2081</v>
      </c>
      <c r="C689" s="6" t="s">
        <v>2052</v>
      </c>
      <c r="D689" s="6" t="s">
        <v>2053</v>
      </c>
      <c r="E689" s="6" t="s">
        <v>2054</v>
      </c>
      <c r="F689" s="6" t="str">
        <f>HYPERLINK("http://dinobigioni.com/","dinobigioni.com")</f>
        <v>dinobigioni.com</v>
      </c>
    </row>
    <row r="690" spans="1:6" ht="55.65" customHeight="1" x14ac:dyDescent="0.25">
      <c r="A690" s="5" t="s">
        <v>2083</v>
      </c>
      <c r="B690" s="4" t="s">
        <v>2084</v>
      </c>
      <c r="C690" s="4" t="s">
        <v>2052</v>
      </c>
      <c r="D690" s="4" t="s">
        <v>2074</v>
      </c>
      <c r="E690" s="4" t="s">
        <v>2054</v>
      </c>
      <c r="F690" s="4" t="str">
        <f>HYPERLINK("http://www.parisienneshoes.com/","www.parisienneshoes.com")</f>
        <v>www.parisienneshoes.com</v>
      </c>
    </row>
    <row r="691" spans="1:6" ht="16.95" customHeight="1" x14ac:dyDescent="0.25">
      <c r="A691" s="1" t="s">
        <v>2085</v>
      </c>
      <c r="B691" s="6" t="s">
        <v>2086</v>
      </c>
      <c r="C691" s="6" t="s">
        <v>2073</v>
      </c>
      <c r="D691" s="6" t="s">
        <v>2069</v>
      </c>
      <c r="E691" s="6" t="s">
        <v>2070</v>
      </c>
      <c r="F691" s="6" t="str">
        <f>HYPERLINK("http://www.biasiotto.it/","www.biasiotto.it")</f>
        <v>www.biasiotto.it</v>
      </c>
    </row>
    <row r="692" spans="1:6" ht="29.55" customHeight="1" x14ac:dyDescent="0.25">
      <c r="A692" s="5" t="s">
        <v>2087</v>
      </c>
      <c r="B692" s="4" t="s">
        <v>2088</v>
      </c>
      <c r="C692" s="4" t="s">
        <v>2052</v>
      </c>
      <c r="D692" s="4" t="s">
        <v>2089</v>
      </c>
      <c r="E692" s="4" t="s">
        <v>2090</v>
      </c>
      <c r="F692" s="4" t="str">
        <f>HYPERLINK("http://www.altramarea.it/","www.altramarea.it")</f>
        <v>www.altramarea.it</v>
      </c>
    </row>
    <row r="693" spans="1:6" ht="16.95" customHeight="1" x14ac:dyDescent="0.25">
      <c r="A693" s="5" t="s">
        <v>2091</v>
      </c>
      <c r="B693" s="4" t="s">
        <v>2092</v>
      </c>
      <c r="C693" s="4" t="s">
        <v>2052</v>
      </c>
      <c r="D693" s="4" t="s">
        <v>2093</v>
      </c>
      <c r="E693" s="4" t="s">
        <v>2094</v>
      </c>
      <c r="F693" s="4" t="str">
        <f>HYPERLINK("http://robertorubino.it/","robertorubino.it")</f>
        <v>robertorubino.it</v>
      </c>
    </row>
    <row r="694" spans="1:6" ht="29.55" customHeight="1" x14ac:dyDescent="0.25">
      <c r="A694" s="1" t="s">
        <v>2095</v>
      </c>
      <c r="B694" s="6" t="s">
        <v>2096</v>
      </c>
      <c r="C694" s="6" t="s">
        <v>2073</v>
      </c>
      <c r="D694" s="6" t="s">
        <v>2097</v>
      </c>
      <c r="E694" s="6" t="s">
        <v>2058</v>
      </c>
      <c r="F694" s="6" t="str">
        <f>HYPERLINK("http://www.calzaturificiobiquattro.it/","www.calzaturificiobiquattro.it")</f>
        <v>www.calzaturificiobiquattro.it</v>
      </c>
    </row>
    <row r="695" spans="1:6" ht="29.55" customHeight="1" x14ac:dyDescent="0.25">
      <c r="A695" s="1" t="s">
        <v>2098</v>
      </c>
      <c r="B695" s="6" t="s">
        <v>2099</v>
      </c>
      <c r="C695" s="6" t="s">
        <v>2052</v>
      </c>
      <c r="D695" s="6" t="s">
        <v>2089</v>
      </c>
      <c r="E695" s="6" t="s">
        <v>2090</v>
      </c>
      <c r="F695" s="6" t="str">
        <f>HYPERLINK("http://www.easywalk.it/","www.easywalk.it")</f>
        <v>www.easywalk.it</v>
      </c>
    </row>
    <row r="696" spans="1:6" ht="29.55" customHeight="1" x14ac:dyDescent="0.25">
      <c r="A696" s="5" t="s">
        <v>2100</v>
      </c>
      <c r="B696" s="4" t="s">
        <v>2101</v>
      </c>
      <c r="C696" s="4" t="s">
        <v>2073</v>
      </c>
      <c r="D696" s="4" t="s">
        <v>2082</v>
      </c>
      <c r="E696" s="4" t="s">
        <v>2066</v>
      </c>
      <c r="F696" s="4" t="str">
        <f>HYPERLINK("http://www.metalo.it/","http://www.metalo.it")</f>
        <v>http://www.metalo.it</v>
      </c>
    </row>
    <row r="697" spans="1:6" ht="16.95" customHeight="1" x14ac:dyDescent="0.25">
      <c r="A697" s="1" t="s">
        <v>2102</v>
      </c>
      <c r="B697" s="6" t="s">
        <v>2103</v>
      </c>
      <c r="C697" s="6" t="s">
        <v>2052</v>
      </c>
      <c r="D697" s="6" t="s">
        <v>2104</v>
      </c>
      <c r="E697" s="6" t="s">
        <v>2070</v>
      </c>
      <c r="F697" s="6" t="str">
        <f>HYPERLINK("http://www.loren.it/","www.loren.it")</f>
        <v>www.loren.it</v>
      </c>
    </row>
    <row r="698" spans="1:6" ht="29.55" customHeight="1" x14ac:dyDescent="0.25">
      <c r="A698" s="1" t="s">
        <v>2105</v>
      </c>
      <c r="B698" s="6" t="s">
        <v>2106</v>
      </c>
      <c r="C698" s="6" t="s">
        <v>2061</v>
      </c>
      <c r="D698" s="6" t="s">
        <v>2069</v>
      </c>
      <c r="E698" s="6" t="s">
        <v>2070</v>
      </c>
      <c r="F698" s="6" t="str">
        <f>HYPERLINK("http://www.babileather.it/","www.babileather.it")</f>
        <v>www.babileather.it</v>
      </c>
    </row>
    <row r="699" spans="1:6" ht="16.95" customHeight="1" x14ac:dyDescent="0.25">
      <c r="A699" s="5" t="s">
        <v>2107</v>
      </c>
      <c r="B699" s="4" t="s">
        <v>2108</v>
      </c>
      <c r="C699" s="4" t="s">
        <v>2109</v>
      </c>
      <c r="D699" s="4" t="s">
        <v>2110</v>
      </c>
      <c r="E699" s="4" t="s">
        <v>2111</v>
      </c>
      <c r="F699" s="4" t="str">
        <f>HYPERLINK("http://www.march.it/","www.march.it")</f>
        <v>www.march.it</v>
      </c>
    </row>
    <row r="700" spans="1:6" ht="29.55" customHeight="1" x14ac:dyDescent="0.25">
      <c r="A700" s="1" t="s">
        <v>2112</v>
      </c>
      <c r="B700" s="6" t="s">
        <v>2113</v>
      </c>
      <c r="C700" s="6" t="s">
        <v>2079</v>
      </c>
      <c r="D700" s="6" t="s">
        <v>2114</v>
      </c>
      <c r="E700" s="6" t="s">
        <v>2115</v>
      </c>
      <c r="F700" s="6" t="str">
        <f>HYPERLINK("http://www.tlisrl.it/","www.tlisrl.it")</f>
        <v>www.tlisrl.it</v>
      </c>
    </row>
    <row r="701" spans="1:6" ht="16.95" customHeight="1" x14ac:dyDescent="0.25">
      <c r="A701" s="5" t="s">
        <v>2116</v>
      </c>
      <c r="B701" s="4" t="s">
        <v>2117</v>
      </c>
      <c r="C701" s="4" t="s">
        <v>2079</v>
      </c>
      <c r="D701" s="4" t="s">
        <v>2057</v>
      </c>
      <c r="E701" s="4" t="s">
        <v>2058</v>
      </c>
      <c r="F701" s="4" t="str">
        <f>HYPERLINK("http://www.creativitysrl.it/","www.creativitysrl.it")</f>
        <v>www.creativitysrl.it</v>
      </c>
    </row>
    <row r="702" spans="1:6" ht="16.95" customHeight="1" x14ac:dyDescent="0.25">
      <c r="A702" s="1" t="s">
        <v>2118</v>
      </c>
      <c r="B702" s="6" t="s">
        <v>2119</v>
      </c>
      <c r="C702" s="6" t="s">
        <v>2073</v>
      </c>
      <c r="D702" s="6" t="s">
        <v>2062</v>
      </c>
      <c r="E702" s="6" t="s">
        <v>2058</v>
      </c>
      <c r="F702" s="6" t="str">
        <f>HYPERLINK("http://www.brmgroup.it/","www.brmgroup.it")</f>
        <v>www.brmgroup.it</v>
      </c>
    </row>
    <row r="703" spans="1:6" ht="16.95" customHeight="1" x14ac:dyDescent="0.25">
      <c r="A703" s="5" t="s">
        <v>2120</v>
      </c>
      <c r="B703" s="4" t="s">
        <v>2121</v>
      </c>
      <c r="C703" s="4" t="s">
        <v>2061</v>
      </c>
      <c r="D703" s="4" t="s">
        <v>2069</v>
      </c>
      <c r="E703" s="4" t="s">
        <v>2070</v>
      </c>
      <c r="F703" s="4" t="str">
        <f>HYPERLINK("http://www.blupell.it/","www.blupell.it")</f>
        <v>www.blupell.it</v>
      </c>
    </row>
    <row r="704" spans="1:6" ht="16.95" customHeight="1" x14ac:dyDescent="0.25">
      <c r="A704" s="1" t="s">
        <v>2122</v>
      </c>
      <c r="B704" s="6" t="s">
        <v>2123</v>
      </c>
      <c r="C704" s="6" t="s">
        <v>2052</v>
      </c>
      <c r="D704" s="6" t="s">
        <v>2057</v>
      </c>
      <c r="E704" s="6" t="s">
        <v>2058</v>
      </c>
      <c r="F704" s="6" t="str">
        <f>HYPERLINK("http://fratelliborgioli.com/","fratelliborgioli.com")</f>
        <v>fratelliborgioli.com</v>
      </c>
    </row>
    <row r="705" spans="1:6" ht="29.55" customHeight="1" x14ac:dyDescent="0.25">
      <c r="A705" s="1" t="s">
        <v>2124</v>
      </c>
      <c r="B705" s="6" t="s">
        <v>2125</v>
      </c>
      <c r="C705" s="6" t="s">
        <v>2126</v>
      </c>
      <c r="D705" s="6" t="s">
        <v>2127</v>
      </c>
      <c r="E705" s="6" t="s">
        <v>2128</v>
      </c>
      <c r="F705" s="6" t="str">
        <f>HYPERLINK("http://www.danilobonfanti.it/","www.danilobonfanti.it")</f>
        <v>www.danilobonfanti.it</v>
      </c>
    </row>
    <row r="706" spans="1:6" ht="16.95" customHeight="1" x14ac:dyDescent="0.25">
      <c r="A706" s="1" t="s">
        <v>2132</v>
      </c>
      <c r="B706" s="6" t="s">
        <v>2133</v>
      </c>
      <c r="C706" s="6" t="s">
        <v>2134</v>
      </c>
      <c r="D706" s="6" t="s">
        <v>2135</v>
      </c>
      <c r="E706" s="6" t="s">
        <v>2136</v>
      </c>
      <c r="F706" s="6" t="str">
        <f>HYPERLINK("http://www.tradigo.it/","www.tradigo.it")</f>
        <v>www.tradigo.it</v>
      </c>
    </row>
    <row r="707" spans="1:6" ht="16.95" customHeight="1" x14ac:dyDescent="0.25">
      <c r="A707" s="5" t="s">
        <v>2137</v>
      </c>
      <c r="B707" s="4" t="s">
        <v>2138</v>
      </c>
      <c r="C707" s="4" t="s">
        <v>2129</v>
      </c>
      <c r="D707" s="4" t="s">
        <v>2127</v>
      </c>
      <c r="E707" s="4" t="s">
        <v>2128</v>
      </c>
      <c r="F707" s="4" t="str">
        <f>HYPERLINK("http://www.conceriamaryam.it/","www.conceriamaryam.it")</f>
        <v>www.conceriamaryam.it</v>
      </c>
    </row>
    <row r="708" spans="1:6" ht="16.95" customHeight="1" x14ac:dyDescent="0.25">
      <c r="A708" s="1" t="s">
        <v>2139</v>
      </c>
      <c r="B708" s="6" t="s">
        <v>2140</v>
      </c>
      <c r="C708" s="6" t="s">
        <v>2134</v>
      </c>
      <c r="D708" s="6" t="s">
        <v>2141</v>
      </c>
      <c r="E708" s="6" t="s">
        <v>2142</v>
      </c>
      <c r="F708" s="6" t="str">
        <f>HYPERLINK("http://www.repo-srl.com/","www.repo-srl.com")</f>
        <v>www.repo-srl.com</v>
      </c>
    </row>
    <row r="709" spans="1:6" ht="43.05" customHeight="1" x14ac:dyDescent="0.25">
      <c r="A709" s="5" t="s">
        <v>2143</v>
      </c>
      <c r="B709" s="4" t="s">
        <v>2144</v>
      </c>
      <c r="C709" s="4" t="s">
        <v>2145</v>
      </c>
      <c r="D709" s="4" t="s">
        <v>2135</v>
      </c>
      <c r="E709" s="4" t="s">
        <v>2136</v>
      </c>
      <c r="F709" s="4" t="str">
        <f>HYPERLINK("http://www.fabbricapelletteriemilano.eu/","www.fabbricapelletteriemilano.eu")</f>
        <v>www.fabbricapelletteriemilano.eu</v>
      </c>
    </row>
    <row r="710" spans="1:6" ht="16.95" customHeight="1" x14ac:dyDescent="0.25">
      <c r="A710" s="1" t="s">
        <v>2146</v>
      </c>
      <c r="B710" s="6" t="s">
        <v>2147</v>
      </c>
      <c r="C710" s="6" t="s">
        <v>2126</v>
      </c>
      <c r="D710" s="6" t="s">
        <v>2148</v>
      </c>
      <c r="E710" s="6" t="s">
        <v>2131</v>
      </c>
      <c r="F710" s="6" t="str">
        <f>HYPERLINK("http://elenashoes.it/","elenashoes.it")</f>
        <v>elenashoes.it</v>
      </c>
    </row>
    <row r="711" spans="1:6" ht="16.95" customHeight="1" x14ac:dyDescent="0.25">
      <c r="A711" s="5" t="s">
        <v>2149</v>
      </c>
      <c r="B711" s="4" t="s">
        <v>2150</v>
      </c>
      <c r="C711" s="4" t="s">
        <v>2126</v>
      </c>
      <c r="D711" s="4" t="s">
        <v>2151</v>
      </c>
      <c r="E711" s="4" t="s">
        <v>2136</v>
      </c>
      <c r="F711" s="4" t="str">
        <f>HYPERLINK("http://stilmodashoes.com/","stilmodashoes.com")</f>
        <v>stilmodashoes.com</v>
      </c>
    </row>
    <row r="712" spans="1:6" ht="16.95" customHeight="1" x14ac:dyDescent="0.25">
      <c r="A712" s="1" t="s">
        <v>2152</v>
      </c>
      <c r="B712" s="6" t="s">
        <v>2153</v>
      </c>
      <c r="C712" s="6" t="s">
        <v>2126</v>
      </c>
      <c r="D712" s="6" t="s">
        <v>2154</v>
      </c>
      <c r="E712" s="6" t="s">
        <v>2131</v>
      </c>
      <c r="F712" s="6" t="str">
        <f>HYPERLINK("http://www.inovika.it/","www.inovika.it")</f>
        <v>www.inovika.it</v>
      </c>
    </row>
    <row r="713" spans="1:6" ht="16.95" customHeight="1" x14ac:dyDescent="0.25">
      <c r="A713" s="1" t="s">
        <v>2155</v>
      </c>
      <c r="B713" s="6" t="s">
        <v>2156</v>
      </c>
      <c r="C713" s="6" t="s">
        <v>2129</v>
      </c>
      <c r="D713" s="6" t="s">
        <v>2127</v>
      </c>
      <c r="E713" s="6" t="s">
        <v>2128</v>
      </c>
      <c r="F713" s="6" t="str">
        <f>HYPERLINK("http://www.madisonsrl.com/","www.madisonsrl.com")</f>
        <v>www.madisonsrl.com</v>
      </c>
    </row>
    <row r="714" spans="1:6" ht="29.55" customHeight="1" x14ac:dyDescent="0.25">
      <c r="A714" s="5" t="s">
        <v>2157</v>
      </c>
      <c r="B714" s="4" t="s">
        <v>2158</v>
      </c>
      <c r="C714" s="4" t="s">
        <v>2129</v>
      </c>
      <c r="D714" s="4" t="s">
        <v>2130</v>
      </c>
      <c r="E714" s="4" t="s">
        <v>2131</v>
      </c>
      <c r="F714" s="4" t="str">
        <f>HYPERLINK("http://www.concerianice.com/","www.concerianice.com")</f>
        <v>www.concerianice.com</v>
      </c>
    </row>
    <row r="715" spans="1:6" ht="16.95" customHeight="1" x14ac:dyDescent="0.25">
      <c r="A715" s="5" t="s">
        <v>2161</v>
      </c>
      <c r="B715" s="4" t="s">
        <v>2162</v>
      </c>
      <c r="C715" s="4" t="s">
        <v>2126</v>
      </c>
      <c r="D715" s="4" t="s">
        <v>2163</v>
      </c>
      <c r="E715" s="4" t="s">
        <v>2142</v>
      </c>
      <c r="F715" s="4" t="str">
        <f>HYPERLINK("http://www.halmanera.it/","www.halmanera.it")</f>
        <v>www.halmanera.it</v>
      </c>
    </row>
    <row r="716" spans="1:6" ht="16.95" customHeight="1" x14ac:dyDescent="0.25">
      <c r="A716" s="1" t="s">
        <v>2164</v>
      </c>
      <c r="B716" s="6" t="s">
        <v>2165</v>
      </c>
      <c r="C716" s="6" t="s">
        <v>2145</v>
      </c>
      <c r="D716" s="6" t="s">
        <v>2166</v>
      </c>
      <c r="E716" s="6" t="s">
        <v>2167</v>
      </c>
      <c r="F716" s="6" t="str">
        <f>HYPERLINK("http://www.anderson.it/","http://www.anderson.it")</f>
        <v>http://www.anderson.it</v>
      </c>
    </row>
    <row r="717" spans="1:6" ht="16.95" customHeight="1" x14ac:dyDescent="0.25">
      <c r="A717" s="5" t="s">
        <v>2168</v>
      </c>
      <c r="B717" s="4" t="s">
        <v>2169</v>
      </c>
      <c r="C717" s="4" t="s">
        <v>2145</v>
      </c>
      <c r="D717" s="4" t="s">
        <v>2170</v>
      </c>
      <c r="E717" s="4" t="s">
        <v>2160</v>
      </c>
      <c r="F717" s="4" t="str">
        <f>HYPERLINK("http://www.officinartigiana.it/","www.officinartigiana.it")</f>
        <v>www.officinartigiana.it</v>
      </c>
    </row>
    <row r="718" spans="1:6" ht="16.95" customHeight="1" x14ac:dyDescent="0.25">
      <c r="A718" s="5" t="s">
        <v>2171</v>
      </c>
      <c r="B718" s="4" t="s">
        <v>2172</v>
      </c>
      <c r="C718" s="4" t="s">
        <v>2126</v>
      </c>
      <c r="D718" s="4" t="s">
        <v>2173</v>
      </c>
      <c r="E718" s="4" t="s">
        <v>2136</v>
      </c>
      <c r="F718" s="4" t="str">
        <f>HYPERLINK("http://www.astorflex.it/","www.astorflex.it")</f>
        <v>www.astorflex.it</v>
      </c>
    </row>
    <row r="719" spans="1:6" ht="16.95" customHeight="1" x14ac:dyDescent="0.25">
      <c r="A719" s="1" t="s">
        <v>2174</v>
      </c>
      <c r="B719" s="6" t="s">
        <v>2175</v>
      </c>
      <c r="C719" s="6" t="s">
        <v>2176</v>
      </c>
      <c r="D719" s="6" t="s">
        <v>2135</v>
      </c>
      <c r="E719" s="6" t="s">
        <v>2136</v>
      </c>
      <c r="F719" s="6" t="str">
        <f>HYPERLINK("http://www.europeangroup.it/","www.europeangroup.it")</f>
        <v>www.europeangroup.it</v>
      </c>
    </row>
    <row r="720" spans="1:6" ht="29.55" customHeight="1" x14ac:dyDescent="0.25">
      <c r="A720" s="5" t="s">
        <v>2177</v>
      </c>
      <c r="B720" s="4" t="s">
        <v>2178</v>
      </c>
      <c r="C720" s="4" t="s">
        <v>2145</v>
      </c>
      <c r="D720" s="4" t="s">
        <v>2135</v>
      </c>
      <c r="E720" s="4" t="s">
        <v>2136</v>
      </c>
      <c r="F720" s="4" t="str">
        <f>HYPERLINK("http://www.mcpelletteriaartigiana.it/","www.mcpelletteriaartigiana.it")</f>
        <v>www.mcpelletteriaartigiana.it</v>
      </c>
    </row>
    <row r="721" spans="1:6" ht="29.55" customHeight="1" x14ac:dyDescent="0.25">
      <c r="A721" s="5" t="s">
        <v>2179</v>
      </c>
      <c r="B721" s="4" t="s">
        <v>2180</v>
      </c>
      <c r="C721" s="4" t="s">
        <v>2126</v>
      </c>
      <c r="D721" s="4" t="s">
        <v>2141</v>
      </c>
      <c r="E721" s="4" t="s">
        <v>2142</v>
      </c>
      <c r="F721" s="4" t="str">
        <f>HYPERLINK("http://www.lanciottideverzi.com/","www.lanciottideverzi.com")</f>
        <v>www.lanciottideverzi.com</v>
      </c>
    </row>
    <row r="722" spans="1:6" ht="29.55" customHeight="1" x14ac:dyDescent="0.25">
      <c r="A722" s="1" t="s">
        <v>2181</v>
      </c>
      <c r="B722" s="6" t="s">
        <v>2182</v>
      </c>
      <c r="C722" s="6" t="s">
        <v>2129</v>
      </c>
      <c r="D722" s="6" t="s">
        <v>2127</v>
      </c>
      <c r="E722" s="6" t="s">
        <v>2128</v>
      </c>
      <c r="F722" s="6" t="str">
        <f>HYPERLINK("http://www.rivadavia.net/","www.rivadavia.net")</f>
        <v>www.rivadavia.net</v>
      </c>
    </row>
    <row r="723" spans="1:6" ht="16.95" customHeight="1" x14ac:dyDescent="0.25">
      <c r="A723" s="1" t="s">
        <v>2183</v>
      </c>
      <c r="B723" s="6" t="s">
        <v>2184</v>
      </c>
      <c r="C723" s="6" t="s">
        <v>2129</v>
      </c>
      <c r="D723" s="6" t="s">
        <v>2135</v>
      </c>
      <c r="E723" s="6" t="s">
        <v>2136</v>
      </c>
      <c r="F723" s="6" t="str">
        <f>HYPERLINK("http://www.simtopel.com/","www.simtopel.com")</f>
        <v>www.simtopel.com</v>
      </c>
    </row>
    <row r="724" spans="1:6" ht="29.55" customHeight="1" x14ac:dyDescent="0.25">
      <c r="A724" s="5" t="s">
        <v>2185</v>
      </c>
      <c r="B724" s="4" t="s">
        <v>2186</v>
      </c>
      <c r="C724" s="4" t="s">
        <v>2126</v>
      </c>
      <c r="D724" s="4" t="s">
        <v>2154</v>
      </c>
      <c r="E724" s="4" t="s">
        <v>2131</v>
      </c>
      <c r="F724" s="4" t="str">
        <f>HYPERLINK("http://kybunjoya.swiss/","kybunjoya.swiss")</f>
        <v>kybunjoya.swiss</v>
      </c>
    </row>
    <row r="725" spans="1:6" ht="16.95" customHeight="1" x14ac:dyDescent="0.25">
      <c r="A725" s="5" t="s">
        <v>2187</v>
      </c>
      <c r="B725" s="4" t="s">
        <v>2188</v>
      </c>
      <c r="C725" s="4" t="s">
        <v>2176</v>
      </c>
      <c r="D725" s="4" t="s">
        <v>2141</v>
      </c>
      <c r="E725" s="4" t="s">
        <v>2142</v>
      </c>
      <c r="F725" s="4" t="str">
        <f>HYPERLINK("http://giviplast.com/","giviplast.com")</f>
        <v>giviplast.com</v>
      </c>
    </row>
    <row r="726" spans="1:6" ht="16.95" customHeight="1" x14ac:dyDescent="0.25">
      <c r="A726" s="1" t="s">
        <v>2189</v>
      </c>
      <c r="B726" s="6" t="s">
        <v>2190</v>
      </c>
      <c r="C726" s="6" t="s">
        <v>2126</v>
      </c>
      <c r="D726" s="6" t="s">
        <v>2159</v>
      </c>
      <c r="E726" s="6" t="s">
        <v>2160</v>
      </c>
      <c r="F726" s="6" t="str">
        <f>HYPERLINK("http://www.francescorussosrl.it/","www.francescorussosrl.it")</f>
        <v>www.francescorussosrl.it</v>
      </c>
    </row>
    <row r="727" spans="1:6" ht="16.95" customHeight="1" x14ac:dyDescent="0.25">
      <c r="A727" s="1" t="s">
        <v>2191</v>
      </c>
      <c r="B727" s="6" t="s">
        <v>2192</v>
      </c>
      <c r="C727" s="6" t="s">
        <v>2193</v>
      </c>
      <c r="D727" s="6" t="s">
        <v>2194</v>
      </c>
      <c r="E727" s="6" t="s">
        <v>2195</v>
      </c>
      <c r="F727" s="6" t="str">
        <f>HYPERLINK("http://www.calzaturificioester.it/","www.calzaturificioester.it")</f>
        <v>www.calzaturificioester.it</v>
      </c>
    </row>
    <row r="728" spans="1:6" ht="16.95" customHeight="1" x14ac:dyDescent="0.25">
      <c r="A728" s="5" t="s">
        <v>2196</v>
      </c>
      <c r="B728" s="4" t="s">
        <v>2197</v>
      </c>
      <c r="C728" s="4" t="s">
        <v>2198</v>
      </c>
      <c r="D728" s="4" t="s">
        <v>2199</v>
      </c>
      <c r="E728" s="4" t="s">
        <v>2200</v>
      </c>
      <c r="F728" s="4" t="str">
        <f>HYPERLINK("http://www.emmetierre.it/","www.emmetierre.it")</f>
        <v>www.emmetierre.it</v>
      </c>
    </row>
    <row r="729" spans="1:6" ht="16.95" customHeight="1" x14ac:dyDescent="0.25">
      <c r="A729" s="5" t="s">
        <v>2203</v>
      </c>
      <c r="B729" s="4" t="s">
        <v>2204</v>
      </c>
      <c r="C729" s="4" t="s">
        <v>2193</v>
      </c>
      <c r="D729" s="4" t="s">
        <v>2205</v>
      </c>
      <c r="E729" s="4" t="s">
        <v>2206</v>
      </c>
      <c r="F729" s="4" t="str">
        <f>HYPERLINK("http://www.ferca81.com/","www.ferca81.com")</f>
        <v>www.ferca81.com</v>
      </c>
    </row>
    <row r="730" spans="1:6" ht="16.95" customHeight="1" x14ac:dyDescent="0.25">
      <c r="A730" s="1" t="s">
        <v>2207</v>
      </c>
      <c r="B730" s="6" t="s">
        <v>2208</v>
      </c>
      <c r="C730" s="6" t="s">
        <v>2201</v>
      </c>
      <c r="D730" s="6" t="s">
        <v>2209</v>
      </c>
      <c r="E730" s="6" t="s">
        <v>2206</v>
      </c>
      <c r="F730" s="6" t="str">
        <f>HYPERLINK("http://www.cogeservizi.it/","www.cogeservizi.it")</f>
        <v>www.cogeservizi.it</v>
      </c>
    </row>
    <row r="731" spans="1:6" ht="16.95" customHeight="1" x14ac:dyDescent="0.25">
      <c r="A731" s="5" t="s">
        <v>2210</v>
      </c>
      <c r="B731" s="4" t="s">
        <v>2211</v>
      </c>
      <c r="C731" s="4" t="s">
        <v>2193</v>
      </c>
      <c r="D731" s="4" t="s">
        <v>2212</v>
      </c>
      <c r="E731" s="4" t="s">
        <v>2195</v>
      </c>
      <c r="F731" s="4" t="str">
        <f>HYPERLINK("http://shop.henrybeguelin.it/","shop.henrybeguelin.it")</f>
        <v>shop.henrybeguelin.it</v>
      </c>
    </row>
    <row r="732" spans="1:6" ht="29.55" customHeight="1" x14ac:dyDescent="0.25">
      <c r="A732" s="1" t="s">
        <v>2213</v>
      </c>
      <c r="B732" s="6" t="s">
        <v>2214</v>
      </c>
      <c r="C732" s="6" t="s">
        <v>2198</v>
      </c>
      <c r="D732" s="6" t="s">
        <v>2199</v>
      </c>
      <c r="E732" s="6" t="s">
        <v>2200</v>
      </c>
      <c r="F732" s="6" t="str">
        <f>HYPERLINK("http://www.marcuccigroup.com/","www.marcuccigroup.com")</f>
        <v>www.marcuccigroup.com</v>
      </c>
    </row>
    <row r="733" spans="1:6" ht="16.95" customHeight="1" x14ac:dyDescent="0.25">
      <c r="A733" s="5" t="s">
        <v>2215</v>
      </c>
      <c r="B733" s="4" t="s">
        <v>2216</v>
      </c>
      <c r="C733" s="4" t="s">
        <v>2198</v>
      </c>
      <c r="D733" s="4" t="s">
        <v>2212</v>
      </c>
      <c r="E733" s="4" t="s">
        <v>2195</v>
      </c>
      <c r="F733" s="4" t="str">
        <f>HYPERLINK("http://www.crocolux.it/","www.crocolux.it")</f>
        <v>www.crocolux.it</v>
      </c>
    </row>
    <row r="734" spans="1:6" ht="16.95" customHeight="1" x14ac:dyDescent="0.25">
      <c r="A734" s="5" t="s">
        <v>2217</v>
      </c>
      <c r="B734" s="4" t="s">
        <v>2218</v>
      </c>
      <c r="C734" s="4" t="s">
        <v>2198</v>
      </c>
      <c r="D734" s="4" t="s">
        <v>2219</v>
      </c>
      <c r="E734" s="4" t="s">
        <v>2195</v>
      </c>
      <c r="F734" s="4" t="str">
        <f>HYPERLINK("http://corame.it/","corame.it")</f>
        <v>corame.it</v>
      </c>
    </row>
    <row r="735" spans="1:6" ht="29.55" customHeight="1" x14ac:dyDescent="0.25">
      <c r="A735" s="1" t="s">
        <v>2220</v>
      </c>
      <c r="B735" s="6" t="s">
        <v>2221</v>
      </c>
      <c r="C735" s="6" t="s">
        <v>2193</v>
      </c>
      <c r="D735" s="6" t="s">
        <v>2222</v>
      </c>
      <c r="E735" s="6" t="s">
        <v>2223</v>
      </c>
      <c r="F735" s="6" t="str">
        <f>HYPERLINK("http://www.cronoteam.it/","www.cronoteam.it")</f>
        <v>www.cronoteam.it</v>
      </c>
    </row>
    <row r="736" spans="1:6" ht="16.95" customHeight="1" x14ac:dyDescent="0.25">
      <c r="A736" s="5" t="s">
        <v>2224</v>
      </c>
      <c r="B736" s="4" t="s">
        <v>2225</v>
      </c>
      <c r="C736" s="4" t="s">
        <v>2193</v>
      </c>
      <c r="D736" s="4" t="s">
        <v>2222</v>
      </c>
      <c r="E736" s="4" t="s">
        <v>2223</v>
      </c>
      <c r="F736" s="4" t="str">
        <f>HYPERLINK("http://www.fitwellsrl.it/","www.fitwellsrl.it")</f>
        <v>www.fitwellsrl.it</v>
      </c>
    </row>
    <row r="737" spans="1:6" ht="29.55" customHeight="1" x14ac:dyDescent="0.25">
      <c r="A737" s="1" t="s">
        <v>2226</v>
      </c>
      <c r="B737" s="6" t="s">
        <v>2227</v>
      </c>
      <c r="C737" s="6" t="s">
        <v>2193</v>
      </c>
      <c r="D737" s="6" t="s">
        <v>2228</v>
      </c>
      <c r="E737" s="6" t="s">
        <v>2200</v>
      </c>
      <c r="F737" s="6" t="str">
        <f>HYPERLINK("http://www.atlanticstars.it/","www.atlanticstars.it")</f>
        <v>www.atlanticstars.it</v>
      </c>
    </row>
    <row r="738" spans="1:6" ht="16.95" customHeight="1" x14ac:dyDescent="0.25">
      <c r="A738" s="1" t="s">
        <v>2230</v>
      </c>
      <c r="B738" s="6" t="s">
        <v>2231</v>
      </c>
      <c r="C738" s="6" t="s">
        <v>2229</v>
      </c>
      <c r="D738" s="6" t="s">
        <v>2232</v>
      </c>
      <c r="E738" s="6" t="s">
        <v>2233</v>
      </c>
      <c r="F738" s="6" t="str">
        <f>HYPERLINK("http://www.idea84.com/","www.idea84.com")</f>
        <v>www.idea84.com</v>
      </c>
    </row>
    <row r="739" spans="1:6" ht="16.95" customHeight="1" x14ac:dyDescent="0.25">
      <c r="A739" s="5" t="s">
        <v>2234</v>
      </c>
      <c r="B739" s="4" t="s">
        <v>2235</v>
      </c>
      <c r="C739" s="4" t="s">
        <v>2193</v>
      </c>
      <c r="D739" s="4" t="s">
        <v>2236</v>
      </c>
      <c r="E739" s="4" t="s">
        <v>2237</v>
      </c>
      <c r="F739" s="4" t="str">
        <f>HYPERLINK("http://www.pinkshoes.it/","www.pinkshoes.it")</f>
        <v>www.pinkshoes.it</v>
      </c>
    </row>
    <row r="740" spans="1:6" ht="29.55" customHeight="1" x14ac:dyDescent="0.25">
      <c r="A740" s="1" t="s">
        <v>2238</v>
      </c>
      <c r="B740" s="6" t="s">
        <v>2239</v>
      </c>
      <c r="C740" s="6" t="s">
        <v>2193</v>
      </c>
      <c r="D740" s="6" t="s">
        <v>2232</v>
      </c>
      <c r="E740" s="6" t="s">
        <v>2233</v>
      </c>
      <c r="F740" s="6" t="str">
        <f>HYPERLINK("http://www.lemare.it/","www.lemare.it")</f>
        <v>www.lemare.it</v>
      </c>
    </row>
    <row r="741" spans="1:6" ht="29.55" customHeight="1" x14ac:dyDescent="0.25">
      <c r="A741" s="1" t="s">
        <v>2240</v>
      </c>
      <c r="B741" s="6" t="s">
        <v>2241</v>
      </c>
      <c r="C741" s="6" t="s">
        <v>2198</v>
      </c>
      <c r="D741" s="6" t="s">
        <v>2222</v>
      </c>
      <c r="E741" s="6" t="s">
        <v>2223</v>
      </c>
      <c r="F741" s="6" t="str">
        <f>HYPERLINK("http://www.labelstoreindustries.it/","www.labelstoreindustries.it")</f>
        <v>www.labelstoreindustries.it</v>
      </c>
    </row>
    <row r="742" spans="1:6" ht="16.95" customHeight="1" x14ac:dyDescent="0.25">
      <c r="A742" s="1" t="s">
        <v>2242</v>
      </c>
      <c r="B742" s="6" t="s">
        <v>2243</v>
      </c>
      <c r="C742" s="6" t="s">
        <v>2201</v>
      </c>
      <c r="D742" s="6" t="s">
        <v>2244</v>
      </c>
      <c r="E742" s="6" t="s">
        <v>2245</v>
      </c>
      <c r="F742" s="6" t="str">
        <f>HYPERLINK("http://www.galliatepelli.it/","www.galliatepelli.it")</f>
        <v>www.galliatepelli.it</v>
      </c>
    </row>
    <row r="743" spans="1:6" ht="29.55" customHeight="1" x14ac:dyDescent="0.25">
      <c r="A743" s="1" t="s">
        <v>2246</v>
      </c>
      <c r="B743" s="6" t="s">
        <v>2247</v>
      </c>
      <c r="C743" s="6" t="s">
        <v>2229</v>
      </c>
      <c r="D743" s="6" t="s">
        <v>2212</v>
      </c>
      <c r="E743" s="6" t="s">
        <v>2195</v>
      </c>
      <c r="F743" s="6" t="str">
        <f>HYPERLINK("http://elleduesse.it/","elleduesse.it")</f>
        <v>elleduesse.it</v>
      </c>
    </row>
    <row r="744" spans="1:6" ht="16.95" customHeight="1" x14ac:dyDescent="0.25">
      <c r="A744" s="5" t="s">
        <v>2248</v>
      </c>
      <c r="B744" s="4" t="s">
        <v>2249</v>
      </c>
      <c r="C744" s="4" t="s">
        <v>2201</v>
      </c>
      <c r="D744" s="4" t="s">
        <v>2202</v>
      </c>
      <c r="E744" s="4" t="s">
        <v>2200</v>
      </c>
      <c r="F744" s="4" t="str">
        <f>HYPERLINK("http://arkeconceria.com/","arkeconceria.com")</f>
        <v>arkeconceria.com</v>
      </c>
    </row>
    <row r="745" spans="1:6" ht="16.95" customHeight="1" x14ac:dyDescent="0.25">
      <c r="A745" s="5" t="s">
        <v>2250</v>
      </c>
      <c r="B745" s="4" t="s">
        <v>2251</v>
      </c>
      <c r="C745" s="4" t="s">
        <v>2193</v>
      </c>
      <c r="D745" s="4" t="s">
        <v>2252</v>
      </c>
      <c r="E745" s="4" t="s">
        <v>2233</v>
      </c>
      <c r="F745" s="4" t="str">
        <f>HYPERLINK("http://eliamaurizi.eu/","eliamaurizi.eu")</f>
        <v>eliamaurizi.eu</v>
      </c>
    </row>
    <row r="746" spans="1:6" ht="29.55" customHeight="1" x14ac:dyDescent="0.25">
      <c r="A746" s="1" t="s">
        <v>2253</v>
      </c>
      <c r="B746" s="6" t="s">
        <v>2254</v>
      </c>
      <c r="C746" s="6" t="s">
        <v>2255</v>
      </c>
      <c r="D746" s="6" t="s">
        <v>2256</v>
      </c>
      <c r="E746" s="6" t="s">
        <v>2257</v>
      </c>
      <c r="F746" s="6" t="str">
        <f>HYPERLINK("http://www.studiopelle.it/","www.studiopelle.it")</f>
        <v>www.studiopelle.it</v>
      </c>
    </row>
    <row r="747" spans="1:6" ht="16.95" customHeight="1" x14ac:dyDescent="0.25">
      <c r="A747" s="5" t="s">
        <v>2258</v>
      </c>
      <c r="B747" s="4" t="s">
        <v>2259</v>
      </c>
      <c r="C747" s="4" t="s">
        <v>2260</v>
      </c>
      <c r="D747" s="4" t="s">
        <v>2261</v>
      </c>
      <c r="E747" s="4" t="s">
        <v>2257</v>
      </c>
      <c r="F747" s="4" t="str">
        <f>HYPERLINK("http://www.pistolesisrl.it/","www.pistolesisrl.it")</f>
        <v>www.pistolesisrl.it</v>
      </c>
    </row>
    <row r="748" spans="1:6" ht="16.95" customHeight="1" x14ac:dyDescent="0.25">
      <c r="A748" s="1" t="s">
        <v>2262</v>
      </c>
      <c r="B748" s="6" t="s">
        <v>2263</v>
      </c>
      <c r="C748" s="6" t="s">
        <v>2264</v>
      </c>
      <c r="D748" s="6" t="s">
        <v>2265</v>
      </c>
      <c r="E748" s="6" t="s">
        <v>2266</v>
      </c>
      <c r="F748" s="6" t="str">
        <f>HYPERLINK("http://www.suolificioquality.it/","www.suolificioquality.it")</f>
        <v>www.suolificioquality.it</v>
      </c>
    </row>
    <row r="749" spans="1:6" ht="16.95" customHeight="1" x14ac:dyDescent="0.25">
      <c r="A749" s="1" t="s">
        <v>2267</v>
      </c>
      <c r="B749" s="6" t="s">
        <v>2268</v>
      </c>
      <c r="C749" s="6" t="s">
        <v>2269</v>
      </c>
      <c r="D749" s="6" t="s">
        <v>2270</v>
      </c>
      <c r="E749" s="6" t="s">
        <v>2271</v>
      </c>
      <c r="F749" s="6" t="str">
        <f>HYPERLINK("http://www.francescobenigno.it/","www.francescobenigno.it")</f>
        <v>www.francescobenigno.it</v>
      </c>
    </row>
    <row r="750" spans="1:6" ht="16.95" customHeight="1" x14ac:dyDescent="0.25">
      <c r="A750" s="5" t="s">
        <v>2272</v>
      </c>
      <c r="B750" s="4" t="s">
        <v>2273</v>
      </c>
      <c r="C750" s="4" t="s">
        <v>2255</v>
      </c>
      <c r="D750" s="4" t="s">
        <v>2274</v>
      </c>
      <c r="E750" s="4" t="s">
        <v>2275</v>
      </c>
      <c r="F750" s="4" t="str">
        <f>HYPERLINK("http://romapelletterie.it/","romapelletterie.it")</f>
        <v>romapelletterie.it</v>
      </c>
    </row>
    <row r="751" spans="1:6" ht="29.55" customHeight="1" x14ac:dyDescent="0.25">
      <c r="A751" s="1" t="s">
        <v>2276</v>
      </c>
      <c r="B751" s="6" t="s">
        <v>2277</v>
      </c>
      <c r="C751" s="6" t="s">
        <v>2260</v>
      </c>
      <c r="D751" s="6" t="s">
        <v>2278</v>
      </c>
      <c r="E751" s="6" t="s">
        <v>2279</v>
      </c>
      <c r="F751" s="6" t="str">
        <f>HYPERLINK("http://www.studioart.it/","www.studioart.it")</f>
        <v>www.studioart.it</v>
      </c>
    </row>
    <row r="752" spans="1:6" ht="29.55" customHeight="1" x14ac:dyDescent="0.25">
      <c r="A752" s="5" t="s">
        <v>2280</v>
      </c>
      <c r="B752" s="4" t="s">
        <v>2281</v>
      </c>
      <c r="C752" s="4" t="s">
        <v>2260</v>
      </c>
      <c r="D752" s="4" t="s">
        <v>2278</v>
      </c>
      <c r="E752" s="4" t="s">
        <v>2279</v>
      </c>
      <c r="F752" s="4" t="str">
        <f>HYPERLINK("http://www.coparsrl.it/","www.coparsrl.it")</f>
        <v>www.coparsrl.it</v>
      </c>
    </row>
    <row r="753" spans="1:6" ht="16.95" customHeight="1" x14ac:dyDescent="0.25">
      <c r="A753" s="5" t="s">
        <v>2282</v>
      </c>
      <c r="B753" s="4" t="s">
        <v>2283</v>
      </c>
      <c r="C753" s="4" t="s">
        <v>2264</v>
      </c>
      <c r="D753" s="4" t="s">
        <v>2284</v>
      </c>
      <c r="E753" s="4" t="s">
        <v>2266</v>
      </c>
      <c r="F753" s="4" t="str">
        <f>HYPERLINK("http://stellasolesfactory.com/","stellasolesfactory.com")</f>
        <v>stellasolesfactory.com</v>
      </c>
    </row>
    <row r="754" spans="1:6" ht="16.95" customHeight="1" x14ac:dyDescent="0.25">
      <c r="A754" s="1" t="s">
        <v>2285</v>
      </c>
      <c r="B754" s="6" t="s">
        <v>2286</v>
      </c>
      <c r="C754" s="6" t="s">
        <v>2264</v>
      </c>
      <c r="D754" s="6" t="s">
        <v>2287</v>
      </c>
      <c r="E754" s="6" t="s">
        <v>2288</v>
      </c>
      <c r="F754" s="6" t="str">
        <f>HYPERLINK("http://www.newsafetywork.it/","www.newsafetywork.it")</f>
        <v>www.newsafetywork.it</v>
      </c>
    </row>
    <row r="755" spans="1:6" ht="29.55" customHeight="1" x14ac:dyDescent="0.25">
      <c r="A755" s="5" t="s">
        <v>2289</v>
      </c>
      <c r="B755" s="4" t="s">
        <v>2290</v>
      </c>
      <c r="C755" s="4" t="s">
        <v>2260</v>
      </c>
      <c r="D755" s="4" t="s">
        <v>2261</v>
      </c>
      <c r="E755" s="4" t="s">
        <v>2257</v>
      </c>
      <c r="F755" s="4" t="str">
        <f>HYPERLINK("http://www.mtpellami.it/","http://www.mtpellami.it/")</f>
        <v>http://www.mtpellami.it/</v>
      </c>
    </row>
    <row r="756" spans="1:6" ht="16.95" customHeight="1" x14ac:dyDescent="0.25">
      <c r="A756" s="5" t="s">
        <v>2291</v>
      </c>
      <c r="B756" s="4" t="s">
        <v>2292</v>
      </c>
      <c r="C756" s="4" t="s">
        <v>2269</v>
      </c>
      <c r="D756" s="4" t="s">
        <v>2293</v>
      </c>
      <c r="E756" s="4" t="s">
        <v>2294</v>
      </c>
      <c r="F756" s="4" t="str">
        <f>HYPERLINK("http://www.verdi-italy.com/","www.verdi-italy.com")</f>
        <v>www.verdi-italy.com</v>
      </c>
    </row>
    <row r="757" spans="1:6" ht="16.95" customHeight="1" x14ac:dyDescent="0.25">
      <c r="A757" s="5" t="s">
        <v>2295</v>
      </c>
      <c r="B757" s="4" t="s">
        <v>2296</v>
      </c>
      <c r="C757" s="4" t="s">
        <v>2260</v>
      </c>
      <c r="D757" s="4" t="s">
        <v>2261</v>
      </c>
      <c r="E757" s="4" t="s">
        <v>2257</v>
      </c>
      <c r="F757" s="4" t="str">
        <f>HYPERLINK("http://www.voguefinish.it/","www.voguefinish.it")</f>
        <v>www.voguefinish.it</v>
      </c>
    </row>
    <row r="758" spans="1:6" ht="29.55" customHeight="1" x14ac:dyDescent="0.25">
      <c r="A758" s="5" t="s">
        <v>2297</v>
      </c>
      <c r="B758" s="4" t="s">
        <v>2298</v>
      </c>
      <c r="C758" s="4" t="s">
        <v>2269</v>
      </c>
      <c r="D758" s="4" t="s">
        <v>2265</v>
      </c>
      <c r="E758" s="4" t="s">
        <v>2266</v>
      </c>
      <c r="F758" s="4" t="str">
        <f>HYPERLINK("http://www.rondinellashoes.com/","www.rondinellashoes.com")</f>
        <v>www.rondinellashoes.com</v>
      </c>
    </row>
    <row r="759" spans="1:6" ht="16.95" customHeight="1" x14ac:dyDescent="0.25">
      <c r="A759" s="1" t="s">
        <v>2299</v>
      </c>
      <c r="B759" s="6" t="s">
        <v>2300</v>
      </c>
      <c r="C759" s="6" t="s">
        <v>2260</v>
      </c>
      <c r="D759" s="6" t="s">
        <v>2278</v>
      </c>
      <c r="E759" s="6" t="s">
        <v>2279</v>
      </c>
      <c r="F759" s="6" t="str">
        <f>HYPERLINK("http://www.signorinilario.it/","www.signorinilario.it")</f>
        <v>www.signorinilario.it</v>
      </c>
    </row>
    <row r="760" spans="1:6" ht="16.95" customHeight="1" x14ac:dyDescent="0.25">
      <c r="A760" s="5" t="s">
        <v>2301</v>
      </c>
      <c r="B760" s="4" t="s">
        <v>2302</v>
      </c>
      <c r="C760" s="4" t="s">
        <v>2255</v>
      </c>
      <c r="D760" s="4" t="s">
        <v>2303</v>
      </c>
      <c r="E760" s="4" t="s">
        <v>2294</v>
      </c>
      <c r="F760" s="4" t="str">
        <f>HYPERLINK("http://www.pelletteriafusella.com/","www.pelletteriafusella.com")</f>
        <v>www.pelletteriafusella.com</v>
      </c>
    </row>
    <row r="761" spans="1:6" ht="29.55" customHeight="1" x14ac:dyDescent="0.25">
      <c r="A761" s="1" t="s">
        <v>2304</v>
      </c>
      <c r="B761" s="6" t="s">
        <v>2305</v>
      </c>
      <c r="C761" s="6" t="s">
        <v>2255</v>
      </c>
      <c r="D761" s="6" t="s">
        <v>2306</v>
      </c>
      <c r="E761" s="6" t="s">
        <v>2307</v>
      </c>
      <c r="F761" s="6" t="str">
        <f>HYPERLINK("http://francodessi.it/","francodessi.it")</f>
        <v>francodessi.it</v>
      </c>
    </row>
    <row r="762" spans="1:6" ht="16.95" customHeight="1" x14ac:dyDescent="0.25">
      <c r="A762" s="1" t="s">
        <v>2308</v>
      </c>
      <c r="B762" s="6" t="s">
        <v>2309</v>
      </c>
      <c r="C762" s="6" t="s">
        <v>2255</v>
      </c>
      <c r="D762" s="6" t="s">
        <v>2278</v>
      </c>
      <c r="E762" s="6" t="s">
        <v>2279</v>
      </c>
      <c r="F762" s="6" t="str">
        <f>HYPERLINK("http://carlille.it/","carlille.it")</f>
        <v>carlille.it</v>
      </c>
    </row>
    <row r="763" spans="1:6" ht="29.55" customHeight="1" x14ac:dyDescent="0.25">
      <c r="A763" s="1" t="s">
        <v>2310</v>
      </c>
      <c r="B763" s="6" t="s">
        <v>2311</v>
      </c>
      <c r="C763" s="6" t="s">
        <v>2269</v>
      </c>
      <c r="D763" s="6" t="s">
        <v>2284</v>
      </c>
      <c r="E763" s="6" t="s">
        <v>2266</v>
      </c>
      <c r="F763" s="6" t="str">
        <f>HYPERLINK("http://franceschetti.it/","franceschetti.it")</f>
        <v>franceschetti.it</v>
      </c>
    </row>
    <row r="764" spans="1:6" ht="16.95" customHeight="1" x14ac:dyDescent="0.25">
      <c r="A764" s="1" t="s">
        <v>2312</v>
      </c>
      <c r="B764" s="6" t="s">
        <v>2313</v>
      </c>
      <c r="C764" s="6" t="s">
        <v>2314</v>
      </c>
      <c r="D764" s="6" t="s">
        <v>2315</v>
      </c>
      <c r="E764" s="6" t="s">
        <v>2316</v>
      </c>
      <c r="F764" s="6" t="str">
        <f>HYPERLINK("http://www.gytalshoes.com/","www.gytalshoes.com")</f>
        <v>www.gytalshoes.com</v>
      </c>
    </row>
    <row r="765" spans="1:6" ht="16.95" customHeight="1" x14ac:dyDescent="0.25">
      <c r="A765" s="1" t="s">
        <v>2319</v>
      </c>
      <c r="B765" s="6" t="s">
        <v>2320</v>
      </c>
      <c r="C765" s="6" t="s">
        <v>2314</v>
      </c>
      <c r="D765" s="6" t="s">
        <v>2317</v>
      </c>
      <c r="E765" s="6" t="s">
        <v>2318</v>
      </c>
      <c r="F765" s="6" t="str">
        <f>HYPERLINK("http://manuelitaitaly.com/","manuelitaitaly.com")</f>
        <v>manuelitaitaly.com</v>
      </c>
    </row>
    <row r="766" spans="1:6" ht="16.95" customHeight="1" x14ac:dyDescent="0.25">
      <c r="A766" s="5" t="s">
        <v>2321</v>
      </c>
      <c r="B766" s="4" t="s">
        <v>2322</v>
      </c>
      <c r="C766" s="4" t="s">
        <v>2323</v>
      </c>
      <c r="D766" s="4" t="s">
        <v>2324</v>
      </c>
      <c r="E766" s="4" t="s">
        <v>2325</v>
      </c>
      <c r="F766" s="4" t="str">
        <f>HYPERLINK("http://www.2mestyle.com/","www.2mestyle.com")</f>
        <v>www.2mestyle.com</v>
      </c>
    </row>
    <row r="767" spans="1:6" ht="16.95" customHeight="1" x14ac:dyDescent="0.25">
      <c r="A767" s="5" t="s">
        <v>2328</v>
      </c>
      <c r="B767" s="4" t="s">
        <v>2329</v>
      </c>
      <c r="C767" s="4" t="s">
        <v>2314</v>
      </c>
      <c r="D767" s="4" t="s">
        <v>2317</v>
      </c>
      <c r="E767" s="4" t="s">
        <v>2318</v>
      </c>
      <c r="F767" s="4" t="str">
        <f>HYPERLINK("http://www.lucaguerrini.com/","www.lucaguerrini.com")</f>
        <v>www.lucaguerrini.com</v>
      </c>
    </row>
    <row r="768" spans="1:6" ht="16.95" customHeight="1" x14ac:dyDescent="0.25">
      <c r="A768" s="5" t="s">
        <v>2330</v>
      </c>
      <c r="B768" s="4" t="s">
        <v>2331</v>
      </c>
      <c r="C768" s="4" t="s">
        <v>2323</v>
      </c>
      <c r="D768" s="4" t="s">
        <v>2324</v>
      </c>
      <c r="E768" s="4" t="s">
        <v>2325</v>
      </c>
      <c r="F768" s="4" t="str">
        <f>HYPERLINK("http://www.fapitalia.it/","www.fapitalia.it")</f>
        <v>www.fapitalia.it</v>
      </c>
    </row>
    <row r="769" spans="1:6" ht="16.95" customHeight="1" x14ac:dyDescent="0.25">
      <c r="A769" s="1" t="s">
        <v>2332</v>
      </c>
      <c r="B769" s="6" t="s">
        <v>2333</v>
      </c>
      <c r="C769" s="6" t="s">
        <v>2334</v>
      </c>
      <c r="D769" s="6" t="s">
        <v>2335</v>
      </c>
      <c r="E769" s="6" t="s">
        <v>2327</v>
      </c>
      <c r="F769" s="6" t="str">
        <f>HYPERLINK("http://www.perpel.com/","www.perpel.com")</f>
        <v>www.perpel.com</v>
      </c>
    </row>
    <row r="770" spans="1:6" ht="16.95" customHeight="1" x14ac:dyDescent="0.25">
      <c r="A770" s="5" t="s">
        <v>2336</v>
      </c>
      <c r="B770" s="4" t="s">
        <v>2337</v>
      </c>
      <c r="C770" s="4" t="s">
        <v>2338</v>
      </c>
      <c r="D770" s="4" t="s">
        <v>2339</v>
      </c>
      <c r="E770" s="4" t="s">
        <v>2316</v>
      </c>
      <c r="F770" s="4" t="str">
        <f>HYPERLINK("http://www.calzaturificiob2.it/","www.calzaturificiob2.it")</f>
        <v>www.calzaturificiob2.it</v>
      </c>
    </row>
    <row r="771" spans="1:6" ht="16.95" customHeight="1" x14ac:dyDescent="0.25">
      <c r="A771" s="1" t="s">
        <v>2340</v>
      </c>
      <c r="B771" s="6" t="s">
        <v>2341</v>
      </c>
      <c r="C771" s="6" t="s">
        <v>2314</v>
      </c>
      <c r="D771" s="6" t="s">
        <v>2342</v>
      </c>
      <c r="E771" s="6" t="s">
        <v>2343</v>
      </c>
      <c r="F771" s="6" t="str">
        <f>HYPERLINK("http://www.lady-shoes.it/","www.lady-shoes.it")</f>
        <v>www.lady-shoes.it</v>
      </c>
    </row>
    <row r="772" spans="1:6" ht="29.55" customHeight="1" x14ac:dyDescent="0.25">
      <c r="A772" s="5" t="s">
        <v>2344</v>
      </c>
      <c r="B772" s="4" t="s">
        <v>2345</v>
      </c>
      <c r="C772" s="4" t="s">
        <v>2334</v>
      </c>
      <c r="D772" s="4" t="s">
        <v>2346</v>
      </c>
      <c r="E772" s="4" t="s">
        <v>2347</v>
      </c>
      <c r="F772" s="4" t="str">
        <f>HYPERLINK("http://www.piodusini.it/","www.piodusini.it")</f>
        <v>www.piodusini.it</v>
      </c>
    </row>
    <row r="773" spans="1:6" ht="16.95" customHeight="1" x14ac:dyDescent="0.25">
      <c r="A773" s="1" t="s">
        <v>2348</v>
      </c>
      <c r="B773" s="6" t="s">
        <v>2349</v>
      </c>
      <c r="C773" s="6" t="s">
        <v>2334</v>
      </c>
      <c r="D773" s="6" t="s">
        <v>2335</v>
      </c>
      <c r="E773" s="6" t="s">
        <v>2327</v>
      </c>
      <c r="F773" s="6" t="str">
        <f>HYPERLINK("http://www.zetapelli.it/","www.zetapelli.it")</f>
        <v>www.zetapelli.it</v>
      </c>
    </row>
    <row r="774" spans="1:6" ht="16.95" customHeight="1" x14ac:dyDescent="0.25">
      <c r="A774" s="5" t="s">
        <v>2350</v>
      </c>
      <c r="B774" s="4" t="s">
        <v>2351</v>
      </c>
      <c r="C774" s="4" t="s">
        <v>2323</v>
      </c>
      <c r="D774" s="4" t="s">
        <v>2352</v>
      </c>
      <c r="E774" s="4" t="s">
        <v>2353</v>
      </c>
      <c r="F774" s="4" t="str">
        <f>HYPERLINK("http://egosrl.it/","egosrl.it")</f>
        <v>egosrl.it</v>
      </c>
    </row>
    <row r="775" spans="1:6" ht="16.95" customHeight="1" x14ac:dyDescent="0.25">
      <c r="A775" s="1" t="s">
        <v>2354</v>
      </c>
      <c r="B775" s="6" t="s">
        <v>2355</v>
      </c>
      <c r="C775" s="6" t="s">
        <v>2334</v>
      </c>
      <c r="D775" s="6" t="s">
        <v>2335</v>
      </c>
      <c r="E775" s="6" t="s">
        <v>2327</v>
      </c>
      <c r="F775" s="6" t="str">
        <f>HYPERLINK("http://www.mabopell.it/","www.mabopell.it")</f>
        <v>www.mabopell.it</v>
      </c>
    </row>
    <row r="776" spans="1:6" ht="16.95" customHeight="1" x14ac:dyDescent="0.25">
      <c r="A776" s="5" t="s">
        <v>2356</v>
      </c>
      <c r="B776" s="4" t="s">
        <v>2357</v>
      </c>
      <c r="C776" s="4" t="s">
        <v>2314</v>
      </c>
      <c r="D776" s="4" t="s">
        <v>2342</v>
      </c>
      <c r="E776" s="4" t="s">
        <v>2343</v>
      </c>
      <c r="F776" s="4" t="str">
        <f>HYPERLINK("http://www.flecs.com/","http://www.flecs.com")</f>
        <v>http://www.flecs.com</v>
      </c>
    </row>
    <row r="777" spans="1:6" ht="29.55" customHeight="1" x14ac:dyDescent="0.25">
      <c r="A777" s="1" t="s">
        <v>2358</v>
      </c>
      <c r="B777" s="6" t="s">
        <v>2359</v>
      </c>
      <c r="C777" s="6" t="s">
        <v>2323</v>
      </c>
      <c r="D777" s="6" t="s">
        <v>2360</v>
      </c>
      <c r="E777" s="6" t="s">
        <v>2361</v>
      </c>
      <c r="F777" s="6" t="str">
        <f>HYPERLINK("http://www.mediterraneopelle.com/","www.mediterraneopelle.com")</f>
        <v>www.mediterraneopelle.com</v>
      </c>
    </row>
    <row r="778" spans="1:6" ht="29.55" customHeight="1" x14ac:dyDescent="0.25">
      <c r="A778" s="1" t="s">
        <v>2362</v>
      </c>
      <c r="B778" s="6" t="s">
        <v>2363</v>
      </c>
      <c r="C778" s="6" t="s">
        <v>2323</v>
      </c>
      <c r="D778" s="6" t="s">
        <v>2326</v>
      </c>
      <c r="E778" s="6" t="s">
        <v>2327</v>
      </c>
      <c r="F778" s="6" t="str">
        <f>HYPERLINK("http://andreadelvecchio.com/","andreadelvecchio.com")</f>
        <v>andreadelvecchio.com</v>
      </c>
    </row>
    <row r="779" spans="1:6" ht="16.95" customHeight="1" x14ac:dyDescent="0.25">
      <c r="A779" s="1" t="s">
        <v>2364</v>
      </c>
      <c r="B779" s="6" t="s">
        <v>2365</v>
      </c>
      <c r="C779" s="6" t="s">
        <v>2323</v>
      </c>
      <c r="D779" s="6" t="s">
        <v>2366</v>
      </c>
      <c r="E779" s="6" t="s">
        <v>2367</v>
      </c>
      <c r="F779" s="6" t="str">
        <f>HYPERLINK("http://schedoni.com/","schedoni.com")</f>
        <v>schedoni.com</v>
      </c>
    </row>
    <row r="780" spans="1:6" ht="29.55" customHeight="1" x14ac:dyDescent="0.25">
      <c r="A780" s="5" t="s">
        <v>2368</v>
      </c>
      <c r="B780" s="4" t="s">
        <v>2369</v>
      </c>
      <c r="C780" s="4" t="s">
        <v>2314</v>
      </c>
      <c r="D780" s="4" t="s">
        <v>2370</v>
      </c>
      <c r="E780" s="4" t="s">
        <v>2343</v>
      </c>
      <c r="F780" s="4" t="str">
        <f>HYPERLINK("http://www.artigianascarpe.com/","www.artigianascarpe.com")</f>
        <v>www.artigianascarpe.com</v>
      </c>
    </row>
    <row r="781" spans="1:6" ht="16.95" customHeight="1" x14ac:dyDescent="0.25">
      <c r="A781" s="5" t="s">
        <v>2371</v>
      </c>
      <c r="B781" s="4" t="s">
        <v>2372</v>
      </c>
      <c r="C781" s="4" t="s">
        <v>2323</v>
      </c>
      <c r="D781" s="4" t="s">
        <v>2373</v>
      </c>
      <c r="E781" s="4" t="s">
        <v>2325</v>
      </c>
      <c r="F781" s="4" t="str">
        <f>HYPERLINK("http://www.mgk.it/","www.mgk.it")</f>
        <v>www.mgk.it</v>
      </c>
    </row>
    <row r="782" spans="1:6" ht="29.55" customHeight="1" x14ac:dyDescent="0.25">
      <c r="A782" s="5" t="s">
        <v>2374</v>
      </c>
      <c r="B782" s="4" t="s">
        <v>2375</v>
      </c>
      <c r="C782" s="4" t="s">
        <v>2314</v>
      </c>
      <c r="D782" s="4" t="s">
        <v>2315</v>
      </c>
      <c r="E782" s="4" t="s">
        <v>2316</v>
      </c>
      <c r="F782" s="4" t="str">
        <f>HYPERLINK("http://www.calzaturificiospinnaker.it/","www.calzaturificiospinnaker.it")</f>
        <v>www.calzaturificiospinnaker.it</v>
      </c>
    </row>
    <row r="783" spans="1:6" ht="16.95" customHeight="1" x14ac:dyDescent="0.25">
      <c r="A783" s="1" t="s">
        <v>2376</v>
      </c>
      <c r="B783" s="6" t="s">
        <v>2377</v>
      </c>
      <c r="C783" s="6" t="s">
        <v>2323</v>
      </c>
      <c r="D783" s="6" t="s">
        <v>2378</v>
      </c>
      <c r="E783" s="6" t="s">
        <v>2367</v>
      </c>
      <c r="F783" s="6" t="str">
        <f>HYPERLINK("http://www.spaldingbros.com/","www.spaldingbros.com")</f>
        <v>www.spaldingbros.com</v>
      </c>
    </row>
    <row r="784" spans="1:6" ht="16.95" customHeight="1" x14ac:dyDescent="0.25">
      <c r="A784" s="1" t="s">
        <v>2383</v>
      </c>
      <c r="B784" s="6" t="s">
        <v>2384</v>
      </c>
      <c r="C784" s="6" t="s">
        <v>2379</v>
      </c>
      <c r="D784" s="6" t="s">
        <v>2385</v>
      </c>
      <c r="E784" s="6" t="s">
        <v>2386</v>
      </c>
      <c r="F784" s="6" t="str">
        <f>HYPERLINK("http://www.guglielmorotta.it/","www.guglielmorotta.it")</f>
        <v>www.guglielmorotta.it</v>
      </c>
    </row>
    <row r="785" spans="1:6" ht="16.95" customHeight="1" x14ac:dyDescent="0.25">
      <c r="A785" s="5" t="s">
        <v>2387</v>
      </c>
      <c r="B785" s="4" t="s">
        <v>2388</v>
      </c>
      <c r="C785" s="4" t="s">
        <v>2379</v>
      </c>
      <c r="D785" s="4" t="s">
        <v>2389</v>
      </c>
      <c r="E785" s="4" t="s">
        <v>2390</v>
      </c>
      <c r="F785" s="4" t="str">
        <f>HYPERLINK("http://mot-cle.it/","mot-cle.it")</f>
        <v>mot-cle.it</v>
      </c>
    </row>
    <row r="786" spans="1:6" ht="29.55" customHeight="1" x14ac:dyDescent="0.25">
      <c r="A786" s="5" t="s">
        <v>2392</v>
      </c>
      <c r="B786" s="4" t="s">
        <v>2393</v>
      </c>
      <c r="C786" s="4" t="s">
        <v>2380</v>
      </c>
      <c r="D786" s="4" t="s">
        <v>2394</v>
      </c>
      <c r="E786" s="4" t="s">
        <v>2390</v>
      </c>
      <c r="F786" s="4" t="str">
        <f>HYPERLINK("http://www.accoppiaturariccardo.it/","www.accoppiaturariccardo.it")</f>
        <v>www.accoppiaturariccardo.it</v>
      </c>
    </row>
    <row r="787" spans="1:6" ht="16.95" customHeight="1" x14ac:dyDescent="0.25">
      <c r="A787" s="5" t="s">
        <v>2395</v>
      </c>
      <c r="B787" s="4" t="s">
        <v>2396</v>
      </c>
      <c r="C787" s="4" t="s">
        <v>2397</v>
      </c>
      <c r="D787" s="4" t="s">
        <v>2398</v>
      </c>
      <c r="E787" s="4" t="s">
        <v>2399</v>
      </c>
      <c r="F787" s="4" t="str">
        <f>HYPERLINK("http://www.benericettipolska.com/","www.benericettipolska.com")</f>
        <v>www.benericettipolska.com</v>
      </c>
    </row>
    <row r="788" spans="1:6" ht="29.55" customHeight="1" x14ac:dyDescent="0.25">
      <c r="A788" s="1" t="s">
        <v>2400</v>
      </c>
      <c r="B788" s="6" t="s">
        <v>2401</v>
      </c>
      <c r="C788" s="6" t="s">
        <v>2379</v>
      </c>
      <c r="D788" s="6" t="s">
        <v>2394</v>
      </c>
      <c r="E788" s="6" t="s">
        <v>2390</v>
      </c>
      <c r="F788" s="6" t="str">
        <f>HYPERLINK("http://www.pantanetti.it/","www.pantanetti.it")</f>
        <v>www.pantanetti.it</v>
      </c>
    </row>
    <row r="789" spans="1:6" ht="16.95" customHeight="1" x14ac:dyDescent="0.25">
      <c r="A789" s="5" t="s">
        <v>2404</v>
      </c>
      <c r="B789" s="4" t="s">
        <v>2405</v>
      </c>
      <c r="C789" s="4" t="s">
        <v>2397</v>
      </c>
      <c r="D789" s="4" t="s">
        <v>2385</v>
      </c>
      <c r="E789" s="4" t="s">
        <v>2386</v>
      </c>
      <c r="F789" s="4" t="str">
        <f>HYPERLINK("http://www.greenleather.it/","www.greenleather.it")</f>
        <v>www.greenleather.it</v>
      </c>
    </row>
    <row r="790" spans="1:6" ht="16.95" customHeight="1" x14ac:dyDescent="0.25">
      <c r="A790" s="1" t="s">
        <v>2406</v>
      </c>
      <c r="B790" s="6" t="s">
        <v>2407</v>
      </c>
      <c r="C790" s="6" t="s">
        <v>2380</v>
      </c>
      <c r="D790" s="6" t="s">
        <v>2389</v>
      </c>
      <c r="E790" s="6" t="s">
        <v>2390</v>
      </c>
      <c r="F790" s="6" t="str">
        <f>HYPERLINK("http://www.remattostyle.it/","www.remattostyle.it")</f>
        <v>www.remattostyle.it</v>
      </c>
    </row>
    <row r="791" spans="1:6" ht="16.95" customHeight="1" x14ac:dyDescent="0.25">
      <c r="A791" s="5" t="s">
        <v>2408</v>
      </c>
      <c r="B791" s="4" t="s">
        <v>2409</v>
      </c>
      <c r="C791" s="4" t="s">
        <v>2397</v>
      </c>
      <c r="D791" s="4" t="s">
        <v>2410</v>
      </c>
      <c r="E791" s="4" t="s">
        <v>2386</v>
      </c>
      <c r="F791" s="4" t="str">
        <f>HYPERLINK("http://www.conceriadallabarba.eu/","www.conceriadallabarba.eu")</f>
        <v>www.conceriadallabarba.eu</v>
      </c>
    </row>
    <row r="792" spans="1:6" ht="16.95" customHeight="1" x14ac:dyDescent="0.25">
      <c r="A792" s="1" t="s">
        <v>2411</v>
      </c>
      <c r="B792" s="6" t="s">
        <v>2412</v>
      </c>
      <c r="C792" s="6" t="s">
        <v>2402</v>
      </c>
      <c r="D792" s="6" t="s">
        <v>2403</v>
      </c>
      <c r="E792" s="6" t="s">
        <v>2399</v>
      </c>
      <c r="F792" s="6" t="str">
        <f>HYPERLINK("http://www.artepellettieri.it/","www.artepellettieri.it")</f>
        <v>www.artepellettieri.it</v>
      </c>
    </row>
    <row r="793" spans="1:6" ht="16.95" customHeight="1" x14ac:dyDescent="0.25">
      <c r="A793" s="1" t="s">
        <v>2413</v>
      </c>
      <c r="B793" s="6" t="s">
        <v>2414</v>
      </c>
      <c r="C793" s="6" t="s">
        <v>2379</v>
      </c>
      <c r="D793" s="6" t="s">
        <v>2394</v>
      </c>
      <c r="E793" s="6" t="s">
        <v>2390</v>
      </c>
      <c r="F793" s="6" t="str">
        <f>HYPERLINK("http://www.koil.it/","www.koil.it")</f>
        <v>www.koil.it</v>
      </c>
    </row>
    <row r="794" spans="1:6" ht="29.55" customHeight="1" x14ac:dyDescent="0.25">
      <c r="A794" s="5" t="s">
        <v>2415</v>
      </c>
      <c r="B794" s="4" t="s">
        <v>2416</v>
      </c>
      <c r="C794" s="4" t="s">
        <v>2379</v>
      </c>
      <c r="D794" s="4" t="s">
        <v>2394</v>
      </c>
      <c r="E794" s="4" t="s">
        <v>2390</v>
      </c>
      <c r="F794" s="4" t="str">
        <f>HYPERLINK("http://natude.it/","natude.it")</f>
        <v>natude.it</v>
      </c>
    </row>
    <row r="795" spans="1:6" ht="16.95" customHeight="1" x14ac:dyDescent="0.25">
      <c r="A795" s="1" t="s">
        <v>2417</v>
      </c>
      <c r="B795" s="6" t="s">
        <v>2418</v>
      </c>
      <c r="C795" s="6" t="s">
        <v>2402</v>
      </c>
      <c r="D795" s="6" t="s">
        <v>2419</v>
      </c>
      <c r="E795" s="6" t="s">
        <v>2420</v>
      </c>
      <c r="F795" s="6" t="str">
        <f>HYPERLINK("http://www.mascapb.com/","www.mascapb.com")</f>
        <v>www.mascapb.com</v>
      </c>
    </row>
    <row r="796" spans="1:6" ht="16.95" customHeight="1" x14ac:dyDescent="0.25">
      <c r="A796" s="1" t="s">
        <v>2422</v>
      </c>
      <c r="B796" s="6" t="s">
        <v>2423</v>
      </c>
      <c r="C796" s="6" t="s">
        <v>2397</v>
      </c>
      <c r="D796" s="6" t="s">
        <v>2421</v>
      </c>
      <c r="E796" s="6" t="s">
        <v>2382</v>
      </c>
      <c r="F796" s="6" t="str">
        <f>HYPERLINK("http://www.caslam.it/","www.caslam.it")</f>
        <v>www.caslam.it</v>
      </c>
    </row>
    <row r="797" spans="1:6" ht="16.95" customHeight="1" x14ac:dyDescent="0.25">
      <c r="A797" s="1" t="s">
        <v>2424</v>
      </c>
      <c r="B797" s="6" t="s">
        <v>2425</v>
      </c>
      <c r="C797" s="6" t="s">
        <v>2379</v>
      </c>
      <c r="D797" s="6" t="s">
        <v>2403</v>
      </c>
      <c r="E797" s="6" t="s">
        <v>2399</v>
      </c>
      <c r="F797" s="6" t="str">
        <f>HYPERLINK("http://www.pakerson.it/","www.pakerson.it")</f>
        <v>www.pakerson.it</v>
      </c>
    </row>
    <row r="798" spans="1:6" ht="16.95" customHeight="1" x14ac:dyDescent="0.25">
      <c r="A798" s="5" t="s">
        <v>2426</v>
      </c>
      <c r="B798" s="4" t="s">
        <v>2427</v>
      </c>
      <c r="C798" s="4" t="s">
        <v>2379</v>
      </c>
      <c r="D798" s="4" t="s">
        <v>2381</v>
      </c>
      <c r="E798" s="4" t="s">
        <v>2382</v>
      </c>
      <c r="F798" s="4" t="str">
        <f>HYPERLINK("http://www.gemaxgroup.it/","www.gemaxgroup.it")</f>
        <v>www.gemaxgroup.it</v>
      </c>
    </row>
    <row r="799" spans="1:6" ht="16.95" customHeight="1" x14ac:dyDescent="0.25">
      <c r="A799" s="1" t="s">
        <v>2428</v>
      </c>
      <c r="B799" s="6" t="s">
        <v>2429</v>
      </c>
      <c r="C799" s="6" t="s">
        <v>2379</v>
      </c>
      <c r="D799" s="6" t="s">
        <v>2430</v>
      </c>
      <c r="E799" s="6" t="s">
        <v>2431</v>
      </c>
      <c r="F799" s="6" t="str">
        <f>HYPERLINK("http://www.goldenfit.it/","www.goldenfit.it")</f>
        <v>www.goldenfit.it</v>
      </c>
    </row>
    <row r="800" spans="1:6" ht="29.55" customHeight="1" x14ac:dyDescent="0.25">
      <c r="A800" s="5" t="s">
        <v>2432</v>
      </c>
      <c r="B800" s="4" t="s">
        <v>2433</v>
      </c>
      <c r="C800" s="4" t="s">
        <v>2379</v>
      </c>
      <c r="D800" s="4" t="s">
        <v>2434</v>
      </c>
      <c r="E800" s="4" t="s">
        <v>2431</v>
      </c>
      <c r="F800" s="4" t="str">
        <f>HYPERLINK("http://elata.it/","elata.it")</f>
        <v>elata.it</v>
      </c>
    </row>
    <row r="801" spans="1:6" ht="16.95" customHeight="1" x14ac:dyDescent="0.25">
      <c r="A801" s="1" t="s">
        <v>2435</v>
      </c>
      <c r="B801" s="6" t="s">
        <v>2436</v>
      </c>
      <c r="C801" s="6" t="s">
        <v>2391</v>
      </c>
      <c r="D801" s="6" t="s">
        <v>2437</v>
      </c>
      <c r="E801" s="6" t="s">
        <v>2386</v>
      </c>
      <c r="F801" s="6" t="str">
        <f>HYPERLINK("http://andrewshoes.com/","andrewshoes.com")</f>
        <v>andrewshoes.com</v>
      </c>
    </row>
    <row r="802" spans="1:6" ht="16.95" customHeight="1" x14ac:dyDescent="0.25">
      <c r="A802" s="1" t="s">
        <v>2438</v>
      </c>
      <c r="B802" s="6" t="s">
        <v>2439</v>
      </c>
      <c r="C802" s="6" t="s">
        <v>2380</v>
      </c>
      <c r="D802" s="6" t="s">
        <v>2394</v>
      </c>
      <c r="E802" s="6" t="s">
        <v>2390</v>
      </c>
      <c r="F802" s="6" t="str">
        <f>HYPERLINK("http://myladysrl.it/","myladysrl.it")</f>
        <v>myladysrl.it</v>
      </c>
    </row>
    <row r="803" spans="1:6" ht="16.95" customHeight="1" x14ac:dyDescent="0.25">
      <c r="A803" s="5" t="s">
        <v>2440</v>
      </c>
      <c r="B803" s="4" t="s">
        <v>2441</v>
      </c>
      <c r="C803" s="4" t="s">
        <v>2402</v>
      </c>
      <c r="D803" s="4" t="s">
        <v>2442</v>
      </c>
      <c r="E803" s="4" t="s">
        <v>2420</v>
      </c>
      <c r="F803" s="4" t="str">
        <f>HYPERLINK("http://www.logistica-piacenza.it/","www.logistica-piacenza.it")</f>
        <v>www.logistica-piacenza.it</v>
      </c>
    </row>
    <row r="804" spans="1:6" ht="16.95" customHeight="1" x14ac:dyDescent="0.25">
      <c r="A804" s="1" t="s">
        <v>2443</v>
      </c>
      <c r="B804" s="6" t="s">
        <v>2444</v>
      </c>
      <c r="C804" s="6" t="s">
        <v>2379</v>
      </c>
      <c r="D804" s="6" t="s">
        <v>2394</v>
      </c>
      <c r="E804" s="6" t="s">
        <v>2390</v>
      </c>
      <c r="F804" s="6" t="str">
        <f>HYPERLINK("http://www.lorenzishoes.it/","www.lorenzishoes.it")</f>
        <v>www.lorenzishoes.it</v>
      </c>
    </row>
    <row r="805" spans="1:6" ht="16.95" customHeight="1" x14ac:dyDescent="0.25">
      <c r="A805" s="5" t="s">
        <v>2450</v>
      </c>
      <c r="B805" s="4" t="s">
        <v>2451</v>
      </c>
      <c r="C805" s="4" t="s">
        <v>2452</v>
      </c>
      <c r="D805" s="4" t="s">
        <v>2453</v>
      </c>
      <c r="E805" s="4" t="s">
        <v>2449</v>
      </c>
      <c r="F805" s="4" t="str">
        <f>HYPERLINK("http://www.togisrl.it/","www.togisrl.it")</f>
        <v>www.togisrl.it</v>
      </c>
    </row>
    <row r="806" spans="1:6" ht="16.95" customHeight="1" x14ac:dyDescent="0.25">
      <c r="A806" s="1" t="s">
        <v>2454</v>
      </c>
      <c r="B806" s="6" t="s">
        <v>2455</v>
      </c>
      <c r="C806" s="6" t="s">
        <v>2445</v>
      </c>
      <c r="D806" s="6" t="s">
        <v>2456</v>
      </c>
      <c r="E806" s="6" t="s">
        <v>2449</v>
      </c>
      <c r="F806" s="6" t="str">
        <f>HYPERLINK("http://www.conceriabello.it/","www.conceriabello.it")</f>
        <v>www.conceriabello.it</v>
      </c>
    </row>
    <row r="807" spans="1:6" ht="16.95" customHeight="1" x14ac:dyDescent="0.25">
      <c r="A807" s="5" t="s">
        <v>2457</v>
      </c>
      <c r="B807" s="4" t="s">
        <v>2458</v>
      </c>
      <c r="C807" s="4" t="s">
        <v>2445</v>
      </c>
      <c r="D807" s="4" t="s">
        <v>2459</v>
      </c>
      <c r="E807" s="4" t="s">
        <v>2460</v>
      </c>
      <c r="F807" s="4" t="str">
        <f>HYPERLINK("http://www.marcatoro.it/","www.marcatoro.it")</f>
        <v>www.marcatoro.it</v>
      </c>
    </row>
    <row r="808" spans="1:6" ht="16.95" customHeight="1" x14ac:dyDescent="0.25">
      <c r="A808" s="1" t="s">
        <v>2461</v>
      </c>
      <c r="B808" s="6" t="s">
        <v>2462</v>
      </c>
      <c r="C808" s="6" t="s">
        <v>2445</v>
      </c>
      <c r="D808" s="6" t="s">
        <v>2446</v>
      </c>
      <c r="E808" s="6" t="s">
        <v>2447</v>
      </c>
      <c r="F808" s="6" t="str">
        <f>HYPERLINK("http://www.ducapellami.com/","www.ducapellami.com")</f>
        <v>www.ducapellami.com</v>
      </c>
    </row>
    <row r="809" spans="1:6" ht="16.95" customHeight="1" x14ac:dyDescent="0.25">
      <c r="A809" s="1" t="s">
        <v>2464</v>
      </c>
      <c r="B809" s="6" t="s">
        <v>2465</v>
      </c>
      <c r="C809" s="6" t="s">
        <v>2445</v>
      </c>
      <c r="D809" s="6" t="s">
        <v>2459</v>
      </c>
      <c r="E809" s="6" t="s">
        <v>2460</v>
      </c>
      <c r="F809" s="6" t="str">
        <f>HYPERLINK("http://mpesrl.net/","mpesrl.net")</f>
        <v>mpesrl.net</v>
      </c>
    </row>
    <row r="810" spans="1:6" ht="16.95" customHeight="1" x14ac:dyDescent="0.25">
      <c r="A810" s="5" t="s">
        <v>2466</v>
      </c>
      <c r="B810" s="4" t="s">
        <v>2467</v>
      </c>
      <c r="C810" s="4" t="s">
        <v>2448</v>
      </c>
      <c r="D810" s="4" t="s">
        <v>2468</v>
      </c>
      <c r="E810" s="4" t="s">
        <v>2460</v>
      </c>
      <c r="F810" s="4" t="str">
        <f>HYPERLINK("http://www.galletti-pelletterie.it/","www.galletti-pelletterie.it")</f>
        <v>www.galletti-pelletterie.it</v>
      </c>
    </row>
    <row r="811" spans="1:6" ht="29.55" customHeight="1" x14ac:dyDescent="0.25">
      <c r="A811" s="5" t="s">
        <v>2469</v>
      </c>
      <c r="B811" s="4" t="s">
        <v>2470</v>
      </c>
      <c r="C811" s="4" t="s">
        <v>2445</v>
      </c>
      <c r="D811" s="4" t="s">
        <v>2459</v>
      </c>
      <c r="E811" s="4" t="s">
        <v>2460</v>
      </c>
      <c r="F811" s="4" t="str">
        <f>HYPERLINK("http://www.stiratricemc.com/","www.stiratricemc.com")</f>
        <v>www.stiratricemc.com</v>
      </c>
    </row>
    <row r="812" spans="1:6" ht="16.95" customHeight="1" x14ac:dyDescent="0.25">
      <c r="A812" s="5" t="s">
        <v>2473</v>
      </c>
      <c r="B812" s="4" t="s">
        <v>2474</v>
      </c>
      <c r="C812" s="4" t="s">
        <v>2452</v>
      </c>
      <c r="D812" s="4" t="s">
        <v>2475</v>
      </c>
      <c r="E812" s="4" t="s">
        <v>2460</v>
      </c>
      <c r="F812" s="4" t="str">
        <f>HYPERLINK("http://www.lunet.it/aziende/pera","www.lunet.it/aziende/pera")</f>
        <v>www.lunet.it/aziende/pera</v>
      </c>
    </row>
    <row r="813" spans="1:6" ht="16.95" customHeight="1" x14ac:dyDescent="0.25">
      <c r="A813" s="1" t="s">
        <v>2476</v>
      </c>
      <c r="B813" s="6" t="s">
        <v>2477</v>
      </c>
      <c r="C813" s="6" t="s">
        <v>2448</v>
      </c>
      <c r="D813" s="6" t="s">
        <v>2468</v>
      </c>
      <c r="E813" s="6" t="s">
        <v>2460</v>
      </c>
      <c r="F813" s="6" t="str">
        <f>HYPERLINK("http://www.maisongabriel.it/","www.maisongabriel.it")</f>
        <v>www.maisongabriel.it</v>
      </c>
    </row>
    <row r="814" spans="1:6" ht="16.95" customHeight="1" x14ac:dyDescent="0.25">
      <c r="A814" s="1" t="s">
        <v>2478</v>
      </c>
      <c r="B814" s="6" t="s">
        <v>2479</v>
      </c>
      <c r="C814" s="6" t="s">
        <v>2445</v>
      </c>
      <c r="D814" s="6" t="s">
        <v>2459</v>
      </c>
      <c r="E814" s="6" t="s">
        <v>2460</v>
      </c>
      <c r="F814" s="6" t="str">
        <f>HYPERLINK("http://www.atlantefinish.it/","www.atlantefinish.it")</f>
        <v>www.atlantefinish.it</v>
      </c>
    </row>
    <row r="815" spans="1:6" ht="29.55" customHeight="1" x14ac:dyDescent="0.25">
      <c r="A815" s="5" t="s">
        <v>2480</v>
      </c>
      <c r="B815" s="4" t="s">
        <v>2481</v>
      </c>
      <c r="C815" s="4" t="s">
        <v>2452</v>
      </c>
      <c r="D815" s="4" t="s">
        <v>2453</v>
      </c>
      <c r="E815" s="4" t="s">
        <v>2449</v>
      </c>
      <c r="F815" s="4" t="str">
        <f>HYPERLINK("http://www.keboshoes.it/","www.keboshoes.it")</f>
        <v>www.keboshoes.it</v>
      </c>
    </row>
    <row r="816" spans="1:6" ht="29.55" customHeight="1" x14ac:dyDescent="0.25">
      <c r="A816" s="1" t="s">
        <v>2482</v>
      </c>
      <c r="B816" s="6" t="s">
        <v>2483</v>
      </c>
      <c r="C816" s="6" t="s">
        <v>2452</v>
      </c>
      <c r="D816" s="6" t="s">
        <v>2484</v>
      </c>
      <c r="E816" s="6" t="s">
        <v>2485</v>
      </c>
      <c r="F816" s="6" t="str">
        <f>HYPERLINK("http://www.besneakers.it/","www.besneakers.it")</f>
        <v>www.besneakers.it</v>
      </c>
    </row>
    <row r="817" spans="1:6" ht="16.95" customHeight="1" x14ac:dyDescent="0.25">
      <c r="A817" s="5" t="s">
        <v>2486</v>
      </c>
      <c r="B817" s="4" t="s">
        <v>2487</v>
      </c>
      <c r="C817" s="4" t="s">
        <v>2445</v>
      </c>
      <c r="D817" s="4" t="s">
        <v>2471</v>
      </c>
      <c r="E817" s="4" t="s">
        <v>2472</v>
      </c>
      <c r="F817" s="4" t="str">
        <f>HYPERLINK("http://www.esotica.com/","www.esotica.com")</f>
        <v>www.esotica.com</v>
      </c>
    </row>
    <row r="818" spans="1:6" ht="43.05" customHeight="1" x14ac:dyDescent="0.25">
      <c r="A818" s="1" t="s">
        <v>2488</v>
      </c>
      <c r="B818" s="6" t="s">
        <v>2489</v>
      </c>
      <c r="C818" s="6" t="s">
        <v>2448</v>
      </c>
      <c r="D818" s="6" t="s">
        <v>2468</v>
      </c>
      <c r="E818" s="6" t="s">
        <v>2460</v>
      </c>
      <c r="F818" s="6" t="str">
        <f>HYPERLINK("http://www.arberburreli.it/","www.arberburreli.it")</f>
        <v>www.arberburreli.it</v>
      </c>
    </row>
    <row r="819" spans="1:6" ht="16.95" customHeight="1" x14ac:dyDescent="0.25">
      <c r="A819" s="5" t="s">
        <v>2490</v>
      </c>
      <c r="B819" s="4" t="s">
        <v>2491</v>
      </c>
      <c r="C819" s="4" t="s">
        <v>2452</v>
      </c>
      <c r="D819" s="4" t="s">
        <v>2492</v>
      </c>
      <c r="E819" s="4" t="s">
        <v>2493</v>
      </c>
      <c r="F819" s="4" t="str">
        <f>HYPERLINK("http://www.paciotti.com/","www.paciotti.com")</f>
        <v>www.paciotti.com</v>
      </c>
    </row>
    <row r="820" spans="1:6" ht="16.95" customHeight="1" x14ac:dyDescent="0.25">
      <c r="A820" s="5" t="s">
        <v>2494</v>
      </c>
      <c r="B820" s="4" t="s">
        <v>2495</v>
      </c>
      <c r="C820" s="4" t="s">
        <v>2448</v>
      </c>
      <c r="D820" s="4" t="s">
        <v>2496</v>
      </c>
      <c r="E820" s="4" t="s">
        <v>2447</v>
      </c>
      <c r="F820" s="4" t="str">
        <f>HYPERLINK("http://www.pelletteriedelfino.it/","www.pelletteriedelfino.it")</f>
        <v>www.pelletteriedelfino.it</v>
      </c>
    </row>
    <row r="821" spans="1:6" ht="16.95" customHeight="1" x14ac:dyDescent="0.25">
      <c r="A821" s="1" t="s">
        <v>2497</v>
      </c>
      <c r="B821" s="6" t="s">
        <v>2498</v>
      </c>
      <c r="C821" s="6" t="s">
        <v>2445</v>
      </c>
      <c r="D821" s="6" t="s">
        <v>2459</v>
      </c>
      <c r="E821" s="6" t="s">
        <v>2460</v>
      </c>
      <c r="F821" s="6" t="str">
        <f>HYPERLINK("http://www.conceriaondaverde.it/","www.conceriaondaverde.it")</f>
        <v>www.conceriaondaverde.it</v>
      </c>
    </row>
    <row r="822" spans="1:6" ht="43.05" customHeight="1" x14ac:dyDescent="0.25">
      <c r="A822" s="1" t="s">
        <v>2499</v>
      </c>
      <c r="B822" s="6" t="s">
        <v>2500</v>
      </c>
      <c r="C822" s="6" t="s">
        <v>2501</v>
      </c>
      <c r="D822" s="6" t="s">
        <v>2502</v>
      </c>
      <c r="E822" s="6" t="s">
        <v>2503</v>
      </c>
      <c r="F822" s="6" t="str">
        <f>HYPERLINK("http://www.laserteam.it/","www.laserteam.it")</f>
        <v>www.laserteam.it</v>
      </c>
    </row>
    <row r="823" spans="1:6" ht="29.55" customHeight="1" x14ac:dyDescent="0.25">
      <c r="A823" s="5" t="s">
        <v>2504</v>
      </c>
      <c r="B823" s="4" t="s">
        <v>2505</v>
      </c>
      <c r="C823" s="4" t="s">
        <v>2452</v>
      </c>
      <c r="D823" s="4" t="s">
        <v>2463</v>
      </c>
      <c r="E823" s="4" t="s">
        <v>2447</v>
      </c>
      <c r="F823" s="4" t="str">
        <f>HYPERLINK("http://donnacarolina.it/","donnacarolina.it")</f>
        <v>donnacarolina.it</v>
      </c>
    </row>
    <row r="824" spans="1:6" ht="16.95" customHeight="1" x14ac:dyDescent="0.25">
      <c r="A824" s="1" t="s">
        <v>2506</v>
      </c>
      <c r="B824" s="6" t="s">
        <v>2507</v>
      </c>
      <c r="C824" s="6" t="s">
        <v>2445</v>
      </c>
      <c r="D824" s="6" t="s">
        <v>2459</v>
      </c>
      <c r="E824" s="6" t="s">
        <v>2460</v>
      </c>
      <c r="F824" s="6" t="str">
        <f>HYPERLINK("http://www.conceriannarita.it/","www.conceriannarita.it")</f>
        <v>www.conceriannarita.it</v>
      </c>
    </row>
    <row r="825" spans="1:6" ht="16.95" customHeight="1" x14ac:dyDescent="0.25">
      <c r="A825" s="1" t="s">
        <v>2508</v>
      </c>
      <c r="B825" s="6" t="s">
        <v>2509</v>
      </c>
      <c r="C825" s="6" t="s">
        <v>2510</v>
      </c>
      <c r="D825" s="6" t="s">
        <v>2511</v>
      </c>
      <c r="E825" s="6" t="s">
        <v>2512</v>
      </c>
      <c r="F825" s="6" t="str">
        <f>HYPERLINK("http://www.brador.it/","www.brador.it")</f>
        <v>www.brador.it</v>
      </c>
    </row>
    <row r="826" spans="1:6" ht="16.95" customHeight="1" x14ac:dyDescent="0.25">
      <c r="A826" s="1" t="s">
        <v>2514</v>
      </c>
      <c r="B826" s="6" t="s">
        <v>2515</v>
      </c>
      <c r="C826" s="6" t="s">
        <v>2516</v>
      </c>
      <c r="D826" s="6" t="s">
        <v>2517</v>
      </c>
      <c r="E826" s="6" t="s">
        <v>2518</v>
      </c>
      <c r="F826" s="6" t="str">
        <f>HYPERLINK("http://www.giorgiolinea.it/","www.giorgiolinea.it")</f>
        <v>www.giorgiolinea.it</v>
      </c>
    </row>
    <row r="827" spans="1:6" ht="16.95" customHeight="1" x14ac:dyDescent="0.25">
      <c r="A827" s="1" t="s">
        <v>2522</v>
      </c>
      <c r="B827" s="6" t="s">
        <v>2523</v>
      </c>
      <c r="C827" s="6" t="s">
        <v>2510</v>
      </c>
      <c r="D827" s="6" t="s">
        <v>2524</v>
      </c>
      <c r="E827" s="6" t="s">
        <v>2525</v>
      </c>
      <c r="F827" s="6" t="str">
        <f>HYPERLINK("http://www.polyflexcalzature.com/","www.polyflexcalzature.com")</f>
        <v>www.polyflexcalzature.com</v>
      </c>
    </row>
    <row r="828" spans="1:6" ht="16.95" customHeight="1" x14ac:dyDescent="0.25">
      <c r="A828" s="5" t="s">
        <v>2526</v>
      </c>
      <c r="B828" s="4" t="s">
        <v>2527</v>
      </c>
      <c r="C828" s="4" t="s">
        <v>2510</v>
      </c>
      <c r="D828" s="4" t="s">
        <v>2513</v>
      </c>
      <c r="E828" s="4" t="s">
        <v>2512</v>
      </c>
      <c r="F828" s="4" t="str">
        <f>HYPERLINK("http://www.confort.it/","www.confort.it")</f>
        <v>www.confort.it</v>
      </c>
    </row>
    <row r="829" spans="1:6" ht="16.95" customHeight="1" x14ac:dyDescent="0.25">
      <c r="A829" s="1" t="s">
        <v>2528</v>
      </c>
      <c r="B829" s="6" t="s">
        <v>2529</v>
      </c>
      <c r="C829" s="6" t="s">
        <v>2516</v>
      </c>
      <c r="D829" s="6" t="s">
        <v>2530</v>
      </c>
      <c r="E829" s="6" t="s">
        <v>2521</v>
      </c>
      <c r="F829" s="6" t="str">
        <f>HYPERLINK("http://www.dankepelletteria.it/","www.dankepelletteria.it")</f>
        <v>www.dankepelletteria.it</v>
      </c>
    </row>
    <row r="830" spans="1:6" ht="16.95" customHeight="1" x14ac:dyDescent="0.25">
      <c r="A830" s="5" t="s">
        <v>2531</v>
      </c>
      <c r="B830" s="4" t="s">
        <v>2532</v>
      </c>
      <c r="C830" s="4" t="s">
        <v>2510</v>
      </c>
      <c r="D830" s="4" t="s">
        <v>2533</v>
      </c>
      <c r="E830" s="4" t="s">
        <v>2534</v>
      </c>
      <c r="F830" s="4" t="str">
        <f>HYPERLINK("http://www.gegfootwear.it/","www.gegfootwear.it")</f>
        <v>www.gegfootwear.it</v>
      </c>
    </row>
    <row r="831" spans="1:6" ht="16.95" customHeight="1" x14ac:dyDescent="0.25">
      <c r="A831" s="1" t="s">
        <v>2535</v>
      </c>
      <c r="B831" s="6" t="s">
        <v>2536</v>
      </c>
      <c r="C831" s="6" t="s">
        <v>2510</v>
      </c>
      <c r="D831" s="6" t="s">
        <v>2537</v>
      </c>
      <c r="E831" s="6" t="s">
        <v>2538</v>
      </c>
      <c r="F831" s="6" t="str">
        <f>HYPERLINK("http://www.caloshoes.it/","www.caloshoes.it")</f>
        <v>www.caloshoes.it</v>
      </c>
    </row>
    <row r="832" spans="1:6" ht="16.95" customHeight="1" x14ac:dyDescent="0.25">
      <c r="A832" s="1" t="s">
        <v>2541</v>
      </c>
      <c r="B832" s="6" t="s">
        <v>2542</v>
      </c>
      <c r="C832" s="6" t="s">
        <v>2510</v>
      </c>
      <c r="D832" s="6" t="s">
        <v>2517</v>
      </c>
      <c r="E832" s="6" t="s">
        <v>2518</v>
      </c>
      <c r="F832" s="6" t="str">
        <f>HYPERLINK("http://www.simonemartini.net/","www.simonemartini.net")</f>
        <v>www.simonemartini.net</v>
      </c>
    </row>
    <row r="833" spans="1:6" ht="16.95" customHeight="1" x14ac:dyDescent="0.25">
      <c r="A833" s="5" t="s">
        <v>2543</v>
      </c>
      <c r="B833" s="4" t="s">
        <v>2544</v>
      </c>
      <c r="C833" s="4" t="s">
        <v>2539</v>
      </c>
      <c r="D833" s="4" t="s">
        <v>2545</v>
      </c>
      <c r="E833" s="4" t="s">
        <v>2518</v>
      </c>
      <c r="F833" s="4" t="str">
        <f>HYPERLINK("http://mb3.it/","mb3.it")</f>
        <v>mb3.it</v>
      </c>
    </row>
    <row r="834" spans="1:6" ht="29.55" customHeight="1" x14ac:dyDescent="0.25">
      <c r="A834" s="5" t="s">
        <v>2546</v>
      </c>
      <c r="B834" s="4" t="s">
        <v>2547</v>
      </c>
      <c r="C834" s="4" t="s">
        <v>2539</v>
      </c>
      <c r="D834" s="4" t="s">
        <v>2545</v>
      </c>
      <c r="E834" s="4" t="s">
        <v>2518</v>
      </c>
      <c r="F834" s="4" t="str">
        <f>HYPERLINK("http://www.nuovaetruria.it/","www.nuovaetruria.it")</f>
        <v>www.nuovaetruria.it</v>
      </c>
    </row>
    <row r="835" spans="1:6" ht="16.95" customHeight="1" x14ac:dyDescent="0.25">
      <c r="A835" s="1" t="s">
        <v>2548</v>
      </c>
      <c r="B835" s="6" t="s">
        <v>2549</v>
      </c>
      <c r="C835" s="6" t="s">
        <v>2519</v>
      </c>
      <c r="D835" s="6" t="s">
        <v>2550</v>
      </c>
      <c r="E835" s="6" t="s">
        <v>2540</v>
      </c>
      <c r="F835" s="6" t="str">
        <f>HYPERLINK("http://www.sacutex.com/","www.sacutex.com")</f>
        <v>www.sacutex.com</v>
      </c>
    </row>
    <row r="836" spans="1:6" ht="16.95" customHeight="1" x14ac:dyDescent="0.25">
      <c r="A836" s="5" t="s">
        <v>2551</v>
      </c>
      <c r="B836" s="4" t="s">
        <v>2552</v>
      </c>
      <c r="C836" s="4" t="s">
        <v>2553</v>
      </c>
      <c r="D836" s="4" t="s">
        <v>2530</v>
      </c>
      <c r="E836" s="4" t="s">
        <v>2521</v>
      </c>
      <c r="F836" s="4" t="str">
        <f>HYPERLINK("http://www.altamoda.pl/","www.altamoda.pl")</f>
        <v>www.altamoda.pl</v>
      </c>
    </row>
    <row r="837" spans="1:6" ht="29.55" customHeight="1" x14ac:dyDescent="0.25">
      <c r="A837" s="5" t="s">
        <v>2555</v>
      </c>
      <c r="B837" s="4" t="s">
        <v>2556</v>
      </c>
      <c r="C837" s="4" t="s">
        <v>2510</v>
      </c>
      <c r="D837" s="4" t="s">
        <v>2557</v>
      </c>
      <c r="E837" s="4" t="s">
        <v>2538</v>
      </c>
      <c r="F837" s="4" t="str">
        <f>HYPERLINK("http://www.difrancoshoes.com/","www.difrancoshoes.com")</f>
        <v>www.difrancoshoes.com</v>
      </c>
    </row>
    <row r="838" spans="1:6" ht="16.95" customHeight="1" x14ac:dyDescent="0.25">
      <c r="A838" s="1" t="s">
        <v>2558</v>
      </c>
      <c r="B838" s="6" t="s">
        <v>2559</v>
      </c>
      <c r="C838" s="6" t="s">
        <v>2510</v>
      </c>
      <c r="D838" s="6" t="s">
        <v>2560</v>
      </c>
      <c r="E838" s="6" t="s">
        <v>2512</v>
      </c>
      <c r="F838" s="6" t="str">
        <f>HYPERLINK("http://www.sesashoes.com/","www.sesashoes.com")</f>
        <v>www.sesashoes.com</v>
      </c>
    </row>
    <row r="839" spans="1:6" ht="16.95" customHeight="1" x14ac:dyDescent="0.25">
      <c r="A839" s="1" t="s">
        <v>2561</v>
      </c>
      <c r="B839" s="6" t="s">
        <v>2562</v>
      </c>
      <c r="C839" s="6" t="s">
        <v>2519</v>
      </c>
      <c r="D839" s="6" t="s">
        <v>2520</v>
      </c>
      <c r="E839" s="6" t="s">
        <v>2521</v>
      </c>
      <c r="F839" s="6" t="str">
        <f>HYPERLINK("http://www.egifra.it/","www.egifra.it")</f>
        <v>www.egifra.it</v>
      </c>
    </row>
    <row r="840" spans="1:6" ht="16.95" customHeight="1" x14ac:dyDescent="0.25">
      <c r="A840" s="5" t="s">
        <v>2563</v>
      </c>
      <c r="B840" s="4" t="s">
        <v>2564</v>
      </c>
      <c r="C840" s="4" t="s">
        <v>2539</v>
      </c>
      <c r="D840" s="4" t="s">
        <v>2565</v>
      </c>
      <c r="E840" s="4" t="s">
        <v>2518</v>
      </c>
      <c r="F840" s="4" t="str">
        <f>HYPERLINK("http://www.accoppiaturegc.it/","www.accoppiaturegc.it")</f>
        <v>www.accoppiaturegc.it</v>
      </c>
    </row>
    <row r="841" spans="1:6" ht="16.95" customHeight="1" x14ac:dyDescent="0.25">
      <c r="A841" s="5" t="s">
        <v>2566</v>
      </c>
      <c r="B841" s="4" t="s">
        <v>2567</v>
      </c>
      <c r="C841" s="4" t="s">
        <v>2539</v>
      </c>
      <c r="D841" s="4" t="s">
        <v>2568</v>
      </c>
      <c r="E841" s="4" t="s">
        <v>2569</v>
      </c>
      <c r="F841" s="4" t="str">
        <f>HYPERLINK("http://www.pelleco.it/","www.pelleco.it")</f>
        <v>www.pelleco.it</v>
      </c>
    </row>
    <row r="842" spans="1:6" ht="16.95" customHeight="1" x14ac:dyDescent="0.25">
      <c r="A842" s="1" t="s">
        <v>2570</v>
      </c>
      <c r="B842" s="6" t="s">
        <v>2571</v>
      </c>
      <c r="C842" s="6" t="s">
        <v>2519</v>
      </c>
      <c r="D842" s="6" t="s">
        <v>2554</v>
      </c>
      <c r="E842" s="6" t="s">
        <v>2538</v>
      </c>
      <c r="F842" s="6" t="str">
        <f>HYPERLINK("http://www.gipsyproductionsrl.it/","www.gipsyproductionsrl.it")</f>
        <v>www.gipsyproductionsrl.it</v>
      </c>
    </row>
    <row r="843" spans="1:6" ht="16.95" customHeight="1" x14ac:dyDescent="0.25">
      <c r="A843" s="5" t="s">
        <v>2572</v>
      </c>
      <c r="B843" s="4" t="s">
        <v>2573</v>
      </c>
      <c r="C843" s="4" t="s">
        <v>2539</v>
      </c>
      <c r="D843" s="4" t="s">
        <v>2545</v>
      </c>
      <c r="E843" s="4" t="s">
        <v>2518</v>
      </c>
      <c r="F843" s="4" t="str">
        <f>HYPERLINK("http://www.conceriadingo.com/","www.conceriadingo.com")</f>
        <v>www.conceriadingo.com</v>
      </c>
    </row>
    <row r="844" spans="1:6" ht="16.95" customHeight="1" x14ac:dyDescent="0.25">
      <c r="A844" s="5" t="s">
        <v>2577</v>
      </c>
      <c r="B844" s="4" t="s">
        <v>2578</v>
      </c>
      <c r="C844" s="4" t="s">
        <v>2579</v>
      </c>
      <c r="D844" s="4" t="s">
        <v>2580</v>
      </c>
      <c r="E844" s="4" t="s">
        <v>2581</v>
      </c>
      <c r="F844" s="4" t="str">
        <f>HYPERLINK("http://www.salar.it/","www.salar.it")</f>
        <v>www.salar.it</v>
      </c>
    </row>
    <row r="845" spans="1:6" ht="16.95" customHeight="1" x14ac:dyDescent="0.25">
      <c r="A845" s="5" t="s">
        <v>2582</v>
      </c>
      <c r="B845" s="4" t="s">
        <v>2583</v>
      </c>
      <c r="C845" s="4" t="s">
        <v>2584</v>
      </c>
      <c r="D845" s="4" t="s">
        <v>2585</v>
      </c>
      <c r="E845" s="4" t="s">
        <v>2586</v>
      </c>
      <c r="F845" s="4" t="str">
        <f>HYPERLINK("http://www.ernestodolani.it/","www.ernestodolani.it")</f>
        <v>www.ernestodolani.it</v>
      </c>
    </row>
    <row r="846" spans="1:6" ht="16.95" customHeight="1" x14ac:dyDescent="0.25">
      <c r="A846" s="1" t="s">
        <v>2589</v>
      </c>
      <c r="B846" s="6" t="s">
        <v>2590</v>
      </c>
      <c r="C846" s="6" t="s">
        <v>2584</v>
      </c>
      <c r="D846" s="6" t="s">
        <v>2591</v>
      </c>
      <c r="E846" s="6" t="s">
        <v>2586</v>
      </c>
      <c r="F846" s="6" t="str">
        <f>HYPERLINK("http://www.zecchinodoro.it/","www.zecchinodoro.it")</f>
        <v>www.zecchinodoro.it</v>
      </c>
    </row>
    <row r="847" spans="1:6" ht="16.95" customHeight="1" x14ac:dyDescent="0.25">
      <c r="A847" s="1" t="s">
        <v>2593</v>
      </c>
      <c r="B847" s="6" t="s">
        <v>2594</v>
      </c>
      <c r="C847" s="6" t="s">
        <v>2574</v>
      </c>
      <c r="D847" s="6" t="s">
        <v>2595</v>
      </c>
      <c r="E847" s="6" t="s">
        <v>2576</v>
      </c>
      <c r="F847" s="6" t="str">
        <f>HYPERLINK("http://www.conceriastella.com/","www.conceriastella.com")</f>
        <v>www.conceriastella.com</v>
      </c>
    </row>
    <row r="848" spans="1:6" ht="16.95" customHeight="1" x14ac:dyDescent="0.25">
      <c r="A848" s="5" t="s">
        <v>2596</v>
      </c>
      <c r="B848" s="4" t="s">
        <v>2597</v>
      </c>
      <c r="C848" s="4" t="s">
        <v>2584</v>
      </c>
      <c r="D848" s="4" t="s">
        <v>2598</v>
      </c>
      <c r="E848" s="4" t="s">
        <v>2599</v>
      </c>
      <c r="F848" s="4" t="str">
        <f>HYPERLINK("http://www.jpdavid.it/","www.jpdavid.it")</f>
        <v>www.jpdavid.it</v>
      </c>
    </row>
    <row r="849" spans="1:6" ht="29.55" customHeight="1" x14ac:dyDescent="0.25">
      <c r="A849" s="1" t="s">
        <v>2600</v>
      </c>
      <c r="B849" s="6" t="s">
        <v>2601</v>
      </c>
      <c r="C849" s="6" t="s">
        <v>2587</v>
      </c>
      <c r="D849" s="6" t="s">
        <v>2602</v>
      </c>
      <c r="E849" s="6" t="s">
        <v>2588</v>
      </c>
      <c r="F849" s="6" t="str">
        <f>HYPERLINK("http://www.2rocche.it/","www.2rocche.it")</f>
        <v>www.2rocche.it</v>
      </c>
    </row>
    <row r="850" spans="1:6" ht="16.95" customHeight="1" x14ac:dyDescent="0.25">
      <c r="A850" s="5" t="s">
        <v>2603</v>
      </c>
      <c r="B850" s="4" t="s">
        <v>2604</v>
      </c>
      <c r="C850" s="4" t="s">
        <v>2574</v>
      </c>
      <c r="D850" s="4" t="s">
        <v>2575</v>
      </c>
      <c r="E850" s="4" t="s">
        <v>2576</v>
      </c>
      <c r="F850" s="4" t="str">
        <f>HYPERLINK("http://www.conceriayankee.com/","http://www.conceriayankee.com")</f>
        <v>http://www.conceriayankee.com</v>
      </c>
    </row>
    <row r="851" spans="1:6" ht="16.95" customHeight="1" x14ac:dyDescent="0.25">
      <c r="A851" s="1" t="s">
        <v>2605</v>
      </c>
      <c r="B851" s="6" t="s">
        <v>2606</v>
      </c>
      <c r="C851" s="6" t="s">
        <v>2584</v>
      </c>
      <c r="D851" s="6" t="s">
        <v>2585</v>
      </c>
      <c r="E851" s="6" t="s">
        <v>2586</v>
      </c>
      <c r="F851" s="6" t="str">
        <f>HYPERLINK("http://www.galluccishoes.it/","www.galluccishoes.it")</f>
        <v>www.galluccishoes.it</v>
      </c>
    </row>
    <row r="852" spans="1:6" ht="16.95" customHeight="1" x14ac:dyDescent="0.25">
      <c r="A852" s="1" t="s">
        <v>2607</v>
      </c>
      <c r="B852" s="6" t="s">
        <v>2608</v>
      </c>
      <c r="C852" s="6" t="s">
        <v>2587</v>
      </c>
      <c r="D852" s="6" t="s">
        <v>2609</v>
      </c>
      <c r="E852" s="6" t="s">
        <v>2610</v>
      </c>
      <c r="F852" s="6" t="str">
        <f>HYPERLINK("http://teoremasuole.it/","teoremasuole.it")</f>
        <v>teoremasuole.it</v>
      </c>
    </row>
    <row r="853" spans="1:6" ht="16.95" customHeight="1" x14ac:dyDescent="0.25">
      <c r="A853" s="5" t="s">
        <v>2611</v>
      </c>
      <c r="B853" s="4" t="s">
        <v>2612</v>
      </c>
      <c r="C853" s="4" t="s">
        <v>2579</v>
      </c>
      <c r="D853" s="4" t="s">
        <v>2613</v>
      </c>
      <c r="E853" s="4" t="s">
        <v>2576</v>
      </c>
      <c r="F853" s="4" t="str">
        <f>HYPERLINK("http://boldriniselleria.com/","boldriniselleria.com")</f>
        <v>boldriniselleria.com</v>
      </c>
    </row>
    <row r="854" spans="1:6" ht="16.95" customHeight="1" x14ac:dyDescent="0.25">
      <c r="A854" s="5" t="s">
        <v>2614</v>
      </c>
      <c r="B854" s="4" t="s">
        <v>2615</v>
      </c>
      <c r="C854" s="4" t="s">
        <v>2584</v>
      </c>
      <c r="D854" s="4" t="s">
        <v>2592</v>
      </c>
      <c r="E854" s="4" t="s">
        <v>2576</v>
      </c>
      <c r="F854" s="4" t="str">
        <f>HYPERLINK("http://www.sanitalight.it/","www.sanitalight.it")</f>
        <v>www.sanitalight.it</v>
      </c>
    </row>
    <row r="855" spans="1:6" ht="16.95" customHeight="1" x14ac:dyDescent="0.25">
      <c r="A855" s="1" t="s">
        <v>2616</v>
      </c>
      <c r="B855" s="6" t="s">
        <v>2617</v>
      </c>
      <c r="C855" s="6" t="s">
        <v>2574</v>
      </c>
      <c r="D855" s="6" t="s">
        <v>2618</v>
      </c>
      <c r="E855" s="6" t="s">
        <v>2588</v>
      </c>
      <c r="F855" s="6" t="str">
        <f>HYPERLINK("http://bssplitting.it/","bssplitting.it")</f>
        <v>bssplitting.it</v>
      </c>
    </row>
    <row r="856" spans="1:6" ht="16.95" customHeight="1" x14ac:dyDescent="0.25">
      <c r="A856" s="5" t="s">
        <v>2619</v>
      </c>
      <c r="B856" s="4" t="s">
        <v>2620</v>
      </c>
      <c r="C856" s="4" t="s">
        <v>2621</v>
      </c>
      <c r="D856" s="4" t="s">
        <v>2622</v>
      </c>
      <c r="E856" s="4" t="s">
        <v>2610</v>
      </c>
      <c r="F856" s="4" t="str">
        <f>HYPERLINK("http://www.silvanobiagini.com/","www.silvanobiagini.com")</f>
        <v>www.silvanobiagini.com</v>
      </c>
    </row>
    <row r="857" spans="1:6" ht="16.95" customHeight="1" x14ac:dyDescent="0.25">
      <c r="A857" s="1" t="s">
        <v>2623</v>
      </c>
      <c r="B857" s="6" t="s">
        <v>2624</v>
      </c>
      <c r="C857" s="6" t="s">
        <v>2574</v>
      </c>
      <c r="D857" s="6" t="s">
        <v>2595</v>
      </c>
      <c r="E857" s="6" t="s">
        <v>2576</v>
      </c>
      <c r="F857" s="6" t="str">
        <f>HYPERLINK("http://www.conceriapellegrini.com/","www.conceriapellegrini.com")</f>
        <v>www.conceriapellegrini.com</v>
      </c>
    </row>
    <row r="858" spans="1:6" ht="29.55" customHeight="1" x14ac:dyDescent="0.25">
      <c r="A858" s="5" t="s">
        <v>2625</v>
      </c>
      <c r="B858" s="4" t="s">
        <v>2626</v>
      </c>
      <c r="C858" s="4" t="s">
        <v>2574</v>
      </c>
      <c r="D858" s="4" t="s">
        <v>2575</v>
      </c>
      <c r="E858" s="4" t="s">
        <v>2576</v>
      </c>
      <c r="F858" s="4" t="str">
        <f>HYPERLINK("http://mpg.it/","mpg.it")</f>
        <v>mpg.it</v>
      </c>
    </row>
    <row r="859" spans="1:6" ht="29.55" customHeight="1" x14ac:dyDescent="0.25">
      <c r="A859" s="1" t="s">
        <v>2627</v>
      </c>
      <c r="B859" s="6" t="s">
        <v>2628</v>
      </c>
      <c r="C859" s="6" t="s">
        <v>2574</v>
      </c>
      <c r="D859" s="6" t="s">
        <v>2618</v>
      </c>
      <c r="E859" s="6" t="s">
        <v>2588</v>
      </c>
      <c r="F859" s="6" t="str">
        <f>HYPERLINK("http://www.ambraautomotive.com/","www.ambraautomotive.com")</f>
        <v>www.ambraautomotive.com</v>
      </c>
    </row>
    <row r="860" spans="1:6" ht="16.95" customHeight="1" x14ac:dyDescent="0.25">
      <c r="A860" s="5" t="s">
        <v>2629</v>
      </c>
      <c r="B860" s="4" t="s">
        <v>2630</v>
      </c>
      <c r="C860" s="4" t="s">
        <v>2579</v>
      </c>
      <c r="D860" s="4" t="s">
        <v>2631</v>
      </c>
      <c r="E860" s="4" t="s">
        <v>2599</v>
      </c>
      <c r="F860" s="4" t="str">
        <f>HYPERLINK("http://simeonegloves.com/","simeonegloves.com")</f>
        <v>simeonegloves.com</v>
      </c>
    </row>
    <row r="861" spans="1:6" ht="16.95" customHeight="1" x14ac:dyDescent="0.25">
      <c r="A861" s="5" t="s">
        <v>2632</v>
      </c>
      <c r="B861" s="4" t="s">
        <v>2633</v>
      </c>
      <c r="C861" s="4" t="s">
        <v>2574</v>
      </c>
      <c r="D861" s="4" t="s">
        <v>2618</v>
      </c>
      <c r="E861" s="4" t="s">
        <v>2588</v>
      </c>
      <c r="F861" s="4" t="str">
        <f>HYPERLINK("http://newpel.com/","newpel.com")</f>
        <v>newpel.com</v>
      </c>
    </row>
    <row r="862" spans="1:6" ht="16.95" customHeight="1" x14ac:dyDescent="0.25">
      <c r="A862" s="1" t="s">
        <v>2634</v>
      </c>
      <c r="B862" s="6" t="s">
        <v>2635</v>
      </c>
      <c r="C862" s="6" t="s">
        <v>2636</v>
      </c>
      <c r="D862" s="6" t="s">
        <v>2637</v>
      </c>
      <c r="E862" s="6" t="s">
        <v>2638</v>
      </c>
      <c r="F862" s="6" t="str">
        <f>HYPERLINK("http://www.calzaturificiognv.it/","www.calzaturificiognv.it")</f>
        <v>www.calzaturificiognv.it</v>
      </c>
    </row>
    <row r="863" spans="1:6" ht="16.95" customHeight="1" x14ac:dyDescent="0.25">
      <c r="A863" s="5" t="s">
        <v>2641</v>
      </c>
      <c r="B863" s="4" t="s">
        <v>2642</v>
      </c>
      <c r="C863" s="4" t="s">
        <v>2643</v>
      </c>
      <c r="D863" s="4" t="s">
        <v>2644</v>
      </c>
      <c r="E863" s="4" t="s">
        <v>2640</v>
      </c>
      <c r="F863" s="4" t="str">
        <f>HYPERLINK("http://www.centomo.it/","http://www.centomo.it")</f>
        <v>http://www.centomo.it</v>
      </c>
    </row>
    <row r="864" spans="1:6" ht="16.95" customHeight="1" x14ac:dyDescent="0.25">
      <c r="A864" s="1" t="s">
        <v>2645</v>
      </c>
      <c r="B864" s="6" t="s">
        <v>2646</v>
      </c>
      <c r="C864" s="6" t="s">
        <v>2636</v>
      </c>
      <c r="D864" s="6" t="s">
        <v>2647</v>
      </c>
      <c r="E864" s="6" t="s">
        <v>2638</v>
      </c>
      <c r="F864" s="6" t="str">
        <f>HYPERLINK("http://www.bernacchini.com/","www.bernacchini.com")</f>
        <v>www.bernacchini.com</v>
      </c>
    </row>
    <row r="865" spans="1:6" ht="16.95" customHeight="1" x14ac:dyDescent="0.25">
      <c r="A865" s="5" t="s">
        <v>2648</v>
      </c>
      <c r="B865" s="4" t="s">
        <v>2649</v>
      </c>
      <c r="C865" s="4" t="s">
        <v>2636</v>
      </c>
      <c r="D865" s="4" t="s">
        <v>2650</v>
      </c>
      <c r="E865" s="4" t="s">
        <v>2638</v>
      </c>
      <c r="F865" s="4" t="str">
        <f>HYPERLINK("http://www.janetandjanet.com/","www.janetandjanet.com")</f>
        <v>www.janetandjanet.com</v>
      </c>
    </row>
    <row r="866" spans="1:6" ht="16.95" customHeight="1" x14ac:dyDescent="0.25">
      <c r="A866" s="1" t="s">
        <v>2651</v>
      </c>
      <c r="B866" s="6" t="s">
        <v>2652</v>
      </c>
      <c r="C866" s="6" t="s">
        <v>2636</v>
      </c>
      <c r="D866" s="6" t="s">
        <v>2653</v>
      </c>
      <c r="E866" s="6" t="s">
        <v>2654</v>
      </c>
      <c r="F866" s="6" t="str">
        <f>HYPERLINK("http://www.extrostyle.it/","www.extrostyle.it")</f>
        <v>www.extrostyle.it</v>
      </c>
    </row>
    <row r="867" spans="1:6" ht="16.95" customHeight="1" x14ac:dyDescent="0.25">
      <c r="A867" s="5" t="s">
        <v>2655</v>
      </c>
      <c r="B867" s="4" t="s">
        <v>2656</v>
      </c>
      <c r="C867" s="4" t="s">
        <v>2636</v>
      </c>
      <c r="D867" s="4" t="s">
        <v>2657</v>
      </c>
      <c r="E867" s="4" t="s">
        <v>2640</v>
      </c>
      <c r="F867" s="4" t="str">
        <f>HYPERLINK("http://www.shoes-project.it/","www.shoes-project.it")</f>
        <v>www.shoes-project.it</v>
      </c>
    </row>
    <row r="868" spans="1:6" ht="16.95" customHeight="1" x14ac:dyDescent="0.25">
      <c r="A868" s="1" t="s">
        <v>2658</v>
      </c>
      <c r="B868" s="6" t="s">
        <v>2659</v>
      </c>
      <c r="C868" s="6" t="s">
        <v>2639</v>
      </c>
      <c r="D868" s="6" t="s">
        <v>2660</v>
      </c>
      <c r="E868" s="6" t="s">
        <v>2640</v>
      </c>
      <c r="F868" s="6" t="str">
        <f>HYPERLINK("http://piemmegiserramenti.com/","piemmegiserramenti.com")</f>
        <v>piemmegiserramenti.com</v>
      </c>
    </row>
    <row r="869" spans="1:6" ht="29.55" customHeight="1" x14ac:dyDescent="0.25">
      <c r="A869" s="5" t="s">
        <v>2661</v>
      </c>
      <c r="B869" s="4" t="s">
        <v>2662</v>
      </c>
      <c r="C869" s="4" t="s">
        <v>2639</v>
      </c>
      <c r="D869" s="4" t="s">
        <v>2647</v>
      </c>
      <c r="E869" s="4" t="s">
        <v>2638</v>
      </c>
      <c r="F869" s="4" t="str">
        <f>HYPERLINK("http://www.morrovallese.it/","www.morrovallese.it")</f>
        <v>www.morrovallese.it</v>
      </c>
    </row>
    <row r="870" spans="1:6" ht="16.95" customHeight="1" x14ac:dyDescent="0.25">
      <c r="A870" s="5" t="s">
        <v>2663</v>
      </c>
      <c r="B870" s="4" t="s">
        <v>2664</v>
      </c>
      <c r="C870" s="4" t="s">
        <v>2639</v>
      </c>
      <c r="D870" s="4" t="s">
        <v>2637</v>
      </c>
      <c r="E870" s="4" t="s">
        <v>2638</v>
      </c>
      <c r="F870" s="4" t="str">
        <f>HYPERLINK("http://www.rubberitalysrl.it/","http://www.rubberitalysrl.it")</f>
        <v>http://www.rubberitalysrl.it</v>
      </c>
    </row>
    <row r="871" spans="1:6" ht="16.95" customHeight="1" x14ac:dyDescent="0.25">
      <c r="A871" s="5" t="s">
        <v>2666</v>
      </c>
      <c r="B871" s="4" t="s">
        <v>2667</v>
      </c>
      <c r="C871" s="4" t="s">
        <v>2643</v>
      </c>
      <c r="D871" s="4" t="s">
        <v>2668</v>
      </c>
      <c r="E871" s="4" t="s">
        <v>2669</v>
      </c>
      <c r="F871" s="4" t="str">
        <f>HYPERLINK("http://www.mistralcreativevision.com/","www.mistralcreativevision.com")</f>
        <v>www.mistralcreativevision.com</v>
      </c>
    </row>
    <row r="872" spans="1:6" ht="16.95" customHeight="1" x14ac:dyDescent="0.25">
      <c r="A872" s="1" t="s">
        <v>2670</v>
      </c>
      <c r="B872" s="6" t="s">
        <v>2671</v>
      </c>
      <c r="C872" s="6" t="s">
        <v>2672</v>
      </c>
      <c r="D872" s="6" t="s">
        <v>2673</v>
      </c>
      <c r="E872" s="6" t="s">
        <v>2674</v>
      </c>
      <c r="F872" s="6" t="str">
        <f>HYPERLINK("http://bonfantiborse.it/","bonfantiborse.it")</f>
        <v>bonfantiborse.it</v>
      </c>
    </row>
    <row r="873" spans="1:6" ht="16.95" customHeight="1" x14ac:dyDescent="0.25">
      <c r="A873" s="1" t="s">
        <v>2675</v>
      </c>
      <c r="B873" s="6" t="s">
        <v>2676</v>
      </c>
      <c r="C873" s="6" t="s">
        <v>2636</v>
      </c>
      <c r="D873" s="6" t="s">
        <v>2677</v>
      </c>
      <c r="E873" s="6" t="s">
        <v>2674</v>
      </c>
      <c r="F873" s="6" t="str">
        <f>HYPERLINK("http://www.maresca.it/","www.maresca.it")</f>
        <v>www.maresca.it</v>
      </c>
    </row>
    <row r="874" spans="1:6" ht="16.95" customHeight="1" x14ac:dyDescent="0.25">
      <c r="A874" s="1" t="s">
        <v>2678</v>
      </c>
      <c r="B874" s="6" t="s">
        <v>2679</v>
      </c>
      <c r="C874" s="6" t="s">
        <v>2643</v>
      </c>
      <c r="D874" s="6" t="s">
        <v>2644</v>
      </c>
      <c r="E874" s="6" t="s">
        <v>2640</v>
      </c>
      <c r="F874" s="6" t="str">
        <f>HYPERLINK("http://www.lineaprojectleather.it/","www.lineaprojectleather.it")</f>
        <v>www.lineaprojectleather.it</v>
      </c>
    </row>
    <row r="875" spans="1:6" ht="29.55" customHeight="1" x14ac:dyDescent="0.25">
      <c r="A875" s="1" t="s">
        <v>2681</v>
      </c>
      <c r="B875" s="6" t="s">
        <v>2682</v>
      </c>
      <c r="C875" s="6" t="s">
        <v>2643</v>
      </c>
      <c r="D875" s="6" t="s">
        <v>2683</v>
      </c>
      <c r="E875" s="6" t="s">
        <v>2674</v>
      </c>
      <c r="F875" s="6" t="str">
        <f>HYPERLINK("http://mibfur.com/","mibfur.com")</f>
        <v>mibfur.com</v>
      </c>
    </row>
    <row r="876" spans="1:6" ht="68.099999999999994" customHeight="1" x14ac:dyDescent="0.25">
      <c r="A876" s="5" t="s">
        <v>2684</v>
      </c>
      <c r="B876" s="4" t="s">
        <v>2685</v>
      </c>
      <c r="C876" s="4" t="s">
        <v>2636</v>
      </c>
      <c r="D876" s="4" t="s">
        <v>2686</v>
      </c>
      <c r="E876" s="4" t="s">
        <v>2680</v>
      </c>
      <c r="F876" s="4" t="str">
        <f>HYPERLINK("http://francofedele.it/","francofedele.it")</f>
        <v>francofedele.it</v>
      </c>
    </row>
    <row r="877" spans="1:6" ht="16.95" customHeight="1" x14ac:dyDescent="0.25">
      <c r="A877" s="5" t="s">
        <v>2687</v>
      </c>
      <c r="B877" s="4" t="s">
        <v>2688</v>
      </c>
      <c r="C877" s="4" t="s">
        <v>2636</v>
      </c>
      <c r="D877" s="4" t="s">
        <v>2637</v>
      </c>
      <c r="E877" s="4" t="s">
        <v>2638</v>
      </c>
      <c r="F877" s="4" t="str">
        <f>HYPERLINK("http://www.missouri.it/","www.missouri.it")</f>
        <v>www.missouri.it</v>
      </c>
    </row>
    <row r="878" spans="1:6" ht="132.75" customHeight="1" x14ac:dyDescent="0.25">
      <c r="A878" s="1" t="s">
        <v>2689</v>
      </c>
      <c r="B878" s="6" t="s">
        <v>2690</v>
      </c>
      <c r="C878" s="6" t="s">
        <v>2672</v>
      </c>
      <c r="D878" s="6" t="s">
        <v>2691</v>
      </c>
      <c r="E878" s="6" t="s">
        <v>2692</v>
      </c>
      <c r="F878" s="6" t="str">
        <f>HYPERLINK("http://www.ripani.com/","www.ripani.com")</f>
        <v>www.ripani.com</v>
      </c>
    </row>
    <row r="879" spans="1:6" ht="16.95" customHeight="1" x14ac:dyDescent="0.25">
      <c r="A879" s="5" t="s">
        <v>2693</v>
      </c>
      <c r="B879" s="4" t="s">
        <v>2694</v>
      </c>
      <c r="C879" s="4" t="s">
        <v>2665</v>
      </c>
      <c r="D879" s="4" t="s">
        <v>2668</v>
      </c>
      <c r="E879" s="4" t="s">
        <v>2669</v>
      </c>
      <c r="F879" s="4" t="str">
        <f>HYPERLINK("http://www.suolificio.com/","www.suolificio.com")</f>
        <v>www.suolificio.com</v>
      </c>
    </row>
    <row r="880" spans="1:6" ht="16.95" customHeight="1" x14ac:dyDescent="0.25">
      <c r="A880" s="1" t="s">
        <v>2695</v>
      </c>
      <c r="B880" s="6" t="s">
        <v>2696</v>
      </c>
      <c r="C880" s="6" t="s">
        <v>2636</v>
      </c>
      <c r="D880" s="6" t="s">
        <v>2697</v>
      </c>
      <c r="E880" s="6" t="s">
        <v>2669</v>
      </c>
      <c r="F880" s="6" t="str">
        <f>HYPERLINK("http://www.calzaturificioettoremasotti.com/","www.calzaturificioettoremasotti.com")</f>
        <v>www.calzaturificioettoremasotti.com</v>
      </c>
    </row>
    <row r="881" spans="1:6" ht="16.95" customHeight="1" x14ac:dyDescent="0.25">
      <c r="A881" s="1" t="s">
        <v>2698</v>
      </c>
      <c r="B881" s="6" t="s">
        <v>2699</v>
      </c>
      <c r="C881" s="6" t="s">
        <v>2700</v>
      </c>
      <c r="D881" s="6" t="s">
        <v>2701</v>
      </c>
      <c r="E881" s="6" t="s">
        <v>2702</v>
      </c>
      <c r="F881" s="6" t="str">
        <f>HYPERLINK("http://www.rossisrl.it/","www.rossisrl.it")</f>
        <v>www.rossisrl.it</v>
      </c>
    </row>
    <row r="882" spans="1:6" ht="16.95" customHeight="1" x14ac:dyDescent="0.25">
      <c r="A882" s="5" t="s">
        <v>2705</v>
      </c>
      <c r="B882" s="4" t="s">
        <v>2706</v>
      </c>
      <c r="C882" s="4" t="s">
        <v>2707</v>
      </c>
      <c r="D882" s="4" t="s">
        <v>2708</v>
      </c>
      <c r="E882" s="4" t="s">
        <v>2709</v>
      </c>
      <c r="F882" s="4" t="str">
        <f>HYPERLINK("http://www.comet-pelli.com/","www.comet-pelli.com")</f>
        <v>www.comet-pelli.com</v>
      </c>
    </row>
    <row r="883" spans="1:6" ht="16.95" customHeight="1" x14ac:dyDescent="0.25">
      <c r="A883" s="1" t="s">
        <v>2710</v>
      </c>
      <c r="B883" s="6" t="s">
        <v>2711</v>
      </c>
      <c r="C883" s="6" t="s">
        <v>2700</v>
      </c>
      <c r="D883" s="6" t="s">
        <v>2701</v>
      </c>
      <c r="E883" s="6" t="s">
        <v>2702</v>
      </c>
      <c r="F883" s="6" t="str">
        <f>HYPERLINK("http://www.melin.it/","http://www.melin.it")</f>
        <v>http://www.melin.it</v>
      </c>
    </row>
    <row r="884" spans="1:6" ht="16.95" customHeight="1" x14ac:dyDescent="0.25">
      <c r="A884" s="5" t="s">
        <v>2712</v>
      </c>
      <c r="B884" s="4" t="s">
        <v>2713</v>
      </c>
      <c r="C884" s="4" t="s">
        <v>2700</v>
      </c>
      <c r="D884" s="4" t="s">
        <v>2714</v>
      </c>
      <c r="E884" s="4" t="s">
        <v>2709</v>
      </c>
      <c r="F884" s="4" t="str">
        <f>HYPERLINK("http://www.lorenzomasiero.it/","www.lorenzomasiero.it")</f>
        <v>www.lorenzomasiero.it</v>
      </c>
    </row>
    <row r="885" spans="1:6" ht="16.95" customHeight="1" x14ac:dyDescent="0.25">
      <c r="A885" s="1" t="s">
        <v>2717</v>
      </c>
      <c r="B885" s="6" t="s">
        <v>2718</v>
      </c>
      <c r="C885" s="6" t="s">
        <v>2707</v>
      </c>
      <c r="D885" s="6" t="s">
        <v>2708</v>
      </c>
      <c r="E885" s="6" t="s">
        <v>2709</v>
      </c>
      <c r="F885" s="6" t="str">
        <f>HYPERLINK("http://www.maasciugaturapelli.it/","www.maasciugaturapelli.it")</f>
        <v>www.maasciugaturapelli.it</v>
      </c>
    </row>
    <row r="886" spans="1:6" ht="16.95" customHeight="1" x14ac:dyDescent="0.25">
      <c r="A886" s="5" t="s">
        <v>2719</v>
      </c>
      <c r="B886" s="4" t="s">
        <v>2720</v>
      </c>
      <c r="C886" s="4" t="s">
        <v>2707</v>
      </c>
      <c r="D886" s="4" t="s">
        <v>2708</v>
      </c>
      <c r="E886" s="4" t="s">
        <v>2709</v>
      </c>
      <c r="F886" s="4" t="str">
        <f>HYPERLINK("http://www.conceriam3.com/","www.conceriam3.com")</f>
        <v>www.conceriam3.com</v>
      </c>
    </row>
    <row r="887" spans="1:6" ht="16.95" customHeight="1" x14ac:dyDescent="0.25">
      <c r="A887" s="1" t="s">
        <v>2721</v>
      </c>
      <c r="B887" s="6" t="s">
        <v>2722</v>
      </c>
      <c r="C887" s="6" t="s">
        <v>2700</v>
      </c>
      <c r="D887" s="6" t="s">
        <v>2701</v>
      </c>
      <c r="E887" s="6" t="s">
        <v>2702</v>
      </c>
      <c r="F887" s="6" t="str">
        <f>HYPERLINK("http://www.momino.it/","www.momino.it")</f>
        <v>www.momino.it</v>
      </c>
    </row>
    <row r="888" spans="1:6" ht="16.95" customHeight="1" x14ac:dyDescent="0.25">
      <c r="A888" s="5" t="s">
        <v>2723</v>
      </c>
      <c r="B888" s="4" t="s">
        <v>2724</v>
      </c>
      <c r="C888" s="4" t="s">
        <v>2715</v>
      </c>
      <c r="D888" s="4" t="s">
        <v>2725</v>
      </c>
      <c r="E888" s="4" t="s">
        <v>2726</v>
      </c>
      <c r="F888" s="4" t="str">
        <f>HYPERLINK("http://www.suolificiogloria.com/","www.suolificiogloria.com")</f>
        <v>www.suolificiogloria.com</v>
      </c>
    </row>
    <row r="889" spans="1:6" ht="16.95" customHeight="1" x14ac:dyDescent="0.25">
      <c r="A889" s="5" t="s">
        <v>2727</v>
      </c>
      <c r="B889" s="4" t="s">
        <v>2728</v>
      </c>
      <c r="C889" s="4" t="s">
        <v>2707</v>
      </c>
      <c r="D889" s="4" t="s">
        <v>2729</v>
      </c>
      <c r="E889" s="4" t="s">
        <v>2704</v>
      </c>
      <c r="F889" s="4" t="str">
        <f>HYPERLINK("http://thuleconceria.it/","thuleconceria.it")</f>
        <v>thuleconceria.it</v>
      </c>
    </row>
    <row r="890" spans="1:6" ht="16.95" customHeight="1" x14ac:dyDescent="0.25">
      <c r="A890" s="1" t="s">
        <v>2730</v>
      </c>
      <c r="B890" s="6" t="s">
        <v>2731</v>
      </c>
      <c r="C890" s="6" t="s">
        <v>2707</v>
      </c>
      <c r="D890" s="6" t="s">
        <v>2729</v>
      </c>
      <c r="E890" s="6" t="s">
        <v>2704</v>
      </c>
      <c r="F890" s="6" t="str">
        <f>HYPERLINK("http://www.fr.labretagna.com/","www.fr.labretagna.com")</f>
        <v>www.fr.labretagna.com</v>
      </c>
    </row>
    <row r="891" spans="1:6" ht="16.95" customHeight="1" x14ac:dyDescent="0.25">
      <c r="A891" s="5" t="s">
        <v>2732</v>
      </c>
      <c r="B891" s="4" t="s">
        <v>2733</v>
      </c>
      <c r="C891" s="4" t="s">
        <v>2700</v>
      </c>
      <c r="D891" s="4" t="s">
        <v>2701</v>
      </c>
      <c r="E891" s="4" t="s">
        <v>2702</v>
      </c>
      <c r="F891" s="4" t="str">
        <f>HYPERLINK("http://www.tiemmegi.com/","www.tiemmegi.com")</f>
        <v>www.tiemmegi.com</v>
      </c>
    </row>
    <row r="892" spans="1:6" ht="16.95" customHeight="1" x14ac:dyDescent="0.25">
      <c r="A892" s="1" t="s">
        <v>2734</v>
      </c>
      <c r="B892" s="6" t="s">
        <v>2735</v>
      </c>
      <c r="C892" s="6" t="s">
        <v>2703</v>
      </c>
      <c r="D892" s="6" t="s">
        <v>2736</v>
      </c>
      <c r="E892" s="6" t="s">
        <v>2704</v>
      </c>
      <c r="F892" s="6" t="str">
        <f>HYPERLINK("http://www.hidesins.com/","www.hidesins.com")</f>
        <v>www.hidesins.com</v>
      </c>
    </row>
    <row r="893" spans="1:6" ht="16.95" customHeight="1" x14ac:dyDescent="0.25">
      <c r="A893" s="1" t="s">
        <v>2737</v>
      </c>
      <c r="B893" s="6" t="s">
        <v>2738</v>
      </c>
      <c r="C893" s="6" t="s">
        <v>2700</v>
      </c>
      <c r="D893" s="6" t="s">
        <v>2701</v>
      </c>
      <c r="E893" s="6" t="s">
        <v>2702</v>
      </c>
      <c r="F893" s="6" t="str">
        <f>HYPERLINK("http://calzaturificiogordon.it/","calzaturificiogordon.it")</f>
        <v>calzaturificiogordon.it</v>
      </c>
    </row>
    <row r="894" spans="1:6" ht="16.95" customHeight="1" x14ac:dyDescent="0.25">
      <c r="A894" s="5" t="s">
        <v>2739</v>
      </c>
      <c r="B894" s="4" t="s">
        <v>2740</v>
      </c>
      <c r="C894" s="4" t="s">
        <v>2700</v>
      </c>
      <c r="D894" s="4" t="s">
        <v>2716</v>
      </c>
      <c r="E894" s="4" t="s">
        <v>2709</v>
      </c>
      <c r="F894" s="4" t="str">
        <f>HYPERLINK("http://maripe.com/","maripe.com")</f>
        <v>maripe.com</v>
      </c>
    </row>
    <row r="895" spans="1:6" ht="16.95" customHeight="1" x14ac:dyDescent="0.25">
      <c r="A895" s="5" t="s">
        <v>2746</v>
      </c>
      <c r="B895" s="4" t="s">
        <v>2747</v>
      </c>
      <c r="C895" s="4" t="s">
        <v>2748</v>
      </c>
      <c r="D895" s="4" t="s">
        <v>2749</v>
      </c>
      <c r="E895" s="4" t="s">
        <v>2750</v>
      </c>
      <c r="F895" s="4" t="str">
        <f>HYPERLINK("http://www.sctannery.it/","www.sctannery.it")</f>
        <v>www.sctannery.it</v>
      </c>
    </row>
    <row r="896" spans="1:6" ht="16.95" customHeight="1" x14ac:dyDescent="0.25">
      <c r="A896" s="1" t="s">
        <v>2753</v>
      </c>
      <c r="B896" s="6" t="s">
        <v>2754</v>
      </c>
      <c r="C896" s="6" t="s">
        <v>2748</v>
      </c>
      <c r="D896" s="6" t="s">
        <v>2752</v>
      </c>
      <c r="E896" s="6" t="s">
        <v>2744</v>
      </c>
      <c r="F896" s="6" t="str">
        <f>HYPERLINK("http://www.stanghellini.it/","www.stanghellini.it")</f>
        <v>www.stanghellini.it</v>
      </c>
    </row>
    <row r="897" spans="1:6" ht="16.95" customHeight="1" x14ac:dyDescent="0.25">
      <c r="A897" s="1" t="s">
        <v>2756</v>
      </c>
      <c r="B897" s="6" t="s">
        <v>2757</v>
      </c>
      <c r="C897" s="6" t="s">
        <v>2741</v>
      </c>
      <c r="D897" s="6" t="s">
        <v>2755</v>
      </c>
      <c r="E897" s="6" t="s">
        <v>2750</v>
      </c>
      <c r="F897" s="6" t="str">
        <f>HYPERLINK("http://www.certaldese.it/","www.certaldese.it")</f>
        <v>www.certaldese.it</v>
      </c>
    </row>
    <row r="898" spans="1:6" ht="16.95" customHeight="1" x14ac:dyDescent="0.25">
      <c r="A898" s="5" t="s">
        <v>2758</v>
      </c>
      <c r="B898" s="4" t="s">
        <v>2759</v>
      </c>
      <c r="C898" s="4" t="s">
        <v>2741</v>
      </c>
      <c r="D898" s="4" t="s">
        <v>2760</v>
      </c>
      <c r="E898" s="4" t="s">
        <v>2745</v>
      </c>
      <c r="F898" s="4" t="str">
        <f>HYPERLINK("http://www.solettificiocoba.com/","www.solettificiocoba.com")</f>
        <v>www.solettificiocoba.com</v>
      </c>
    </row>
    <row r="899" spans="1:6" ht="16.95" customHeight="1" x14ac:dyDescent="0.25">
      <c r="A899" s="1" t="s">
        <v>2761</v>
      </c>
      <c r="B899" s="6" t="s">
        <v>2762</v>
      </c>
      <c r="C899" s="6" t="s">
        <v>2741</v>
      </c>
      <c r="D899" s="6" t="s">
        <v>2763</v>
      </c>
      <c r="E899" s="6" t="s">
        <v>2764</v>
      </c>
      <c r="F899" s="6" t="str">
        <f>HYPERLINK("http://www.hf2000.com/","www.hf2000.com")</f>
        <v>www.hf2000.com</v>
      </c>
    </row>
    <row r="900" spans="1:6" ht="16.95" customHeight="1" x14ac:dyDescent="0.25">
      <c r="A900" s="5" t="s">
        <v>2765</v>
      </c>
      <c r="B900" s="4" t="s">
        <v>2766</v>
      </c>
      <c r="C900" s="4" t="s">
        <v>2751</v>
      </c>
      <c r="D900" s="4" t="s">
        <v>2767</v>
      </c>
      <c r="E900" s="4" t="s">
        <v>2744</v>
      </c>
      <c r="F900" s="4" t="str">
        <f>HYPERLINK("http://www.topsystemsrl.com/","www.topsystemsrl.com")</f>
        <v>www.topsystemsrl.com</v>
      </c>
    </row>
    <row r="901" spans="1:6" ht="16.95" customHeight="1" x14ac:dyDescent="0.25">
      <c r="A901" s="5" t="s">
        <v>2768</v>
      </c>
      <c r="B901" s="4" t="s">
        <v>2769</v>
      </c>
      <c r="C901" s="4" t="s">
        <v>2751</v>
      </c>
      <c r="D901" s="4" t="s">
        <v>2770</v>
      </c>
      <c r="E901" s="4" t="s">
        <v>2750</v>
      </c>
      <c r="F901" s="4" t="str">
        <f>HYPERLINK("http://shop.lepori.com/","shop.lepori.com")</f>
        <v>shop.lepori.com</v>
      </c>
    </row>
    <row r="902" spans="1:6" ht="16.95" customHeight="1" x14ac:dyDescent="0.25">
      <c r="A902" s="1" t="s">
        <v>2771</v>
      </c>
      <c r="B902" s="6" t="s">
        <v>2772</v>
      </c>
      <c r="C902" s="6" t="s">
        <v>2748</v>
      </c>
      <c r="D902" s="6" t="s">
        <v>2752</v>
      </c>
      <c r="E902" s="6" t="s">
        <v>2744</v>
      </c>
      <c r="F902" s="6" t="str">
        <f>HYPERLINK("http://www.deapel.it/","www.deapel.it")</f>
        <v>www.deapel.it</v>
      </c>
    </row>
    <row r="903" spans="1:6" ht="16.95" customHeight="1" x14ac:dyDescent="0.25">
      <c r="A903" s="5" t="s">
        <v>2773</v>
      </c>
      <c r="B903" s="4" t="s">
        <v>2774</v>
      </c>
      <c r="C903" s="4" t="s">
        <v>2748</v>
      </c>
      <c r="D903" s="4" t="s">
        <v>2752</v>
      </c>
      <c r="E903" s="4" t="s">
        <v>2744</v>
      </c>
      <c r="F903" s="4" t="str">
        <f>HYPERLINK("http://www.fapel.com/","www.fapel.com")</f>
        <v>www.fapel.com</v>
      </c>
    </row>
    <row r="904" spans="1:6" ht="16.95" customHeight="1" x14ac:dyDescent="0.25">
      <c r="A904" s="1" t="s">
        <v>2776</v>
      </c>
      <c r="B904" s="6" t="s">
        <v>2777</v>
      </c>
      <c r="C904" s="6" t="s">
        <v>2751</v>
      </c>
      <c r="D904" s="6" t="s">
        <v>2755</v>
      </c>
      <c r="E904" s="6" t="s">
        <v>2750</v>
      </c>
      <c r="F904" s="6" t="str">
        <f>HYPERLINK("http://www.albamoda.it/","www.albamoda.it")</f>
        <v>www.albamoda.it</v>
      </c>
    </row>
    <row r="905" spans="1:6" ht="16.95" customHeight="1" x14ac:dyDescent="0.25">
      <c r="A905" s="5" t="s">
        <v>2778</v>
      </c>
      <c r="B905" s="4" t="s">
        <v>2779</v>
      </c>
      <c r="C905" s="4" t="s">
        <v>2751</v>
      </c>
      <c r="D905" s="4" t="s">
        <v>2780</v>
      </c>
      <c r="E905" s="4" t="s">
        <v>2750</v>
      </c>
      <c r="F905" s="4" t="str">
        <f>HYPERLINK("http://www.dolcastsrl.it/","www.dolcastsrl.it")</f>
        <v>www.dolcastsrl.it</v>
      </c>
    </row>
    <row r="906" spans="1:6" ht="16.95" customHeight="1" x14ac:dyDescent="0.25">
      <c r="A906" s="1" t="s">
        <v>2781</v>
      </c>
      <c r="B906" s="6" t="s">
        <v>2782</v>
      </c>
      <c r="C906" s="6" t="s">
        <v>2751</v>
      </c>
      <c r="D906" s="6" t="s">
        <v>2743</v>
      </c>
      <c r="E906" s="6" t="s">
        <v>2744</v>
      </c>
      <c r="F906" s="6" t="str">
        <f>HYPERLINK("http://www.donifashionlab.it/","www.donifashionlab.it")</f>
        <v>www.donifashionlab.it</v>
      </c>
    </row>
    <row r="907" spans="1:6" ht="16.95" customHeight="1" x14ac:dyDescent="0.25">
      <c r="A907" s="5" t="s">
        <v>2783</v>
      </c>
      <c r="B907" s="4" t="s">
        <v>2784</v>
      </c>
      <c r="C907" s="4" t="s">
        <v>2748</v>
      </c>
      <c r="D907" s="4" t="s">
        <v>2752</v>
      </c>
      <c r="E907" s="4" t="s">
        <v>2744</v>
      </c>
      <c r="F907" s="4" t="str">
        <f>HYPERLINK("http://www.conceriacorradi.com/","http://www.conceriacorradi.com")</f>
        <v>http://www.conceriacorradi.com</v>
      </c>
    </row>
    <row r="908" spans="1:6" ht="16.95" customHeight="1" x14ac:dyDescent="0.25">
      <c r="A908" s="1" t="s">
        <v>2785</v>
      </c>
      <c r="B908" s="6" t="s">
        <v>2786</v>
      </c>
      <c r="C908" s="6" t="s">
        <v>2742</v>
      </c>
      <c r="D908" s="6" t="s">
        <v>2767</v>
      </c>
      <c r="E908" s="6" t="s">
        <v>2744</v>
      </c>
      <c r="F908" s="6" t="str">
        <f>HYPERLINK("http://www.evolfashion.com/","www.evolfashion.com")</f>
        <v>www.evolfashion.com</v>
      </c>
    </row>
    <row r="909" spans="1:6" ht="16.95" customHeight="1" x14ac:dyDescent="0.25">
      <c r="A909" s="5" t="s">
        <v>2787</v>
      </c>
      <c r="B909" s="4" t="s">
        <v>2788</v>
      </c>
      <c r="C909" s="4" t="s">
        <v>2742</v>
      </c>
      <c r="D909" s="4" t="s">
        <v>2789</v>
      </c>
      <c r="E909" s="4" t="s">
        <v>2775</v>
      </c>
      <c r="F909" s="4" t="str">
        <f>HYPERLINK("http://www.bertonivaligeria.it/","www.bertonivaligeria.it")</f>
        <v>www.bertonivaligeria.it</v>
      </c>
    </row>
    <row r="910" spans="1:6" ht="16.95" customHeight="1" x14ac:dyDescent="0.25">
      <c r="A910" s="1" t="s">
        <v>2790</v>
      </c>
      <c r="B910" s="6" t="s">
        <v>2791</v>
      </c>
      <c r="C910" s="6" t="s">
        <v>2748</v>
      </c>
      <c r="D910" s="6" t="s">
        <v>2749</v>
      </c>
      <c r="E910" s="6" t="s">
        <v>2750</v>
      </c>
      <c r="F910" s="6" t="str">
        <f>HYPERLINK("http://www.conceriapokersas.com/","www.conceriapokersas.com")</f>
        <v>www.conceriapokersas.com</v>
      </c>
    </row>
    <row r="911" spans="1:6" ht="16.95" customHeight="1" x14ac:dyDescent="0.25">
      <c r="A911" s="1" t="s">
        <v>2797</v>
      </c>
      <c r="B911" s="6" t="s">
        <v>2798</v>
      </c>
      <c r="C911" s="6" t="s">
        <v>2794</v>
      </c>
      <c r="D911" s="6" t="s">
        <v>2799</v>
      </c>
      <c r="E911" s="6" t="s">
        <v>2793</v>
      </c>
      <c r="F911" s="6" t="str">
        <f>HYPERLINK("http://www.calzaturificionuovariviera.com/","www.calzaturificionuovariviera.com")</f>
        <v>www.calzaturificionuovariviera.com</v>
      </c>
    </row>
    <row r="912" spans="1:6" ht="16.95" customHeight="1" x14ac:dyDescent="0.25">
      <c r="A912" s="5" t="s">
        <v>2800</v>
      </c>
      <c r="B912" s="4" t="s">
        <v>2801</v>
      </c>
      <c r="C912" s="4" t="s">
        <v>2802</v>
      </c>
      <c r="D912" s="4" t="s">
        <v>2799</v>
      </c>
      <c r="E912" s="4" t="s">
        <v>2793</v>
      </c>
      <c r="F912" s="4" t="str">
        <f>HYPERLINK("http://www.civico93.com/","www.civico93.com")</f>
        <v>www.civico93.com</v>
      </c>
    </row>
    <row r="913" spans="1:6" ht="16.95" customHeight="1" x14ac:dyDescent="0.25">
      <c r="A913" s="1" t="s">
        <v>2803</v>
      </c>
      <c r="B913" s="6" t="s">
        <v>2804</v>
      </c>
      <c r="C913" s="6" t="s">
        <v>2802</v>
      </c>
      <c r="D913" s="6" t="s">
        <v>2805</v>
      </c>
      <c r="E913" s="6" t="s">
        <v>2806</v>
      </c>
      <c r="F913" s="6" t="str">
        <f>HYPERLINK("http://dabopelletteria.com/","dabopelletteria.com")</f>
        <v>dabopelletteria.com</v>
      </c>
    </row>
    <row r="914" spans="1:6" ht="16.95" customHeight="1" x14ac:dyDescent="0.25">
      <c r="A914" s="1" t="s">
        <v>2808</v>
      </c>
      <c r="B914" s="6" t="s">
        <v>2809</v>
      </c>
      <c r="C914" s="6" t="s">
        <v>2792</v>
      </c>
      <c r="D914" s="6" t="s">
        <v>2810</v>
      </c>
      <c r="E914" s="6" t="s">
        <v>2811</v>
      </c>
      <c r="F914" s="6" t="str">
        <f>HYPERLINK("http://www.conceriabenvenuti.it/","www.conceriabenvenuti.it")</f>
        <v>www.conceriabenvenuti.it</v>
      </c>
    </row>
    <row r="915" spans="1:6" ht="29.55" customHeight="1" x14ac:dyDescent="0.25">
      <c r="A915" s="1" t="s">
        <v>2814</v>
      </c>
      <c r="B915" s="6" t="s">
        <v>2815</v>
      </c>
      <c r="C915" s="6" t="s">
        <v>2794</v>
      </c>
      <c r="D915" s="6" t="s">
        <v>2816</v>
      </c>
      <c r="E915" s="6" t="s">
        <v>2813</v>
      </c>
      <c r="F915" s="6" t="str">
        <f>HYPERLINK("http://www.voltan1898.com/","http://www.voltan1898.com")</f>
        <v>http://www.voltan1898.com</v>
      </c>
    </row>
    <row r="916" spans="1:6" ht="29.55" customHeight="1" x14ac:dyDescent="0.25">
      <c r="A916" s="5" t="s">
        <v>2818</v>
      </c>
      <c r="B916" s="4" t="s">
        <v>2819</v>
      </c>
      <c r="C916" s="4" t="s">
        <v>2794</v>
      </c>
      <c r="D916" s="4" t="s">
        <v>2820</v>
      </c>
      <c r="E916" s="4" t="s">
        <v>2813</v>
      </c>
      <c r="F916" s="4" t="str">
        <f>HYPERLINK("http://www.treemmecalzature.com/","www.treemmecalzature.com")</f>
        <v>www.treemmecalzature.com</v>
      </c>
    </row>
    <row r="917" spans="1:6" ht="16.95" customHeight="1" x14ac:dyDescent="0.25">
      <c r="A917" s="1" t="s">
        <v>2821</v>
      </c>
      <c r="B917" s="6" t="s">
        <v>2822</v>
      </c>
      <c r="C917" s="6" t="s">
        <v>2794</v>
      </c>
      <c r="D917" s="6" t="s">
        <v>2795</v>
      </c>
      <c r="E917" s="6" t="s">
        <v>2796</v>
      </c>
      <c r="F917" s="6" t="str">
        <f>HYPERLINK("http://bontoni.com/","bontoni.com")</f>
        <v>bontoni.com</v>
      </c>
    </row>
    <row r="918" spans="1:6" ht="16.95" customHeight="1" x14ac:dyDescent="0.25">
      <c r="A918" s="1" t="s">
        <v>2823</v>
      </c>
      <c r="B918" s="6" t="s">
        <v>2824</v>
      </c>
      <c r="C918" s="6" t="s">
        <v>2792</v>
      </c>
      <c r="D918" s="6" t="s">
        <v>2812</v>
      </c>
      <c r="E918" s="6" t="s">
        <v>2813</v>
      </c>
      <c r="F918" s="6" t="str">
        <f>HYPERLINK("http://www.igg-srl.com/","www.igg-srl.com")</f>
        <v>www.igg-srl.com</v>
      </c>
    </row>
    <row r="919" spans="1:6" ht="29.55" customHeight="1" x14ac:dyDescent="0.25">
      <c r="A919" s="1" t="s">
        <v>2825</v>
      </c>
      <c r="B919" s="6" t="s">
        <v>2826</v>
      </c>
      <c r="C919" s="6" t="s">
        <v>2794</v>
      </c>
      <c r="D919" s="6" t="s">
        <v>2816</v>
      </c>
      <c r="E919" s="6" t="s">
        <v>2813</v>
      </c>
      <c r="F919" s="6" t="str">
        <f>HYPERLINK("http://www.pellico.net/","www.pellico.net")</f>
        <v>www.pellico.net</v>
      </c>
    </row>
    <row r="920" spans="1:6" ht="29.55" customHeight="1" x14ac:dyDescent="0.25">
      <c r="A920" s="1" t="s">
        <v>2827</v>
      </c>
      <c r="B920" s="6" t="s">
        <v>2828</v>
      </c>
      <c r="C920" s="6" t="s">
        <v>2807</v>
      </c>
      <c r="D920" s="6" t="s">
        <v>2829</v>
      </c>
      <c r="E920" s="6" t="s">
        <v>2811</v>
      </c>
      <c r="F920" s="6" t="str">
        <f>HYPERLINK("http://madeedesign.com/","madeedesign.com")</f>
        <v>madeedesign.com</v>
      </c>
    </row>
    <row r="921" spans="1:6" ht="29.55" customHeight="1" x14ac:dyDescent="0.25">
      <c r="A921" s="1" t="s">
        <v>2830</v>
      </c>
      <c r="B921" s="6" t="s">
        <v>2831</v>
      </c>
      <c r="C921" s="6" t="s">
        <v>2794</v>
      </c>
      <c r="D921" s="6" t="s">
        <v>2817</v>
      </c>
      <c r="E921" s="6" t="s">
        <v>2811</v>
      </c>
      <c r="F921" s="6" t="str">
        <f>HYPERLINK("http://bellevie.it/","bellevie.it")</f>
        <v>bellevie.it</v>
      </c>
    </row>
    <row r="922" spans="1:6" ht="16.95" customHeight="1" x14ac:dyDescent="0.25">
      <c r="A922" s="5" t="s">
        <v>2832</v>
      </c>
      <c r="B922" s="4" t="s">
        <v>2833</v>
      </c>
      <c r="C922" s="4" t="s">
        <v>2807</v>
      </c>
      <c r="D922" s="4" t="s">
        <v>2817</v>
      </c>
      <c r="E922" s="4" t="s">
        <v>2811</v>
      </c>
      <c r="F922" s="4" t="str">
        <f>HYPERLINK("http://www.guardolificiobieffe.it/","www.guardolificiobieffe.it")</f>
        <v>www.guardolificiobieffe.it</v>
      </c>
    </row>
    <row r="923" spans="1:6" ht="16.95" customHeight="1" x14ac:dyDescent="0.25">
      <c r="A923" s="1" t="s">
        <v>2834</v>
      </c>
      <c r="B923" s="6" t="s">
        <v>2835</v>
      </c>
      <c r="C923" s="6" t="s">
        <v>2794</v>
      </c>
      <c r="D923" s="6" t="s">
        <v>2795</v>
      </c>
      <c r="E923" s="6" t="s">
        <v>2796</v>
      </c>
      <c r="F923" s="6" t="str">
        <f>HYPERLINK("http://it.albertofasciani.it/","it.albertofasciani.it")</f>
        <v>it.albertofasciani.it</v>
      </c>
    </row>
    <row r="924" spans="1:6" ht="16.95" customHeight="1" x14ac:dyDescent="0.25">
      <c r="A924" s="5" t="s">
        <v>2836</v>
      </c>
      <c r="B924" s="4" t="s">
        <v>2837</v>
      </c>
      <c r="C924" s="4" t="s">
        <v>2794</v>
      </c>
      <c r="D924" s="4" t="s">
        <v>2799</v>
      </c>
      <c r="E924" s="4" t="s">
        <v>2793</v>
      </c>
      <c r="F924" s="4" t="str">
        <f>HYPERLINK("http://www.essedonna.it/","www.essedonna.it")</f>
        <v>www.essedonna.it</v>
      </c>
    </row>
    <row r="925" spans="1:6" ht="16.95" customHeight="1" x14ac:dyDescent="0.25">
      <c r="A925" s="1" t="s">
        <v>2838</v>
      </c>
      <c r="B925" s="6" t="s">
        <v>2839</v>
      </c>
      <c r="C925" s="6" t="s">
        <v>2794</v>
      </c>
      <c r="D925" s="6" t="s">
        <v>2840</v>
      </c>
      <c r="E925" s="6" t="s">
        <v>2813</v>
      </c>
      <c r="F925" s="6" t="str">
        <f>HYPERLINK("http://pasderouge.com/","pasderouge.com")</f>
        <v>pasderouge.com</v>
      </c>
    </row>
    <row r="926" spans="1:6" ht="16.95" customHeight="1" x14ac:dyDescent="0.25">
      <c r="A926" s="5" t="s">
        <v>2841</v>
      </c>
      <c r="B926" s="4" t="s">
        <v>2842</v>
      </c>
      <c r="C926" s="4" t="s">
        <v>2794</v>
      </c>
      <c r="D926" s="4" t="s">
        <v>2810</v>
      </c>
      <c r="E926" s="4" t="s">
        <v>2811</v>
      </c>
      <c r="F926" s="4" t="str">
        <f>HYPERLINK("http://www.marossrl.it/","www.marossrl.it")</f>
        <v>www.marossrl.it</v>
      </c>
    </row>
    <row r="927" spans="1:6" ht="16.95" customHeight="1" x14ac:dyDescent="0.25">
      <c r="A927" s="5" t="s">
        <v>2843</v>
      </c>
      <c r="B927" s="4" t="s">
        <v>2844</v>
      </c>
      <c r="C927" s="4" t="s">
        <v>2802</v>
      </c>
      <c r="D927" s="4" t="s">
        <v>2810</v>
      </c>
      <c r="E927" s="4" t="s">
        <v>2811</v>
      </c>
      <c r="F927" s="4" t="str">
        <f>HYPERLINK("http://www.maurizio-taiuti.it/","www.maurizio-taiuti.it")</f>
        <v>www.maurizio-taiuti.it</v>
      </c>
    </row>
    <row r="928" spans="1:6" ht="16.95" customHeight="1" x14ac:dyDescent="0.25">
      <c r="A928" s="5" t="s">
        <v>2848</v>
      </c>
      <c r="B928" s="4" t="s">
        <v>2849</v>
      </c>
      <c r="C928" s="4" t="s">
        <v>2850</v>
      </c>
      <c r="D928" s="4" t="s">
        <v>2851</v>
      </c>
      <c r="E928" s="4" t="s">
        <v>2852</v>
      </c>
      <c r="F928" s="4" t="str">
        <f>HYPERLINK("http://www.al-fasrl.it/","www.al-fasrl.it")</f>
        <v>www.al-fasrl.it</v>
      </c>
    </row>
    <row r="929" spans="1:6" ht="16.95" customHeight="1" x14ac:dyDescent="0.25">
      <c r="A929" s="5" t="s">
        <v>2854</v>
      </c>
      <c r="B929" s="4" t="s">
        <v>2855</v>
      </c>
      <c r="C929" s="4" t="s">
        <v>2856</v>
      </c>
      <c r="D929" s="4" t="s">
        <v>2846</v>
      </c>
      <c r="E929" s="4" t="s">
        <v>2847</v>
      </c>
      <c r="F929" s="4" t="str">
        <f>HYPERLINK("http://www.paoloscaforanapoli.com/","www.paoloscaforanapoli.com")</f>
        <v>www.paoloscaforanapoli.com</v>
      </c>
    </row>
    <row r="930" spans="1:6" ht="16.95" customHeight="1" x14ac:dyDescent="0.25">
      <c r="A930" s="1" t="s">
        <v>2861</v>
      </c>
      <c r="B930" s="6" t="s">
        <v>2862</v>
      </c>
      <c r="C930" s="6" t="s">
        <v>2845</v>
      </c>
      <c r="D930" s="6" t="s">
        <v>2863</v>
      </c>
      <c r="E930" s="6" t="s">
        <v>2853</v>
      </c>
      <c r="F930" s="6" t="str">
        <f>HYPERLINK("http://www.selorgroup.com/","www.selorgroup.com")</f>
        <v>www.selorgroup.com</v>
      </c>
    </row>
    <row r="931" spans="1:6" ht="16.95" customHeight="1" x14ac:dyDescent="0.25">
      <c r="A931" s="1" t="s">
        <v>2864</v>
      </c>
      <c r="B931" s="6" t="s">
        <v>2865</v>
      </c>
      <c r="C931" s="6" t="s">
        <v>2845</v>
      </c>
      <c r="D931" s="6" t="s">
        <v>2866</v>
      </c>
      <c r="E931" s="6" t="s">
        <v>2867</v>
      </c>
      <c r="F931" s="6" t="str">
        <f>HYPERLINK("http://www.loristella.com/","www.loristella.com")</f>
        <v>www.loristella.com</v>
      </c>
    </row>
    <row r="932" spans="1:6" ht="16.95" customHeight="1" x14ac:dyDescent="0.25">
      <c r="A932" s="1" t="s">
        <v>2869</v>
      </c>
      <c r="B932" s="6" t="s">
        <v>2870</v>
      </c>
      <c r="C932" s="6" t="s">
        <v>2850</v>
      </c>
      <c r="D932" s="6" t="s">
        <v>2851</v>
      </c>
      <c r="E932" s="6" t="s">
        <v>2852</v>
      </c>
      <c r="F932" s="6" t="str">
        <f>HYPERLINK("http://conceriailgabbiano.com/","conceriailgabbiano.com")</f>
        <v>conceriailgabbiano.com</v>
      </c>
    </row>
    <row r="933" spans="1:6" ht="16.95" customHeight="1" x14ac:dyDescent="0.25">
      <c r="A933" s="5" t="s">
        <v>2871</v>
      </c>
      <c r="B933" s="4" t="s">
        <v>2872</v>
      </c>
      <c r="C933" s="4" t="s">
        <v>2856</v>
      </c>
      <c r="D933" s="4" t="s">
        <v>2868</v>
      </c>
      <c r="E933" s="4" t="s">
        <v>2852</v>
      </c>
      <c r="F933" s="4" t="str">
        <f>HYPERLINK("http://www.dibeatrice.com/","www.dibeatrice.com")</f>
        <v>www.dibeatrice.com</v>
      </c>
    </row>
    <row r="934" spans="1:6" ht="16.95" customHeight="1" x14ac:dyDescent="0.25">
      <c r="A934" s="1" t="s">
        <v>2873</v>
      </c>
      <c r="B934" s="6" t="s">
        <v>2874</v>
      </c>
      <c r="C934" s="6" t="s">
        <v>2850</v>
      </c>
      <c r="D934" s="6" t="s">
        <v>2875</v>
      </c>
      <c r="E934" s="6" t="s">
        <v>2876</v>
      </c>
      <c r="F934" s="6" t="str">
        <f>HYPERLINK("http://www.terzipel.it/","www.terzipel.it")</f>
        <v>www.terzipel.it</v>
      </c>
    </row>
    <row r="935" spans="1:6" ht="16.95" customHeight="1" x14ac:dyDescent="0.25">
      <c r="A935" s="5" t="s">
        <v>2877</v>
      </c>
      <c r="B935" s="4" t="s">
        <v>2878</v>
      </c>
      <c r="C935" s="4" t="s">
        <v>2856</v>
      </c>
      <c r="D935" s="4" t="s">
        <v>2879</v>
      </c>
      <c r="E935" s="4" t="s">
        <v>2880</v>
      </c>
      <c r="F935" s="4" t="str">
        <f>HYPERLINK("http://www.calzaturificionoe.it/","www.calzaturificionoe.it")</f>
        <v>www.calzaturificionoe.it</v>
      </c>
    </row>
    <row r="936" spans="1:6" ht="16.95" customHeight="1" x14ac:dyDescent="0.25">
      <c r="A936" s="1" t="s">
        <v>2881</v>
      </c>
      <c r="B936" s="6" t="s">
        <v>2882</v>
      </c>
      <c r="C936" s="6" t="s">
        <v>2856</v>
      </c>
      <c r="D936" s="6" t="s">
        <v>2883</v>
      </c>
      <c r="E936" s="6" t="s">
        <v>2852</v>
      </c>
      <c r="F936" s="6" t="str">
        <f>HYPERLINK("http://www.sabshoes.it/","www.sabshoes.it")</f>
        <v>www.sabshoes.it</v>
      </c>
    </row>
    <row r="937" spans="1:6" ht="16.95" customHeight="1" x14ac:dyDescent="0.25">
      <c r="A937" s="5" t="s">
        <v>2884</v>
      </c>
      <c r="B937" s="4" t="s">
        <v>2885</v>
      </c>
      <c r="C937" s="4" t="s">
        <v>2886</v>
      </c>
      <c r="D937" s="4" t="s">
        <v>2857</v>
      </c>
      <c r="E937" s="4" t="s">
        <v>2858</v>
      </c>
      <c r="F937" s="4" t="str">
        <f>HYPERLINK("http://www.superflexsrl.com/","www.superflexsrl.com")</f>
        <v>www.superflexsrl.com</v>
      </c>
    </row>
    <row r="938" spans="1:6" ht="16.95" customHeight="1" x14ac:dyDescent="0.25">
      <c r="A938" s="1" t="s">
        <v>2887</v>
      </c>
      <c r="B938" s="6" t="s">
        <v>2888</v>
      </c>
      <c r="C938" s="6" t="s">
        <v>2889</v>
      </c>
      <c r="D938" s="6" t="s">
        <v>2868</v>
      </c>
      <c r="E938" s="6" t="s">
        <v>2852</v>
      </c>
      <c r="F938" s="6" t="str">
        <f>HYPERLINK("http://www.claudiafirenze.com/","www.claudiafirenze.com")</f>
        <v>www.claudiafirenze.com</v>
      </c>
    </row>
    <row r="939" spans="1:6" ht="16.95" customHeight="1" x14ac:dyDescent="0.25">
      <c r="A939" s="1" t="s">
        <v>2890</v>
      </c>
      <c r="B939" s="6" t="s">
        <v>2891</v>
      </c>
      <c r="C939" s="6" t="s">
        <v>2845</v>
      </c>
      <c r="D939" s="6" t="s">
        <v>2892</v>
      </c>
      <c r="E939" s="6" t="s">
        <v>2876</v>
      </c>
      <c r="F939" s="6" t="str">
        <f>HYPERLINK("http://www.pelletteriaveneta.com/","www.pelletteriaveneta.com")</f>
        <v>www.pelletteriaveneta.com</v>
      </c>
    </row>
    <row r="940" spans="1:6" ht="16.95" customHeight="1" x14ac:dyDescent="0.25">
      <c r="A940" s="5" t="s">
        <v>2893</v>
      </c>
      <c r="B940" s="4" t="s">
        <v>2894</v>
      </c>
      <c r="C940" s="4" t="s">
        <v>2856</v>
      </c>
      <c r="D940" s="4" t="s">
        <v>2895</v>
      </c>
      <c r="E940" s="4" t="s">
        <v>2876</v>
      </c>
      <c r="F940" s="4" t="str">
        <f>HYPERLINK("http://tuccitime.com/","tuccitime.com")</f>
        <v>tuccitime.com</v>
      </c>
    </row>
    <row r="941" spans="1:6" ht="16.95" customHeight="1" x14ac:dyDescent="0.25">
      <c r="A941" s="1" t="s">
        <v>2896</v>
      </c>
      <c r="B941" s="6" t="s">
        <v>2897</v>
      </c>
      <c r="C941" s="6" t="s">
        <v>2845</v>
      </c>
      <c r="D941" s="6" t="s">
        <v>2868</v>
      </c>
      <c r="E941" s="6" t="s">
        <v>2852</v>
      </c>
      <c r="F941" s="6" t="str">
        <f>HYPERLINK("http://www.mbrc.it/","www.mbrc.it")</f>
        <v>www.mbrc.it</v>
      </c>
    </row>
    <row r="942" spans="1:6" ht="29.55" customHeight="1" x14ac:dyDescent="0.25">
      <c r="A942" s="5" t="s">
        <v>2898</v>
      </c>
      <c r="B942" s="4" t="s">
        <v>2899</v>
      </c>
      <c r="C942" s="4" t="s">
        <v>2850</v>
      </c>
      <c r="D942" s="4" t="s">
        <v>2851</v>
      </c>
      <c r="E942" s="4" t="s">
        <v>2852</v>
      </c>
      <c r="F942" s="4" t="str">
        <f>HYPERLINK("http://www.conceriaorsamaggiore.it/","www.conceriaorsamaggiore.it")</f>
        <v>www.conceriaorsamaggiore.it</v>
      </c>
    </row>
    <row r="943" spans="1:6" ht="16.95" customHeight="1" x14ac:dyDescent="0.25">
      <c r="A943" s="1" t="s">
        <v>2900</v>
      </c>
      <c r="B943" s="6" t="s">
        <v>2901</v>
      </c>
      <c r="C943" s="6" t="s">
        <v>2856</v>
      </c>
      <c r="D943" s="6" t="s">
        <v>2859</v>
      </c>
      <c r="E943" s="6" t="s">
        <v>2860</v>
      </c>
      <c r="F943" s="6" t="str">
        <f>HYPERLINK("http://etreshoes.it/","etreshoes.it")</f>
        <v>etreshoes.it</v>
      </c>
    </row>
    <row r="944" spans="1:6" ht="16.95" customHeight="1" x14ac:dyDescent="0.25">
      <c r="A944" s="5" t="s">
        <v>2902</v>
      </c>
      <c r="B944" s="4" t="s">
        <v>2903</v>
      </c>
      <c r="C944" s="4" t="s">
        <v>2850</v>
      </c>
      <c r="D944" s="4" t="s">
        <v>2851</v>
      </c>
      <c r="E944" s="4" t="s">
        <v>2852</v>
      </c>
      <c r="F944" s="4" t="str">
        <f>HYPERLINK("http://www.laboratoriobest.com/","www.laboratoriobest.com")</f>
        <v>www.laboratoriobest.com</v>
      </c>
    </row>
    <row r="945" spans="1:6" ht="29.55" customHeight="1" x14ac:dyDescent="0.25">
      <c r="A945" s="1" t="s">
        <v>2904</v>
      </c>
      <c r="B945" s="6" t="s">
        <v>2905</v>
      </c>
      <c r="C945" s="6" t="s">
        <v>2845</v>
      </c>
      <c r="D945" s="6" t="s">
        <v>2906</v>
      </c>
      <c r="E945" s="6" t="s">
        <v>2852</v>
      </c>
      <c r="F945" s="6" t="str">
        <f>HYPERLINK("http://romy-pelletterie-srl-01819370519.quantofattura.com/","romy-pelletterie-srl-01819370519.quantofattura.com")</f>
        <v>romy-pelletterie-srl-01819370519.quantofattura.com</v>
      </c>
    </row>
    <row r="946" spans="1:6" ht="16.95" customHeight="1" x14ac:dyDescent="0.25">
      <c r="A946" s="5" t="s">
        <v>2907</v>
      </c>
      <c r="B946" s="4" t="s">
        <v>2908</v>
      </c>
      <c r="C946" s="4" t="s">
        <v>2856</v>
      </c>
      <c r="D946" s="4" t="s">
        <v>2909</v>
      </c>
      <c r="E946" s="4" t="s">
        <v>2876</v>
      </c>
      <c r="F946" s="4" t="str">
        <f>HYPERLINK("http://www.bihosmedical.it/","www.bihosmedical.it")</f>
        <v>www.bihosmedical.it</v>
      </c>
    </row>
    <row r="947" spans="1:6" ht="29.55" customHeight="1" x14ac:dyDescent="0.25">
      <c r="A947" s="1" t="s">
        <v>2910</v>
      </c>
      <c r="B947" s="6" t="s">
        <v>2911</v>
      </c>
      <c r="C947" s="6" t="s">
        <v>2912</v>
      </c>
      <c r="D947" s="6" t="s">
        <v>2913</v>
      </c>
      <c r="E947" s="6" t="s">
        <v>2914</v>
      </c>
      <c r="F947" s="6" t="str">
        <f>HYPERLINK("http://www.bettegacondizionaturapelli.it/","www.bettegacondizionaturapelli.it")</f>
        <v>www.bettegacondizionaturapelli.it</v>
      </c>
    </row>
    <row r="948" spans="1:6" ht="29.55" customHeight="1" x14ac:dyDescent="0.25">
      <c r="A948" s="1" t="s">
        <v>2918</v>
      </c>
      <c r="B948" s="6" t="s">
        <v>2919</v>
      </c>
      <c r="C948" s="6" t="s">
        <v>2920</v>
      </c>
      <c r="D948" s="6" t="s">
        <v>2921</v>
      </c>
      <c r="E948" s="6" t="s">
        <v>2922</v>
      </c>
      <c r="F948" s="6" t="str">
        <f>HYPERLINK("http://www.cinziavalle.com/","www.cinziavalle.com")</f>
        <v>www.cinziavalle.com</v>
      </c>
    </row>
    <row r="949" spans="1:6" ht="16.95" customHeight="1" x14ac:dyDescent="0.25">
      <c r="A949" s="1" t="s">
        <v>2924</v>
      </c>
      <c r="B949" s="6" t="s">
        <v>2925</v>
      </c>
      <c r="C949" s="6" t="s">
        <v>2920</v>
      </c>
      <c r="D949" s="6" t="s">
        <v>2926</v>
      </c>
      <c r="E949" s="6" t="s">
        <v>2922</v>
      </c>
      <c r="F949" s="6" t="str">
        <f>HYPERLINK("http://www.bvmshoes.it/","http://www.bvmshoes.it")</f>
        <v>http://www.bvmshoes.it</v>
      </c>
    </row>
    <row r="950" spans="1:6" ht="16.95" customHeight="1" x14ac:dyDescent="0.25">
      <c r="A950" s="1" t="s">
        <v>2927</v>
      </c>
      <c r="B950" s="6" t="s">
        <v>2928</v>
      </c>
      <c r="C950" s="6" t="s">
        <v>2920</v>
      </c>
      <c r="D950" s="6" t="s">
        <v>2929</v>
      </c>
      <c r="E950" s="6" t="s">
        <v>2923</v>
      </c>
      <c r="F950" s="6" t="str">
        <f>HYPERLINK("http://www.leatherluxury.it/","www.leatherluxury.it")</f>
        <v>www.leatherluxury.it</v>
      </c>
    </row>
    <row r="951" spans="1:6" ht="16.95" customHeight="1" x14ac:dyDescent="0.25">
      <c r="A951" s="1" t="s">
        <v>2930</v>
      </c>
      <c r="B951" s="6" t="s">
        <v>2931</v>
      </c>
      <c r="C951" s="6" t="s">
        <v>2920</v>
      </c>
      <c r="D951" s="6" t="s">
        <v>2921</v>
      </c>
      <c r="E951" s="6" t="s">
        <v>2922</v>
      </c>
      <c r="F951" s="6" t="str">
        <f>HYPERLINK("http://www.sergiolevantesi.it/","www.sergiolevantesi.it")</f>
        <v>www.sergiolevantesi.it</v>
      </c>
    </row>
    <row r="952" spans="1:6" ht="16.95" customHeight="1" x14ac:dyDescent="0.25">
      <c r="A952" s="5" t="s">
        <v>2932</v>
      </c>
      <c r="B952" s="4" t="s">
        <v>2933</v>
      </c>
      <c r="C952" s="4" t="s">
        <v>2912</v>
      </c>
      <c r="D952" s="4" t="s">
        <v>2934</v>
      </c>
      <c r="E952" s="4" t="s">
        <v>2923</v>
      </c>
      <c r="F952" s="4" t="str">
        <f>HYPERLINK("http://italvenpelli.it/","italvenpelli.it")</f>
        <v>italvenpelli.it</v>
      </c>
    </row>
    <row r="953" spans="1:6" ht="16.95" customHeight="1" x14ac:dyDescent="0.25">
      <c r="A953" s="5" t="s">
        <v>2935</v>
      </c>
      <c r="B953" s="4" t="s">
        <v>2936</v>
      </c>
      <c r="C953" s="4" t="s">
        <v>2920</v>
      </c>
      <c r="D953" s="4" t="s">
        <v>2937</v>
      </c>
      <c r="E953" s="4" t="s">
        <v>2914</v>
      </c>
      <c r="F953" s="4" t="str">
        <f>HYPERLINK("http://www.goldfreedomsrl.com/","www.goldfreedomsrl.com")</f>
        <v>www.goldfreedomsrl.com</v>
      </c>
    </row>
    <row r="954" spans="1:6" ht="16.95" customHeight="1" x14ac:dyDescent="0.25">
      <c r="A954" s="1" t="s">
        <v>2938</v>
      </c>
      <c r="B954" s="6" t="s">
        <v>2939</v>
      </c>
      <c r="C954" s="6" t="s">
        <v>2920</v>
      </c>
      <c r="D954" s="6" t="s">
        <v>2940</v>
      </c>
      <c r="E954" s="6" t="s">
        <v>2914</v>
      </c>
      <c r="F954" s="6" t="str">
        <f>HYPERLINK("http://www.nipmar.it/","www.nipmar.it")</f>
        <v>www.nipmar.it</v>
      </c>
    </row>
    <row r="955" spans="1:6" ht="29.55" customHeight="1" x14ac:dyDescent="0.25">
      <c r="A955" s="1" t="s">
        <v>2943</v>
      </c>
      <c r="B955" s="6" t="s">
        <v>2944</v>
      </c>
      <c r="C955" s="6" t="s">
        <v>2942</v>
      </c>
      <c r="D955" s="6" t="s">
        <v>2945</v>
      </c>
      <c r="E955" s="6" t="s">
        <v>2914</v>
      </c>
      <c r="F955" s="6" t="str">
        <f>HYPERLINK("http://www.brokersrl.it/","www.brokersrl.it")</f>
        <v>www.brokersrl.it</v>
      </c>
    </row>
    <row r="956" spans="1:6" ht="16.95" customHeight="1" x14ac:dyDescent="0.25">
      <c r="A956" s="5" t="s">
        <v>2946</v>
      </c>
      <c r="B956" s="4" t="s">
        <v>2947</v>
      </c>
      <c r="C956" s="4" t="s">
        <v>2912</v>
      </c>
      <c r="D956" s="4" t="s">
        <v>2948</v>
      </c>
      <c r="E956" s="4" t="s">
        <v>2941</v>
      </c>
      <c r="F956" s="4" t="str">
        <f>HYPERLINK("http://www.conceriacotina.com/","www.conceriacotina.com")</f>
        <v>www.conceriacotina.com</v>
      </c>
    </row>
    <row r="957" spans="1:6" ht="29.55" customHeight="1" x14ac:dyDescent="0.25">
      <c r="A957" s="1" t="s">
        <v>2949</v>
      </c>
      <c r="B957" s="6" t="s">
        <v>2950</v>
      </c>
      <c r="C957" s="6" t="s">
        <v>2920</v>
      </c>
      <c r="D957" s="6" t="s">
        <v>2951</v>
      </c>
      <c r="E957" s="6" t="s">
        <v>2941</v>
      </c>
      <c r="F957" s="6" t="str">
        <f>HYPERLINK("http://www.confortshoes.it/","www.confortshoes.it")</f>
        <v>www.confortshoes.it</v>
      </c>
    </row>
    <row r="958" spans="1:6" ht="29.55" customHeight="1" x14ac:dyDescent="0.25">
      <c r="A958" s="5" t="s">
        <v>2952</v>
      </c>
      <c r="B958" s="4" t="s">
        <v>2953</v>
      </c>
      <c r="C958" s="4" t="s">
        <v>2954</v>
      </c>
      <c r="D958" s="4" t="s">
        <v>2916</v>
      </c>
      <c r="E958" s="4" t="s">
        <v>2917</v>
      </c>
      <c r="F958" s="4" t="str">
        <f>HYPERLINK("http://www.solettificiocompagnone.it/","www.solettificiocompagnone.it")</f>
        <v>www.solettificiocompagnone.it</v>
      </c>
    </row>
    <row r="959" spans="1:6" ht="16.95" customHeight="1" x14ac:dyDescent="0.25">
      <c r="A959" s="5" t="s">
        <v>2955</v>
      </c>
      <c r="B959" s="4" t="s">
        <v>2956</v>
      </c>
      <c r="C959" s="4" t="s">
        <v>2915</v>
      </c>
      <c r="D959" s="4" t="s">
        <v>2957</v>
      </c>
      <c r="E959" s="4" t="s">
        <v>2917</v>
      </c>
      <c r="F959" s="4" t="str">
        <f>HYPERLINK("http://www.andrearossimilano.it/","www.andrearossimilano.it")</f>
        <v>www.andrearossimilano.it</v>
      </c>
    </row>
    <row r="960" spans="1:6" ht="16.95" customHeight="1" x14ac:dyDescent="0.25">
      <c r="A960" s="5" t="s">
        <v>2958</v>
      </c>
      <c r="B960" s="4" t="s">
        <v>2959</v>
      </c>
      <c r="C960" s="4" t="s">
        <v>2920</v>
      </c>
      <c r="D960" s="4" t="s">
        <v>2960</v>
      </c>
      <c r="E960" s="4" t="s">
        <v>2941</v>
      </c>
      <c r="F960" s="4" t="str">
        <f>HYPERLINK("http://www.gramarshoes.it/","www.gramarshoes.it")</f>
        <v>www.gramarshoes.it</v>
      </c>
    </row>
    <row r="961" spans="1:6" ht="16.95" customHeight="1" x14ac:dyDescent="0.25">
      <c r="A961" s="5" t="s">
        <v>2961</v>
      </c>
      <c r="B961" s="4" t="s">
        <v>2962</v>
      </c>
      <c r="C961" s="4" t="s">
        <v>2912</v>
      </c>
      <c r="D961" s="4" t="s">
        <v>2934</v>
      </c>
      <c r="E961" s="4" t="s">
        <v>2923</v>
      </c>
      <c r="F961" s="4" t="str">
        <f>HYPERLINK("http://www.leatherinstock.it/","www.leatherinstock.it")</f>
        <v>www.leatherinstock.it</v>
      </c>
    </row>
    <row r="962" spans="1:6" ht="29.55" customHeight="1" x14ac:dyDescent="0.25">
      <c r="A962" s="1" t="s">
        <v>2963</v>
      </c>
      <c r="B962" s="6" t="s">
        <v>2964</v>
      </c>
      <c r="C962" s="6" t="s">
        <v>2965</v>
      </c>
      <c r="D962" s="6" t="s">
        <v>2966</v>
      </c>
      <c r="E962" s="6" t="s">
        <v>2967</v>
      </c>
      <c r="F962" s="6" t="str">
        <f>HYPERLINK("http://www.sergiograsso.it/","www.sergiograsso.it")</f>
        <v>www.sergiograsso.it</v>
      </c>
    </row>
    <row r="963" spans="1:6" ht="16.95" customHeight="1" x14ac:dyDescent="0.25">
      <c r="A963" s="1" t="s">
        <v>2969</v>
      </c>
      <c r="B963" s="6" t="s">
        <v>2970</v>
      </c>
      <c r="C963" s="6" t="s">
        <v>2965</v>
      </c>
      <c r="D963" s="6" t="s">
        <v>2971</v>
      </c>
      <c r="E963" s="6" t="s">
        <v>2972</v>
      </c>
      <c r="F963" s="6" t="str">
        <f>HYPERLINK("http://www.pepechildrenshoes.com/","www.pepechildrenshoes.com")</f>
        <v>www.pepechildrenshoes.com</v>
      </c>
    </row>
    <row r="964" spans="1:6" ht="16.95" customHeight="1" x14ac:dyDescent="0.25">
      <c r="A964" s="1" t="s">
        <v>2976</v>
      </c>
      <c r="B964" s="6" t="s">
        <v>2977</v>
      </c>
      <c r="C964" s="6" t="s">
        <v>2978</v>
      </c>
      <c r="D964" s="6" t="s">
        <v>2979</v>
      </c>
      <c r="E964" s="6" t="s">
        <v>2980</v>
      </c>
      <c r="F964" s="6" t="str">
        <f>HYPERLINK("http://www.eneasrl.com/","www.eneasrl.com")</f>
        <v>www.eneasrl.com</v>
      </c>
    </row>
    <row r="965" spans="1:6" ht="16.95" customHeight="1" x14ac:dyDescent="0.25">
      <c r="A965" s="5" t="s">
        <v>2981</v>
      </c>
      <c r="B965" s="4" t="s">
        <v>2982</v>
      </c>
      <c r="C965" s="4" t="s">
        <v>2965</v>
      </c>
      <c r="D965" s="4" t="s">
        <v>2979</v>
      </c>
      <c r="E965" s="4" t="s">
        <v>2980</v>
      </c>
      <c r="F965" s="4" t="str">
        <f>HYPERLINK("http://www.corvari.it/","www.corvari.it")</f>
        <v>www.corvari.it</v>
      </c>
    </row>
    <row r="966" spans="1:6" ht="29.55" customHeight="1" x14ac:dyDescent="0.25">
      <c r="A966" s="5" t="s">
        <v>2984</v>
      </c>
      <c r="B966" s="4" t="s">
        <v>2985</v>
      </c>
      <c r="C966" s="4" t="s">
        <v>2973</v>
      </c>
      <c r="D966" s="4" t="s">
        <v>2974</v>
      </c>
      <c r="E966" s="4" t="s">
        <v>2975</v>
      </c>
      <c r="F966" s="4" t="str">
        <f>HYPERLINK("http://www.pdpelletteria.com/","www.pdpelletteria.com")</f>
        <v>www.pdpelletteria.com</v>
      </c>
    </row>
    <row r="967" spans="1:6" ht="16.95" customHeight="1" x14ac:dyDescent="0.25">
      <c r="A967" s="5" t="s">
        <v>2986</v>
      </c>
      <c r="B967" s="4" t="s">
        <v>2987</v>
      </c>
      <c r="C967" s="4" t="s">
        <v>2978</v>
      </c>
      <c r="D967" s="4" t="s">
        <v>2979</v>
      </c>
      <c r="E967" s="4" t="s">
        <v>2980</v>
      </c>
      <c r="F967" s="4" t="str">
        <f>HYPERLINK("http://www.sneaknit.it/","www.sneaknit.it")</f>
        <v>www.sneaknit.it</v>
      </c>
    </row>
    <row r="968" spans="1:6" ht="16.95" customHeight="1" x14ac:dyDescent="0.25">
      <c r="A968" s="1" t="s">
        <v>2988</v>
      </c>
      <c r="B968" s="6" t="s">
        <v>2989</v>
      </c>
      <c r="C968" s="6" t="s">
        <v>2978</v>
      </c>
      <c r="D968" s="6" t="s">
        <v>2990</v>
      </c>
      <c r="E968" s="6" t="s">
        <v>2991</v>
      </c>
      <c r="F968" s="6" t="str">
        <f>HYPERLINK("http://www.suolificiodangelo.it/","www.suolificiodangelo.it")</f>
        <v>www.suolificiodangelo.it</v>
      </c>
    </row>
    <row r="969" spans="1:6" ht="16.95" customHeight="1" x14ac:dyDescent="0.25">
      <c r="A969" s="1" t="s">
        <v>2992</v>
      </c>
      <c r="B969" s="6" t="s">
        <v>2993</v>
      </c>
      <c r="C969" s="6" t="s">
        <v>2968</v>
      </c>
      <c r="D969" s="6" t="s">
        <v>2983</v>
      </c>
      <c r="E969" s="6" t="s">
        <v>2975</v>
      </c>
      <c r="F969" s="6" t="str">
        <f>HYPERLINK("http://www.kimoco.it/","www.kimoco.it")</f>
        <v>www.kimoco.it</v>
      </c>
    </row>
    <row r="970" spans="1:6" ht="16.95" customHeight="1" x14ac:dyDescent="0.25">
      <c r="A970" s="5" t="s">
        <v>2994</v>
      </c>
      <c r="B970" s="4" t="s">
        <v>2995</v>
      </c>
      <c r="C970" s="4" t="s">
        <v>2978</v>
      </c>
      <c r="D970" s="4" t="s">
        <v>2979</v>
      </c>
      <c r="E970" s="4" t="s">
        <v>2980</v>
      </c>
      <c r="F970" s="4" t="str">
        <f>HYPERLINK("http://www.solettificiosolea.it/","www.solettificiosolea.it")</f>
        <v>www.solettificiosolea.it</v>
      </c>
    </row>
    <row r="971" spans="1:6" ht="16.95" customHeight="1" x14ac:dyDescent="0.25">
      <c r="A971" s="1" t="s">
        <v>2996</v>
      </c>
      <c r="B971" s="6" t="s">
        <v>2997</v>
      </c>
      <c r="C971" s="6" t="s">
        <v>2965</v>
      </c>
      <c r="D971" s="6" t="s">
        <v>2998</v>
      </c>
      <c r="E971" s="6" t="s">
        <v>2999</v>
      </c>
      <c r="F971" s="6" t="str">
        <f>HYPERLINK("http://www.bricklaneshoes.it/","www.bricklaneshoes.it")</f>
        <v>www.bricklaneshoes.it</v>
      </c>
    </row>
    <row r="972" spans="1:6" ht="16.95" customHeight="1" x14ac:dyDescent="0.25">
      <c r="A972" s="1" t="s">
        <v>3000</v>
      </c>
      <c r="B972" s="6" t="s">
        <v>3001</v>
      </c>
      <c r="C972" s="6" t="s">
        <v>3002</v>
      </c>
      <c r="D972" s="6" t="s">
        <v>3003</v>
      </c>
      <c r="E972" s="6" t="s">
        <v>2972</v>
      </c>
      <c r="F972" s="6" t="str">
        <f>HYPERLINK("http://www.arcier.com/","www.arcier.com")</f>
        <v>www.arcier.com</v>
      </c>
    </row>
    <row r="973" spans="1:6" ht="16.95" customHeight="1" x14ac:dyDescent="0.25">
      <c r="A973" s="5" t="s">
        <v>3004</v>
      </c>
      <c r="B973" s="4" t="s">
        <v>3005</v>
      </c>
      <c r="C973" s="4" t="s">
        <v>2965</v>
      </c>
      <c r="D973" s="4" t="s">
        <v>2979</v>
      </c>
      <c r="E973" s="4" t="s">
        <v>2980</v>
      </c>
      <c r="F973" s="4" t="str">
        <f>HYPERLINK("http://gimez.it/","gimez.it")</f>
        <v>gimez.it</v>
      </c>
    </row>
    <row r="974" spans="1:6" ht="29.55" customHeight="1" x14ac:dyDescent="0.25">
      <c r="A974" s="1" t="s">
        <v>3006</v>
      </c>
      <c r="B974" s="6" t="s">
        <v>3007</v>
      </c>
      <c r="C974" s="6" t="s">
        <v>2965</v>
      </c>
      <c r="D974" s="6" t="s">
        <v>3008</v>
      </c>
      <c r="E974" s="6" t="s">
        <v>2967</v>
      </c>
      <c r="F974" s="6" t="str">
        <f>HYPERLINK("http://www.bressanshoes.com/","www.bressanshoes.com")</f>
        <v>www.bressanshoes.com</v>
      </c>
    </row>
    <row r="975" spans="1:6" ht="16.95" customHeight="1" x14ac:dyDescent="0.25">
      <c r="A975" s="5" t="s">
        <v>3009</v>
      </c>
      <c r="B975" s="4" t="s">
        <v>3010</v>
      </c>
      <c r="C975" s="4" t="s">
        <v>2973</v>
      </c>
      <c r="D975" s="4" t="s">
        <v>3011</v>
      </c>
      <c r="E975" s="4" t="s">
        <v>2991</v>
      </c>
      <c r="F975" s="4" t="str">
        <f>HYPERLINK("http://innueitalia.it/","innueitalia.it")</f>
        <v>innueitalia.it</v>
      </c>
    </row>
    <row r="976" spans="1:6" ht="16.95" customHeight="1" x14ac:dyDescent="0.25">
      <c r="A976" s="1" t="s">
        <v>3012</v>
      </c>
      <c r="B976" s="6" t="s">
        <v>3013</v>
      </c>
      <c r="C976" s="6" t="s">
        <v>2968</v>
      </c>
      <c r="D976" s="6" t="s">
        <v>3014</v>
      </c>
      <c r="E976" s="6" t="s">
        <v>2967</v>
      </c>
      <c r="F976" s="6" t="str">
        <f>HYPERLINK("http://fblpelli.it/","fblpelli.it")</f>
        <v>fblpelli.it</v>
      </c>
    </row>
    <row r="977" spans="1:6" ht="16.95" customHeight="1" x14ac:dyDescent="0.25">
      <c r="A977" s="5" t="s">
        <v>3015</v>
      </c>
      <c r="B977" s="4" t="s">
        <v>3016</v>
      </c>
      <c r="C977" s="4" t="s">
        <v>2968</v>
      </c>
      <c r="D977" s="4" t="s">
        <v>3014</v>
      </c>
      <c r="E977" s="4" t="s">
        <v>2967</v>
      </c>
      <c r="F977" s="4" t="str">
        <f>HYPERLINK("http://www.carbipel.com/","www.carbipel.com")</f>
        <v>www.carbipel.com</v>
      </c>
    </row>
    <row r="978" spans="1:6" ht="16.95" customHeight="1" x14ac:dyDescent="0.25">
      <c r="A978" s="5" t="s">
        <v>3017</v>
      </c>
      <c r="B978" s="4" t="s">
        <v>3018</v>
      </c>
      <c r="C978" s="4" t="s">
        <v>2968</v>
      </c>
      <c r="D978" s="4" t="s">
        <v>2983</v>
      </c>
      <c r="E978" s="4" t="s">
        <v>2975</v>
      </c>
      <c r="F978" s="4" t="str">
        <f>HYPERLINK("http://odeonpellami.it/","odeonpellami.it")</f>
        <v>odeonpellami.it</v>
      </c>
    </row>
    <row r="979" spans="1:6" ht="16.95" customHeight="1" x14ac:dyDescent="0.25">
      <c r="A979" s="1" t="s">
        <v>3019</v>
      </c>
      <c r="B979" s="6" t="s">
        <v>3020</v>
      </c>
      <c r="C979" s="6" t="s">
        <v>2978</v>
      </c>
      <c r="D979" s="6" t="s">
        <v>3021</v>
      </c>
      <c r="E979" s="6" t="s">
        <v>2967</v>
      </c>
      <c r="F979" s="6" t="str">
        <f>HYPERLINK("http://www.nemesisrl.org/","www.nemesisrl.org")</f>
        <v>www.nemesisrl.org</v>
      </c>
    </row>
    <row r="980" spans="1:6" ht="16.95" customHeight="1" x14ac:dyDescent="0.25">
      <c r="A980" s="5" t="s">
        <v>3022</v>
      </c>
      <c r="B980" s="4" t="s">
        <v>3023</v>
      </c>
      <c r="C980" s="4" t="s">
        <v>2965</v>
      </c>
      <c r="D980" s="4" t="s">
        <v>2974</v>
      </c>
      <c r="E980" s="4" t="s">
        <v>2975</v>
      </c>
      <c r="F980" s="4" t="str">
        <f>HYPERLINK("http://www.reposa.it/","www.reposa.it")</f>
        <v>www.reposa.it</v>
      </c>
    </row>
    <row r="981" spans="1:6" ht="16.95" customHeight="1" x14ac:dyDescent="0.25">
      <c r="A981" s="5" t="s">
        <v>3024</v>
      </c>
      <c r="B981" s="4" t="s">
        <v>3025</v>
      </c>
      <c r="C981" s="4" t="s">
        <v>2965</v>
      </c>
      <c r="D981" s="4" t="s">
        <v>3021</v>
      </c>
      <c r="E981" s="4" t="s">
        <v>2967</v>
      </c>
      <c r="F981" s="4" t="str">
        <f>HYPERLINK("http://agostini.shoes/","agostini.shoes")</f>
        <v>agostini.shoes</v>
      </c>
    </row>
    <row r="982" spans="1:6" ht="16.95" customHeight="1" x14ac:dyDescent="0.25">
      <c r="A982" s="5" t="s">
        <v>3027</v>
      </c>
      <c r="B982" s="4" t="s">
        <v>3028</v>
      </c>
      <c r="C982" s="4" t="s">
        <v>3029</v>
      </c>
      <c r="D982" s="4" t="s">
        <v>3030</v>
      </c>
      <c r="E982" s="4" t="s">
        <v>3031</v>
      </c>
      <c r="F982" s="4" t="str">
        <f>HYPERLINK("http://www.newlorima.it/","www.newlorima.it")</f>
        <v>www.newlorima.it</v>
      </c>
    </row>
    <row r="983" spans="1:6" ht="29.55" customHeight="1" x14ac:dyDescent="0.25">
      <c r="A983" s="1" t="s">
        <v>3034</v>
      </c>
      <c r="B983" s="6" t="s">
        <v>3035</v>
      </c>
      <c r="C983" s="6" t="s">
        <v>3026</v>
      </c>
      <c r="D983" s="6" t="s">
        <v>3036</v>
      </c>
      <c r="E983" s="6" t="s">
        <v>3037</v>
      </c>
      <c r="F983" s="6" t="str">
        <f>HYPERLINK("http://rgshoes.it/","rgshoes.it")</f>
        <v>rgshoes.it</v>
      </c>
    </row>
    <row r="984" spans="1:6" ht="16.95" customHeight="1" x14ac:dyDescent="0.25">
      <c r="A984" s="1" t="s">
        <v>3040</v>
      </c>
      <c r="B984" s="6" t="s">
        <v>3041</v>
      </c>
      <c r="C984" s="6" t="s">
        <v>3026</v>
      </c>
      <c r="D984" s="6" t="s">
        <v>3042</v>
      </c>
      <c r="E984" s="6" t="s">
        <v>3037</v>
      </c>
      <c r="F984" s="6" t="str">
        <f>HYPERLINK("http://www.bettis.it/","www.bettis.it")</f>
        <v>www.bettis.it</v>
      </c>
    </row>
    <row r="985" spans="1:6" ht="16.95" customHeight="1" x14ac:dyDescent="0.25">
      <c r="A985" s="1" t="s">
        <v>3045</v>
      </c>
      <c r="B985" s="6" t="s">
        <v>3046</v>
      </c>
      <c r="C985" s="6" t="s">
        <v>3047</v>
      </c>
      <c r="D985" s="6" t="s">
        <v>3048</v>
      </c>
      <c r="E985" s="6" t="s">
        <v>3031</v>
      </c>
      <c r="F985" s="6" t="str">
        <f>HYPERLINK("http://www.laviafirenze.com/","www.laviafirenze.com")</f>
        <v>www.laviafirenze.com</v>
      </c>
    </row>
    <row r="986" spans="1:6" ht="29.55" customHeight="1" x14ac:dyDescent="0.25">
      <c r="A986" s="5" t="s">
        <v>3049</v>
      </c>
      <c r="B986" s="4" t="s">
        <v>3050</v>
      </c>
      <c r="C986" s="4" t="s">
        <v>3038</v>
      </c>
      <c r="D986" s="4" t="s">
        <v>3051</v>
      </c>
      <c r="E986" s="4" t="s">
        <v>3052</v>
      </c>
      <c r="F986" s="4" t="str">
        <f>HYPERLINK("http://flsolettificio.it/","flsolettificio.it")</f>
        <v>flsolettificio.it</v>
      </c>
    </row>
    <row r="987" spans="1:6" ht="16.95" customHeight="1" x14ac:dyDescent="0.25">
      <c r="A987" s="1" t="s">
        <v>3053</v>
      </c>
      <c r="B987" s="6" t="s">
        <v>3054</v>
      </c>
      <c r="C987" s="6" t="s">
        <v>3047</v>
      </c>
      <c r="D987" s="6" t="s">
        <v>3048</v>
      </c>
      <c r="E987" s="6" t="s">
        <v>3031</v>
      </c>
      <c r="F987" s="6" t="str">
        <f>HYPERLINK("http://www.postandco.it/","www.postandco.it")</f>
        <v>www.postandco.it</v>
      </c>
    </row>
    <row r="988" spans="1:6" ht="29.55" customHeight="1" x14ac:dyDescent="0.25">
      <c r="A988" s="5" t="s">
        <v>3055</v>
      </c>
      <c r="B988" s="4" t="s">
        <v>3056</v>
      </c>
      <c r="C988" s="4" t="s">
        <v>3047</v>
      </c>
      <c r="D988" s="4" t="s">
        <v>3048</v>
      </c>
      <c r="E988" s="4" t="s">
        <v>3031</v>
      </c>
      <c r="F988" s="4" t="str">
        <f>HYPERLINK("http://www.chiarugifirenze.it/","http://www.chiarugifirenze.it")</f>
        <v>http://www.chiarugifirenze.it</v>
      </c>
    </row>
    <row r="989" spans="1:6" ht="16.95" customHeight="1" x14ac:dyDescent="0.25">
      <c r="A989" s="1" t="s">
        <v>3057</v>
      </c>
      <c r="B989" s="6" t="s">
        <v>3058</v>
      </c>
      <c r="C989" s="6" t="s">
        <v>3038</v>
      </c>
      <c r="D989" s="6" t="s">
        <v>3036</v>
      </c>
      <c r="E989" s="6" t="s">
        <v>3037</v>
      </c>
      <c r="F989" s="6" t="str">
        <f>HYPERLINK("http://www.berdini.com/","www.berdini.com")</f>
        <v>www.berdini.com</v>
      </c>
    </row>
    <row r="990" spans="1:6" ht="16.95" customHeight="1" x14ac:dyDescent="0.25">
      <c r="A990" s="1" t="s">
        <v>3059</v>
      </c>
      <c r="B990" s="6" t="s">
        <v>3060</v>
      </c>
      <c r="C990" s="6" t="s">
        <v>3029</v>
      </c>
      <c r="D990" s="6" t="s">
        <v>3043</v>
      </c>
      <c r="E990" s="6" t="s">
        <v>3044</v>
      </c>
      <c r="F990" s="6" t="str">
        <f>HYPERLINK("http://www.zermepel.it/","www.zermepel.it")</f>
        <v>www.zermepel.it</v>
      </c>
    </row>
    <row r="991" spans="1:6" ht="29.55" customHeight="1" x14ac:dyDescent="0.25">
      <c r="A991" s="1" t="s">
        <v>3061</v>
      </c>
      <c r="B991" s="6" t="s">
        <v>3062</v>
      </c>
      <c r="C991" s="6" t="s">
        <v>3026</v>
      </c>
      <c r="D991" s="6" t="s">
        <v>3036</v>
      </c>
      <c r="E991" s="6" t="s">
        <v>3037</v>
      </c>
      <c r="F991" s="6" t="str">
        <f>HYPERLINK("http://gioiecologiche.it/","gioiecologiche.it")</f>
        <v>gioiecologiche.it</v>
      </c>
    </row>
    <row r="992" spans="1:6" ht="16.95" customHeight="1" x14ac:dyDescent="0.25">
      <c r="A992" s="5" t="s">
        <v>3063</v>
      </c>
      <c r="B992" s="4" t="s">
        <v>3064</v>
      </c>
      <c r="C992" s="4" t="s">
        <v>3026</v>
      </c>
      <c r="D992" s="4" t="s">
        <v>3065</v>
      </c>
      <c r="E992" s="4" t="s">
        <v>3039</v>
      </c>
      <c r="F992" s="4" t="str">
        <f>HYPERLINK("http://www.ormalibera.it/","www.ormalibera.it")</f>
        <v>www.ormalibera.it</v>
      </c>
    </row>
    <row r="993" spans="1:6" ht="16.95" customHeight="1" x14ac:dyDescent="0.25">
      <c r="A993" s="1" t="s">
        <v>3066</v>
      </c>
      <c r="B993" s="6" t="s">
        <v>3067</v>
      </c>
      <c r="C993" s="6" t="s">
        <v>3047</v>
      </c>
      <c r="D993" s="6" t="s">
        <v>3032</v>
      </c>
      <c r="E993" s="6" t="s">
        <v>3033</v>
      </c>
      <c r="F993" s="6" t="str">
        <f>HYPERLINK("http://www.arcadiabags.com/","www.arcadiabags.com")</f>
        <v>www.arcadiabags.com</v>
      </c>
    </row>
    <row r="994" spans="1:6" ht="16.95" customHeight="1" x14ac:dyDescent="0.25">
      <c r="A994" s="1" t="s">
        <v>3068</v>
      </c>
      <c r="B994" s="6" t="s">
        <v>3069</v>
      </c>
      <c r="C994" s="6" t="s">
        <v>3070</v>
      </c>
      <c r="D994" s="6" t="s">
        <v>3071</v>
      </c>
      <c r="E994" s="6" t="s">
        <v>3072</v>
      </c>
      <c r="F994" s="6" t="str">
        <f>HYPERLINK("http://pelletterieded.com/","pelletterieded.com")</f>
        <v>pelletterieded.com</v>
      </c>
    </row>
    <row r="995" spans="1:6" ht="16.95" customHeight="1" x14ac:dyDescent="0.25">
      <c r="A995" s="5" t="s">
        <v>3073</v>
      </c>
      <c r="B995" s="4" t="s">
        <v>3074</v>
      </c>
      <c r="C995" s="4" t="s">
        <v>3075</v>
      </c>
      <c r="D995" s="4" t="s">
        <v>3076</v>
      </c>
      <c r="E995" s="4" t="s">
        <v>3077</v>
      </c>
      <c r="F995" s="4" t="str">
        <f>HYPERLINK("http://www.emanuelecrasto.it/","www.emanuelecrasto.it")</f>
        <v>www.emanuelecrasto.it</v>
      </c>
    </row>
    <row r="996" spans="1:6" ht="16.95" customHeight="1" x14ac:dyDescent="0.25">
      <c r="A996" s="5" t="s">
        <v>3080</v>
      </c>
      <c r="B996" s="4" t="s">
        <v>3081</v>
      </c>
      <c r="C996" s="4" t="s">
        <v>3070</v>
      </c>
      <c r="D996" s="4" t="s">
        <v>3071</v>
      </c>
      <c r="E996" s="4" t="s">
        <v>3072</v>
      </c>
      <c r="F996" s="4" t="str">
        <f>HYPERLINK("http://www.loipell.com/","www.loipell.com")</f>
        <v>www.loipell.com</v>
      </c>
    </row>
    <row r="997" spans="1:6" ht="16.95" customHeight="1" x14ac:dyDescent="0.25">
      <c r="A997" s="5" t="s">
        <v>3087</v>
      </c>
      <c r="B997" s="4" t="s">
        <v>3088</v>
      </c>
      <c r="C997" s="4" t="s">
        <v>3075</v>
      </c>
      <c r="D997" s="4" t="s">
        <v>3085</v>
      </c>
      <c r="E997" s="4" t="s">
        <v>3086</v>
      </c>
      <c r="F997" s="4" t="str">
        <f>HYPERLINK("http://www.lucianoilari.com/","www.lucianoilari.com")</f>
        <v>www.lucianoilari.com</v>
      </c>
    </row>
    <row r="998" spans="1:6" ht="16.95" customHeight="1" x14ac:dyDescent="0.25">
      <c r="A998" s="1" t="s">
        <v>3089</v>
      </c>
      <c r="B998" s="6" t="s">
        <v>3090</v>
      </c>
      <c r="C998" s="6" t="s">
        <v>3075</v>
      </c>
      <c r="D998" s="6" t="s">
        <v>3076</v>
      </c>
      <c r="E998" s="6" t="s">
        <v>3077</v>
      </c>
      <c r="F998" s="6" t="str">
        <f>HYPERLINK("http://www.balie.shoes/","www.balie.shoes")</f>
        <v>www.balie.shoes</v>
      </c>
    </row>
    <row r="999" spans="1:6" ht="16.95" customHeight="1" x14ac:dyDescent="0.25">
      <c r="A999" s="5" t="s">
        <v>3091</v>
      </c>
      <c r="B999" s="4" t="s">
        <v>3092</v>
      </c>
      <c r="C999" s="4" t="s">
        <v>3075</v>
      </c>
      <c r="D999" s="4" t="s">
        <v>3093</v>
      </c>
      <c r="E999" s="4" t="s">
        <v>3086</v>
      </c>
      <c r="F999" s="4" t="str">
        <f>HYPERLINK("http://www.copponigroup.it/","www.copponigroup.it")</f>
        <v>www.copponigroup.it</v>
      </c>
    </row>
    <row r="1000" spans="1:6" ht="29.55" customHeight="1" x14ac:dyDescent="0.25">
      <c r="A1000" s="5" t="s">
        <v>3094</v>
      </c>
      <c r="B1000" s="4" t="s">
        <v>3095</v>
      </c>
      <c r="C1000" s="4" t="s">
        <v>3075</v>
      </c>
      <c r="D1000" s="4" t="s">
        <v>3096</v>
      </c>
      <c r="E1000" s="4" t="s">
        <v>3079</v>
      </c>
      <c r="F1000" s="4" t="str">
        <f>HYPERLINK("http://www.dancenaturals.it/","www.dancenaturals.it")</f>
        <v>www.dancenaturals.it</v>
      </c>
    </row>
    <row r="1001" spans="1:6" ht="29.55" customHeight="1" x14ac:dyDescent="0.25">
      <c r="A1001" s="1" t="s">
        <v>3097</v>
      </c>
      <c r="B1001" s="6" t="s">
        <v>3098</v>
      </c>
      <c r="C1001" s="6" t="s">
        <v>3075</v>
      </c>
      <c r="D1001" s="6" t="s">
        <v>3099</v>
      </c>
      <c r="E1001" s="6" t="s">
        <v>3072</v>
      </c>
      <c r="F1001" s="6" t="str">
        <f>HYPERLINK("http://www.nuovapr.com/","http://www.nuovapr.com")</f>
        <v>http://www.nuovapr.com</v>
      </c>
    </row>
    <row r="1002" spans="1:6" ht="16.95" customHeight="1" x14ac:dyDescent="0.25">
      <c r="A1002" s="5" t="s">
        <v>3100</v>
      </c>
      <c r="B1002" s="4" t="s">
        <v>3101</v>
      </c>
      <c r="C1002" s="4" t="s">
        <v>3102</v>
      </c>
      <c r="D1002" s="4" t="s">
        <v>3071</v>
      </c>
      <c r="E1002" s="4" t="s">
        <v>3072</v>
      </c>
      <c r="F1002" s="4" t="str">
        <f>HYPERLINK("http://www.suolificiosafi.com/","www.suolificiosafi.com")</f>
        <v>www.suolificiosafi.com</v>
      </c>
    </row>
    <row r="1003" spans="1:6" ht="16.95" customHeight="1" x14ac:dyDescent="0.25">
      <c r="A1003" s="1" t="s">
        <v>3103</v>
      </c>
      <c r="B1003" s="6" t="s">
        <v>3104</v>
      </c>
      <c r="C1003" s="6" t="s">
        <v>3078</v>
      </c>
      <c r="D1003" s="6" t="s">
        <v>3084</v>
      </c>
      <c r="E1003" s="6" t="s">
        <v>3072</v>
      </c>
      <c r="F1003" s="6" t="str">
        <f>HYPERLINK("http://www.otello.it/","www.otello.it")</f>
        <v>www.otello.it</v>
      </c>
    </row>
    <row r="1004" spans="1:6" ht="16.95" customHeight="1" x14ac:dyDescent="0.25">
      <c r="A1004" s="5" t="s">
        <v>3105</v>
      </c>
      <c r="B1004" s="4" t="s">
        <v>3106</v>
      </c>
      <c r="C1004" s="4" t="s">
        <v>3078</v>
      </c>
      <c r="D1004" s="4" t="s">
        <v>3071</v>
      </c>
      <c r="E1004" s="4" t="s">
        <v>3072</v>
      </c>
      <c r="F1004" s="4" t="str">
        <f>HYPERLINK("http://stampestampe.it/","stampestampe.it")</f>
        <v>stampestampe.it</v>
      </c>
    </row>
    <row r="1005" spans="1:6" ht="16.95" customHeight="1" x14ac:dyDescent="0.25">
      <c r="A1005" s="1" t="s">
        <v>3107</v>
      </c>
      <c r="B1005" s="6" t="s">
        <v>3108</v>
      </c>
      <c r="C1005" s="6" t="s">
        <v>3075</v>
      </c>
      <c r="D1005" s="6" t="s">
        <v>3109</v>
      </c>
      <c r="E1005" s="6" t="s">
        <v>3083</v>
      </c>
      <c r="F1005" s="6" t="str">
        <f>HYPERLINK("http://artioli.com/","artioli.com")</f>
        <v>artioli.com</v>
      </c>
    </row>
    <row r="1006" spans="1:6" ht="16.95" customHeight="1" x14ac:dyDescent="0.25">
      <c r="A1006" s="1" t="s">
        <v>3110</v>
      </c>
      <c r="B1006" s="6" t="s">
        <v>3111</v>
      </c>
      <c r="C1006" s="6" t="s">
        <v>3070</v>
      </c>
      <c r="D1006" s="6" t="s">
        <v>3071</v>
      </c>
      <c r="E1006" s="6" t="s">
        <v>3072</v>
      </c>
      <c r="F1006" s="6" t="str">
        <f>HYPERLINK("http://creativeleather.it/","creativeleather.it")</f>
        <v>creativeleather.it</v>
      </c>
    </row>
    <row r="1007" spans="1:6" ht="16.95" customHeight="1" x14ac:dyDescent="0.25">
      <c r="A1007" s="5" t="s">
        <v>3112</v>
      </c>
      <c r="B1007" s="4" t="s">
        <v>3113</v>
      </c>
      <c r="C1007" s="4" t="s">
        <v>3082</v>
      </c>
      <c r="D1007" s="4" t="s">
        <v>3096</v>
      </c>
      <c r="E1007" s="4" t="s">
        <v>3079</v>
      </c>
      <c r="F1007" s="4" t="str">
        <f>HYPERLINK("http://www.marettocalzature.it/","www.marettocalzature.it")</f>
        <v>www.marettocalzature.it</v>
      </c>
    </row>
    <row r="1008" spans="1:6" ht="16.95" customHeight="1" x14ac:dyDescent="0.25">
      <c r="A1008" s="5" t="s">
        <v>3114</v>
      </c>
      <c r="B1008" s="4" t="s">
        <v>3115</v>
      </c>
      <c r="C1008" s="4" t="s">
        <v>3070</v>
      </c>
      <c r="D1008" s="4" t="s">
        <v>3116</v>
      </c>
      <c r="E1008" s="4" t="s">
        <v>3117</v>
      </c>
      <c r="F1008" s="4" t="str">
        <f>HYPERLINK("http://www.planetbags.it/","www.planetbags.it")</f>
        <v>www.planetbags.it</v>
      </c>
    </row>
    <row r="1009" spans="1:6" ht="16.95" customHeight="1" x14ac:dyDescent="0.25">
      <c r="A1009" s="1" t="s">
        <v>3118</v>
      </c>
      <c r="B1009" s="6" t="s">
        <v>3119</v>
      </c>
      <c r="C1009" s="6" t="s">
        <v>3075</v>
      </c>
      <c r="D1009" s="6" t="s">
        <v>3093</v>
      </c>
      <c r="E1009" s="6" t="s">
        <v>3086</v>
      </c>
      <c r="F1009" s="6" t="str">
        <f>HYPERLINK("http://bruglia.it/","bruglia.it")</f>
        <v>bruglia.it</v>
      </c>
    </row>
    <row r="1010" spans="1:6" ht="29.55" customHeight="1" x14ac:dyDescent="0.25">
      <c r="A1010" s="5" t="s">
        <v>3120</v>
      </c>
      <c r="B1010" s="4" t="s">
        <v>3121</v>
      </c>
      <c r="C1010" s="4" t="s">
        <v>3075</v>
      </c>
      <c r="D1010" s="4" t="s">
        <v>3122</v>
      </c>
      <c r="E1010" s="4" t="s">
        <v>3123</v>
      </c>
      <c r="F1010" s="4" t="str">
        <f>HYPERLINK("http://www.fratellilobaccaro.it/","www.fratellilobaccaro.it")</f>
        <v>www.fratellilobaccaro.it</v>
      </c>
    </row>
    <row r="1011" spans="1:6" ht="29.55" customHeight="1" x14ac:dyDescent="0.25">
      <c r="A1011" s="5" t="s">
        <v>3124</v>
      </c>
      <c r="B1011" s="4" t="s">
        <v>3125</v>
      </c>
      <c r="C1011" s="4" t="s">
        <v>3078</v>
      </c>
      <c r="D1011" s="4" t="s">
        <v>3126</v>
      </c>
      <c r="E1011" s="4" t="s">
        <v>3077</v>
      </c>
      <c r="F1011" s="4" t="str">
        <f>HYPERLINK("http://www.mcquadroconceria.it/","www.mcquadroconceria.it")</f>
        <v>www.mcquadroconceria.it</v>
      </c>
    </row>
    <row r="1012" spans="1:6" ht="16.95" customHeight="1" x14ac:dyDescent="0.25">
      <c r="A1012" s="1" t="s">
        <v>3127</v>
      </c>
      <c r="B1012" s="6" t="s">
        <v>3128</v>
      </c>
      <c r="C1012" s="6" t="s">
        <v>3129</v>
      </c>
      <c r="D1012" s="6" t="s">
        <v>3130</v>
      </c>
      <c r="E1012" s="6" t="s">
        <v>3131</v>
      </c>
      <c r="F1012" s="6" t="str">
        <f>HYPERLINK("http://falca.it/","falca.it")</f>
        <v>falca.it</v>
      </c>
    </row>
    <row r="1013" spans="1:6" ht="16.95" customHeight="1" x14ac:dyDescent="0.25">
      <c r="A1013" s="1" t="s">
        <v>3138</v>
      </c>
      <c r="B1013" s="6" t="s">
        <v>3139</v>
      </c>
      <c r="C1013" s="6" t="s">
        <v>3135</v>
      </c>
      <c r="D1013" s="6" t="s">
        <v>3140</v>
      </c>
      <c r="E1013" s="6" t="s">
        <v>3141</v>
      </c>
      <c r="F1013" s="6" t="str">
        <f>HYPERLINK("http://oanonfashion.com/","oanonfashion.com")</f>
        <v>oanonfashion.com</v>
      </c>
    </row>
    <row r="1014" spans="1:6" ht="29.55" customHeight="1" x14ac:dyDescent="0.25">
      <c r="A1014" s="1" t="s">
        <v>3145</v>
      </c>
      <c r="B1014" s="6" t="s">
        <v>3146</v>
      </c>
      <c r="C1014" s="6" t="s">
        <v>3135</v>
      </c>
      <c r="D1014" s="6" t="s">
        <v>3144</v>
      </c>
      <c r="E1014" s="6" t="s">
        <v>3134</v>
      </c>
      <c r="F1014" s="6" t="str">
        <f>HYPERLINK("http://www.cluxter.it/","www.cluxter.it")</f>
        <v>www.cluxter.it</v>
      </c>
    </row>
    <row r="1015" spans="1:6" ht="16.95" customHeight="1" x14ac:dyDescent="0.25">
      <c r="A1015" s="5" t="s">
        <v>3147</v>
      </c>
      <c r="B1015" s="4" t="s">
        <v>3148</v>
      </c>
      <c r="C1015" s="4" t="s">
        <v>3149</v>
      </c>
      <c r="D1015" s="4" t="s">
        <v>3150</v>
      </c>
      <c r="E1015" s="4" t="s">
        <v>3141</v>
      </c>
      <c r="F1015" s="4" t="str">
        <f>HYPERLINK("http://www.bellabarbasrl.it/","www.bellabarbasrl.it")</f>
        <v>www.bellabarbasrl.it</v>
      </c>
    </row>
    <row r="1016" spans="1:6" ht="29.55" customHeight="1" x14ac:dyDescent="0.25">
      <c r="A1016" s="1" t="s">
        <v>3151</v>
      </c>
      <c r="B1016" s="6" t="s">
        <v>3152</v>
      </c>
      <c r="C1016" s="6" t="s">
        <v>3132</v>
      </c>
      <c r="D1016" s="6" t="s">
        <v>3144</v>
      </c>
      <c r="E1016" s="6" t="s">
        <v>3134</v>
      </c>
      <c r="F1016" s="6" t="str">
        <f>HYPERLINK("http://www.pelletteriefabioguidi.com/","www.pelletteriefabioguidi.com")</f>
        <v>www.pelletteriefabioguidi.com</v>
      </c>
    </row>
    <row r="1017" spans="1:6" ht="16.95" customHeight="1" x14ac:dyDescent="0.25">
      <c r="A1017" s="1" t="s">
        <v>3153</v>
      </c>
      <c r="B1017" s="6" t="s">
        <v>3154</v>
      </c>
      <c r="C1017" s="6" t="s">
        <v>3135</v>
      </c>
      <c r="D1017" s="6" t="s">
        <v>3150</v>
      </c>
      <c r="E1017" s="6" t="s">
        <v>3141</v>
      </c>
      <c r="F1017" s="6" t="str">
        <f>HYPERLINK("http://www.sandrog.it/","www.sandrog.it")</f>
        <v>www.sandrog.it</v>
      </c>
    </row>
    <row r="1018" spans="1:6" ht="68.099999999999994" customHeight="1" x14ac:dyDescent="0.25">
      <c r="A1018" s="1" t="s">
        <v>3155</v>
      </c>
      <c r="B1018" s="6" t="s">
        <v>3156</v>
      </c>
      <c r="C1018" s="6" t="s">
        <v>3135</v>
      </c>
      <c r="D1018" s="6" t="s">
        <v>3157</v>
      </c>
      <c r="E1018" s="6" t="s">
        <v>3137</v>
      </c>
      <c r="F1018" s="6" t="str">
        <f>HYPERLINK("http://www.calzaturificiogravino.com/","http://www.calzaturificiogravino.com")</f>
        <v>http://www.calzaturificiogravino.com</v>
      </c>
    </row>
    <row r="1019" spans="1:6" ht="16.95" customHeight="1" x14ac:dyDescent="0.25">
      <c r="A1019" s="5" t="s">
        <v>3158</v>
      </c>
      <c r="B1019" s="4" t="s">
        <v>3159</v>
      </c>
      <c r="C1019" s="4" t="s">
        <v>3135</v>
      </c>
      <c r="D1019" s="4" t="s">
        <v>3160</v>
      </c>
      <c r="E1019" s="4" t="s">
        <v>3133</v>
      </c>
      <c r="F1019" s="4" t="str">
        <f>HYPERLINK("http://www.mimanerashop.com/","www.mimanerashop.com")</f>
        <v>www.mimanerashop.com</v>
      </c>
    </row>
    <row r="1020" spans="1:6" ht="16.95" customHeight="1" x14ac:dyDescent="0.25">
      <c r="A1020" s="1" t="s">
        <v>3161</v>
      </c>
      <c r="B1020" s="6" t="s">
        <v>3162</v>
      </c>
      <c r="C1020" s="6" t="s">
        <v>3142</v>
      </c>
      <c r="D1020" s="6" t="s">
        <v>3163</v>
      </c>
      <c r="E1020" s="6" t="s">
        <v>3137</v>
      </c>
      <c r="F1020" s="6" t="str">
        <f>HYPERLINK("http://www.axelconceria.it/","http://www.axelconceria.it")</f>
        <v>http://www.axelconceria.it</v>
      </c>
    </row>
    <row r="1021" spans="1:6" ht="16.95" customHeight="1" x14ac:dyDescent="0.25">
      <c r="A1021" s="5" t="s">
        <v>3164</v>
      </c>
      <c r="B1021" s="4" t="s">
        <v>3165</v>
      </c>
      <c r="C1021" s="4" t="s">
        <v>3149</v>
      </c>
      <c r="D1021" s="4" t="s">
        <v>3166</v>
      </c>
      <c r="E1021" s="4" t="s">
        <v>3133</v>
      </c>
      <c r="F1021" s="4" t="str">
        <f>HYPERLINK("http://nucciaccessori.com/","nucciaccessori.com")</f>
        <v>nucciaccessori.com</v>
      </c>
    </row>
    <row r="1022" spans="1:6" ht="16.95" customHeight="1" x14ac:dyDescent="0.25">
      <c r="A1022" s="5" t="s">
        <v>3167</v>
      </c>
      <c r="B1022" s="4" t="s">
        <v>3168</v>
      </c>
      <c r="C1022" s="4" t="s">
        <v>3132</v>
      </c>
      <c r="D1022" s="4" t="s">
        <v>3169</v>
      </c>
      <c r="E1022" s="4" t="s">
        <v>3170</v>
      </c>
      <c r="F1022" s="4" t="str">
        <f>HYPERLINK("http://www.lepanierbags.com/","www.lepanierbags.com")</f>
        <v>www.lepanierbags.com</v>
      </c>
    </row>
    <row r="1023" spans="1:6" ht="16.95" customHeight="1" x14ac:dyDescent="0.25">
      <c r="A1023" s="5" t="s">
        <v>3171</v>
      </c>
      <c r="B1023" s="4" t="s">
        <v>3172</v>
      </c>
      <c r="C1023" s="4" t="s">
        <v>3173</v>
      </c>
      <c r="D1023" s="4" t="s">
        <v>3136</v>
      </c>
      <c r="E1023" s="4" t="s">
        <v>3137</v>
      </c>
      <c r="F1023" s="4" t="str">
        <f>HYPERLINK("http://www.pelletteriefoxgroup.com/","www.pelletteriefoxgroup.com")</f>
        <v>www.pelletteriefoxgroup.com</v>
      </c>
    </row>
    <row r="1024" spans="1:6" ht="16.95" customHeight="1" x14ac:dyDescent="0.25">
      <c r="A1024" s="1" t="s">
        <v>3176</v>
      </c>
      <c r="B1024" s="6" t="s">
        <v>3177</v>
      </c>
      <c r="C1024" s="6" t="s">
        <v>3142</v>
      </c>
      <c r="D1024" s="6" t="s">
        <v>3143</v>
      </c>
      <c r="E1024" s="6" t="s">
        <v>3134</v>
      </c>
      <c r="F1024" s="6" t="str">
        <f>HYPERLINK("http://www.concerianewport.it/","www.concerianewport.it")</f>
        <v>www.concerianewport.it</v>
      </c>
    </row>
    <row r="1025" spans="1:6" ht="43.05" customHeight="1" x14ac:dyDescent="0.25">
      <c r="A1025" s="1" t="s">
        <v>3178</v>
      </c>
      <c r="B1025" s="6" t="s">
        <v>3179</v>
      </c>
      <c r="C1025" s="6" t="s">
        <v>3142</v>
      </c>
      <c r="D1025" s="6" t="s">
        <v>3136</v>
      </c>
      <c r="E1025" s="6" t="s">
        <v>3137</v>
      </c>
      <c r="F1025" s="6" t="str">
        <f>HYPERLINK("http://www.begreentannery.com/","www.begreentannery.com")</f>
        <v>www.begreentannery.com</v>
      </c>
    </row>
    <row r="1026" spans="1:6" ht="16.95" customHeight="1" x14ac:dyDescent="0.25">
      <c r="A1026" s="5" t="s">
        <v>3180</v>
      </c>
      <c r="B1026" s="4" t="s">
        <v>3181</v>
      </c>
      <c r="C1026" s="4" t="s">
        <v>3135</v>
      </c>
      <c r="D1026" s="4" t="s">
        <v>3174</v>
      </c>
      <c r="E1026" s="4" t="s">
        <v>3175</v>
      </c>
      <c r="F1026" s="4" t="str">
        <f>HYPERLINK("http://www.montesport.it/","www.montesport.it")</f>
        <v>www.montesport.it</v>
      </c>
    </row>
    <row r="1027" spans="1:6" ht="16.95" customHeight="1" x14ac:dyDescent="0.25">
      <c r="A1027" s="1" t="s">
        <v>3186</v>
      </c>
      <c r="B1027" s="6" t="s">
        <v>3187</v>
      </c>
      <c r="C1027" s="6" t="s">
        <v>3183</v>
      </c>
      <c r="D1027" s="6" t="s">
        <v>3188</v>
      </c>
      <c r="E1027" s="6" t="s">
        <v>3189</v>
      </c>
      <c r="F1027" s="6" t="str">
        <f>HYPERLINK("http://www.fipel.it/","www.fipel.it")</f>
        <v>www.fipel.it</v>
      </c>
    </row>
    <row r="1028" spans="1:6" ht="29.55" customHeight="1" x14ac:dyDescent="0.25">
      <c r="A1028" s="5" t="s">
        <v>3190</v>
      </c>
      <c r="B1028" s="4" t="s">
        <v>3191</v>
      </c>
      <c r="C1028" s="4" t="s">
        <v>3192</v>
      </c>
      <c r="D1028" s="4" t="s">
        <v>3193</v>
      </c>
      <c r="E1028" s="4" t="s">
        <v>3194</v>
      </c>
      <c r="F1028" s="4" t="str">
        <f>HYPERLINK("http://asiapelletterie.it/","asiapelletterie.it")</f>
        <v>asiapelletterie.it</v>
      </c>
    </row>
    <row r="1029" spans="1:6" ht="16.95" customHeight="1" x14ac:dyDescent="0.25">
      <c r="A1029" s="1" t="s">
        <v>3195</v>
      </c>
      <c r="B1029" s="6" t="s">
        <v>3196</v>
      </c>
      <c r="C1029" s="6" t="s">
        <v>3197</v>
      </c>
      <c r="D1029" s="6" t="s">
        <v>3198</v>
      </c>
      <c r="E1029" s="6" t="s">
        <v>3199</v>
      </c>
      <c r="F1029" s="6" t="str">
        <f>HYPERLINK("http://solettificiofaleria.it/","solettificiofaleria.it")</f>
        <v>solettificiofaleria.it</v>
      </c>
    </row>
    <row r="1030" spans="1:6" ht="16.95" customHeight="1" x14ac:dyDescent="0.25">
      <c r="A1030" s="5" t="s">
        <v>3200</v>
      </c>
      <c r="B1030" s="4" t="s">
        <v>3201</v>
      </c>
      <c r="C1030" s="4" t="s">
        <v>3202</v>
      </c>
      <c r="D1030" s="4" t="s">
        <v>3203</v>
      </c>
      <c r="E1030" s="4" t="s">
        <v>3204</v>
      </c>
      <c r="F1030" s="4" t="str">
        <f>HYPERLINK("http://argopel.it/","argopel.it")</f>
        <v>argopel.it</v>
      </c>
    </row>
    <row r="1031" spans="1:6" ht="16.95" customHeight="1" x14ac:dyDescent="0.25">
      <c r="A1031" s="1" t="s">
        <v>3208</v>
      </c>
      <c r="B1031" s="6" t="s">
        <v>3209</v>
      </c>
      <c r="C1031" s="6" t="s">
        <v>3205</v>
      </c>
      <c r="D1031" s="6" t="s">
        <v>3210</v>
      </c>
      <c r="E1031" s="6" t="s">
        <v>3182</v>
      </c>
      <c r="F1031" s="6" t="str">
        <f>HYPERLINK("http://www.zeusandals.it/","www.zeusandals.it")</f>
        <v>www.zeusandals.it</v>
      </c>
    </row>
    <row r="1032" spans="1:6" ht="16.95" customHeight="1" x14ac:dyDescent="0.25">
      <c r="A1032" s="5" t="s">
        <v>3211</v>
      </c>
      <c r="B1032" s="4" t="s">
        <v>3212</v>
      </c>
      <c r="C1032" s="4" t="s">
        <v>3192</v>
      </c>
      <c r="D1032" s="4" t="s">
        <v>3213</v>
      </c>
      <c r="E1032" s="4" t="s">
        <v>3185</v>
      </c>
      <c r="F1032" s="4" t="str">
        <f>HYPERLINK("http://brunorossibags.it/","brunorossibags.it")</f>
        <v>brunorossibags.it</v>
      </c>
    </row>
    <row r="1033" spans="1:6" ht="16.95" customHeight="1" x14ac:dyDescent="0.25">
      <c r="A1033" s="1" t="s">
        <v>3214</v>
      </c>
      <c r="B1033" s="6" t="s">
        <v>3215</v>
      </c>
      <c r="C1033" s="6" t="s">
        <v>3205</v>
      </c>
      <c r="D1033" s="6" t="s">
        <v>3216</v>
      </c>
      <c r="E1033" s="6" t="s">
        <v>3204</v>
      </c>
      <c r="F1033" s="6" t="str">
        <f>HYPERLINK("http://www.tre-emme.it/","www.tre-emme.it")</f>
        <v>www.tre-emme.it</v>
      </c>
    </row>
    <row r="1034" spans="1:6" ht="29.55" customHeight="1" x14ac:dyDescent="0.25">
      <c r="A1034" s="1" t="s">
        <v>3217</v>
      </c>
      <c r="B1034" s="6" t="s">
        <v>3218</v>
      </c>
      <c r="C1034" s="6" t="s">
        <v>3183</v>
      </c>
      <c r="D1034" s="6" t="s">
        <v>3188</v>
      </c>
      <c r="E1034" s="6" t="s">
        <v>3189</v>
      </c>
      <c r="F1034" s="6" t="str">
        <f>HYPERLINK("http://www.stuccaturadorina.it/","www.stuccaturadorina.it")</f>
        <v>www.stuccaturadorina.it</v>
      </c>
    </row>
    <row r="1035" spans="1:6" ht="16.95" customHeight="1" x14ac:dyDescent="0.25">
      <c r="A1035" s="5" t="s">
        <v>3219</v>
      </c>
      <c r="B1035" s="4" t="s">
        <v>3220</v>
      </c>
      <c r="C1035" s="4" t="s">
        <v>3205</v>
      </c>
      <c r="D1035" s="4" t="s">
        <v>3221</v>
      </c>
      <c r="E1035" s="4" t="s">
        <v>3199</v>
      </c>
      <c r="F1035" s="4" t="str">
        <f>HYPERLINK("http://www.spernanzoni.com/","www.spernanzoni.com")</f>
        <v>www.spernanzoni.com</v>
      </c>
    </row>
    <row r="1036" spans="1:6" ht="16.95" customHeight="1" x14ac:dyDescent="0.25">
      <c r="A1036" s="5" t="s">
        <v>3222</v>
      </c>
      <c r="B1036" s="4" t="s">
        <v>3223</v>
      </c>
      <c r="C1036" s="4" t="s">
        <v>3183</v>
      </c>
      <c r="D1036" s="4" t="s">
        <v>3188</v>
      </c>
      <c r="E1036" s="4" t="s">
        <v>3189</v>
      </c>
      <c r="F1036" s="4" t="str">
        <f>HYPERLINK("http://www.green-point.it/","www.green-point.it")</f>
        <v>www.green-point.it</v>
      </c>
    </row>
    <row r="1037" spans="1:6" ht="16.95" customHeight="1" x14ac:dyDescent="0.25">
      <c r="A1037" s="1" t="s">
        <v>3224</v>
      </c>
      <c r="B1037" s="6" t="s">
        <v>3225</v>
      </c>
      <c r="C1037" s="6" t="s">
        <v>3205</v>
      </c>
      <c r="D1037" s="6" t="s">
        <v>3226</v>
      </c>
      <c r="E1037" s="6" t="s">
        <v>3227</v>
      </c>
      <c r="F1037" s="6" t="str">
        <f>HYPERLINK("http://www.bimacshoes.com/","www.bimacshoes.com")</f>
        <v>www.bimacshoes.com</v>
      </c>
    </row>
    <row r="1038" spans="1:6" ht="16.95" customHeight="1" x14ac:dyDescent="0.25">
      <c r="A1038" s="5" t="s">
        <v>3228</v>
      </c>
      <c r="B1038" s="4" t="s">
        <v>3229</v>
      </c>
      <c r="C1038" s="4" t="s">
        <v>3205</v>
      </c>
      <c r="D1038" s="4" t="s">
        <v>3230</v>
      </c>
      <c r="E1038" s="4" t="s">
        <v>3189</v>
      </c>
      <c r="F1038" s="4" t="str">
        <f>HYPERLINK("http://www.nemea.it/","www.nemea.it")</f>
        <v>www.nemea.it</v>
      </c>
    </row>
    <row r="1039" spans="1:6" ht="16.95" customHeight="1" x14ac:dyDescent="0.25">
      <c r="A1039" s="1" t="s">
        <v>3231</v>
      </c>
      <c r="B1039" s="6" t="s">
        <v>3232</v>
      </c>
      <c r="C1039" s="6" t="s">
        <v>3202</v>
      </c>
      <c r="D1039" s="6" t="s">
        <v>3213</v>
      </c>
      <c r="E1039" s="6" t="s">
        <v>3185</v>
      </c>
      <c r="F1039" s="6" t="str">
        <f>HYPERLINK("http://www.pratesi.info/","http://www.pratesi.info")</f>
        <v>http://www.pratesi.info</v>
      </c>
    </row>
    <row r="1040" spans="1:6" ht="16.95" customHeight="1" x14ac:dyDescent="0.25">
      <c r="A1040" s="5" t="s">
        <v>3233</v>
      </c>
      <c r="B1040" s="4" t="s">
        <v>3234</v>
      </c>
      <c r="C1040" s="4" t="s">
        <v>3192</v>
      </c>
      <c r="D1040" s="4" t="s">
        <v>3235</v>
      </c>
      <c r="E1040" s="4" t="s">
        <v>3189</v>
      </c>
      <c r="F1040" s="4" t="str">
        <f>HYPERLINK("http://www.filippi1965.it/","www.filippi1965.it")</f>
        <v>www.filippi1965.it</v>
      </c>
    </row>
    <row r="1041" spans="1:6" ht="16.95" customHeight="1" x14ac:dyDescent="0.25">
      <c r="A1041" s="1" t="s">
        <v>3236</v>
      </c>
      <c r="B1041" s="6" t="s">
        <v>3237</v>
      </c>
      <c r="C1041" s="6" t="s">
        <v>3192</v>
      </c>
      <c r="D1041" s="6" t="s">
        <v>3206</v>
      </c>
      <c r="E1041" s="6" t="s">
        <v>3207</v>
      </c>
      <c r="F1041" s="6" t="str">
        <f>HYPERLINK("http://gianninotaroshop.com/","gianninotaroshop.com")</f>
        <v>gianninotaroshop.com</v>
      </c>
    </row>
    <row r="1042" spans="1:6" ht="16.95" customHeight="1" x14ac:dyDescent="0.25">
      <c r="A1042" s="5" t="s">
        <v>3238</v>
      </c>
      <c r="B1042" s="4" t="s">
        <v>3239</v>
      </c>
      <c r="C1042" s="4" t="s">
        <v>3192</v>
      </c>
      <c r="D1042" s="4" t="s">
        <v>3206</v>
      </c>
      <c r="E1042" s="4" t="s">
        <v>3207</v>
      </c>
      <c r="F1042" s="4" t="str">
        <f>HYPERLINK("http://www.dejavufactory.com/","www.dejavufactory.com")</f>
        <v>www.dejavufactory.com</v>
      </c>
    </row>
    <row r="1043" spans="1:6" ht="16.95" customHeight="1" x14ac:dyDescent="0.25">
      <c r="A1043" s="5" t="s">
        <v>3240</v>
      </c>
      <c r="B1043" s="4" t="s">
        <v>3241</v>
      </c>
      <c r="C1043" s="4" t="s">
        <v>3197</v>
      </c>
      <c r="D1043" s="4" t="s">
        <v>3184</v>
      </c>
      <c r="E1043" s="4" t="s">
        <v>3185</v>
      </c>
      <c r="F1043" s="4" t="str">
        <f>HYPERLINK("http://www.suolificiofashion.it/","www.suolificiofashion.it")</f>
        <v>www.suolificiofashion.it</v>
      </c>
    </row>
    <row r="1044" spans="1:6" ht="16.95" customHeight="1" x14ac:dyDescent="0.25">
      <c r="A1044" s="1" t="s">
        <v>3247</v>
      </c>
      <c r="B1044" s="6" t="s">
        <v>3248</v>
      </c>
      <c r="C1044" s="6" t="s">
        <v>3249</v>
      </c>
      <c r="D1044" s="6" t="s">
        <v>3245</v>
      </c>
      <c r="E1044" s="6" t="s">
        <v>3246</v>
      </c>
      <c r="F1044" s="6" t="str">
        <f>HYPERLINK("http://www.ales.it/","www.ales.it")</f>
        <v>www.ales.it</v>
      </c>
    </row>
    <row r="1045" spans="1:6" ht="29.55" customHeight="1" x14ac:dyDescent="0.25">
      <c r="A1045" s="5" t="s">
        <v>3250</v>
      </c>
      <c r="B1045" s="4" t="s">
        <v>3251</v>
      </c>
      <c r="C1045" s="4" t="s">
        <v>3242</v>
      </c>
      <c r="D1045" s="4" t="s">
        <v>3252</v>
      </c>
      <c r="E1045" s="4" t="s">
        <v>3253</v>
      </c>
      <c r="F1045" s="4" t="str">
        <f>HYPERLINK("http://calzaturificio-la-fibbia-srl.business.site/","http://calzaturificio-la-fibbia-srl.business.site")</f>
        <v>http://calzaturificio-la-fibbia-srl.business.site</v>
      </c>
    </row>
    <row r="1046" spans="1:6" ht="55.65" customHeight="1" x14ac:dyDescent="0.25">
      <c r="A1046" s="1" t="s">
        <v>3254</v>
      </c>
      <c r="B1046" s="6" t="s">
        <v>3255</v>
      </c>
      <c r="C1046" s="6" t="s">
        <v>3256</v>
      </c>
      <c r="D1046" s="6" t="s">
        <v>3252</v>
      </c>
      <c r="E1046" s="6" t="s">
        <v>3253</v>
      </c>
      <c r="F1046" s="6" t="str">
        <f>HYPERLINK("http://www.rifincuoiogroup.com/","www.rifincuoiogroup.com")</f>
        <v>www.rifincuoiogroup.com</v>
      </c>
    </row>
    <row r="1047" spans="1:6" ht="16.95" customHeight="1" x14ac:dyDescent="0.25">
      <c r="A1047" s="5" t="s">
        <v>3257</v>
      </c>
      <c r="B1047" s="4" t="s">
        <v>3258</v>
      </c>
      <c r="C1047" s="4" t="s">
        <v>3242</v>
      </c>
      <c r="D1047" s="4" t="s">
        <v>3259</v>
      </c>
      <c r="E1047" s="4" t="s">
        <v>3260</v>
      </c>
      <c r="F1047" s="4" t="str">
        <f>HYPERLINK("http://www.velasportitalia.it/","www.velasportitalia.it")</f>
        <v>www.velasportitalia.it</v>
      </c>
    </row>
    <row r="1048" spans="1:6" ht="16.95" customHeight="1" x14ac:dyDescent="0.25">
      <c r="A1048" s="1" t="s">
        <v>3261</v>
      </c>
      <c r="B1048" s="6" t="s">
        <v>3262</v>
      </c>
      <c r="C1048" s="6" t="s">
        <v>3263</v>
      </c>
      <c r="D1048" s="6" t="s">
        <v>3252</v>
      </c>
      <c r="E1048" s="6" t="s">
        <v>3253</v>
      </c>
      <c r="F1048" s="6" t="str">
        <f>HYPERLINK("http://www.stilsuola.it/","www.stilsuola.it")</f>
        <v>www.stilsuola.it</v>
      </c>
    </row>
    <row r="1049" spans="1:6" ht="29.55" customHeight="1" x14ac:dyDescent="0.25">
      <c r="A1049" s="5" t="s">
        <v>3264</v>
      </c>
      <c r="B1049" s="4" t="s">
        <v>3265</v>
      </c>
      <c r="C1049" s="4" t="s">
        <v>3244</v>
      </c>
      <c r="D1049" s="4" t="s">
        <v>3266</v>
      </c>
      <c r="E1049" s="4" t="s">
        <v>3267</v>
      </c>
      <c r="F1049" s="4" t="str">
        <f>HYPERLINK("http://www.antonioarnesano.it/","www.antonioarnesano.it")</f>
        <v>www.antonioarnesano.it</v>
      </c>
    </row>
    <row r="1050" spans="1:6" ht="16.95" customHeight="1" x14ac:dyDescent="0.25">
      <c r="A1050" s="5" t="s">
        <v>3269</v>
      </c>
      <c r="B1050" s="4" t="s">
        <v>3270</v>
      </c>
      <c r="C1050" s="4" t="s">
        <v>3242</v>
      </c>
      <c r="D1050" s="4" t="s">
        <v>3268</v>
      </c>
      <c r="E1050" s="4" t="s">
        <v>3246</v>
      </c>
      <c r="F1050" s="4" t="str">
        <f>HYPERLINK("http://www.florens.it/","www.florens.it")</f>
        <v>www.florens.it</v>
      </c>
    </row>
    <row r="1051" spans="1:6" ht="16.95" customHeight="1" x14ac:dyDescent="0.25">
      <c r="A1051" s="5" t="s">
        <v>3271</v>
      </c>
      <c r="B1051" s="4" t="s">
        <v>3272</v>
      </c>
      <c r="C1051" s="4" t="s">
        <v>3242</v>
      </c>
      <c r="D1051" s="4" t="s">
        <v>3259</v>
      </c>
      <c r="E1051" s="4" t="s">
        <v>3260</v>
      </c>
      <c r="F1051" s="4" t="str">
        <f>HYPERLINK("http://shoescia.byoutique.com/","shoescia.byoutique.com")</f>
        <v>shoescia.byoutique.com</v>
      </c>
    </row>
    <row r="1052" spans="1:6" ht="29.55" customHeight="1" x14ac:dyDescent="0.25">
      <c r="A1052" s="5" t="s">
        <v>3274</v>
      </c>
      <c r="B1052" s="4" t="s">
        <v>3275</v>
      </c>
      <c r="C1052" s="4" t="s">
        <v>3242</v>
      </c>
      <c r="D1052" s="4" t="s">
        <v>3276</v>
      </c>
      <c r="E1052" s="4" t="s">
        <v>3243</v>
      </c>
      <c r="F1052" s="4" t="str">
        <f>HYPERLINK("http://www.favarofloriano.com/","www.favarofloriano.com")</f>
        <v>www.favarofloriano.com</v>
      </c>
    </row>
    <row r="1053" spans="1:6" ht="16.95" customHeight="1" x14ac:dyDescent="0.25">
      <c r="A1053" s="5" t="s">
        <v>3278</v>
      </c>
      <c r="B1053" s="4" t="s">
        <v>3279</v>
      </c>
      <c r="C1053" s="4" t="s">
        <v>3242</v>
      </c>
      <c r="D1053" s="4" t="s">
        <v>3280</v>
      </c>
      <c r="E1053" s="4" t="s">
        <v>3281</v>
      </c>
      <c r="F1053" s="4" t="str">
        <f>HYPERLINK("http://www.testoni.com/","www.testoni.com")</f>
        <v>www.testoni.com</v>
      </c>
    </row>
    <row r="1054" spans="1:6" ht="16.95" customHeight="1" x14ac:dyDescent="0.25">
      <c r="A1054" s="1" t="s">
        <v>3282</v>
      </c>
      <c r="B1054" s="6" t="s">
        <v>3283</v>
      </c>
      <c r="C1054" s="6" t="s">
        <v>3263</v>
      </c>
      <c r="D1054" s="6" t="s">
        <v>3284</v>
      </c>
      <c r="E1054" s="6" t="s">
        <v>3281</v>
      </c>
      <c r="F1054" s="6" t="str">
        <f>HYPERLINK("http://www.estemporaneamadeinitaly.com/","www.estemporaneamadeinitaly.com")</f>
        <v>www.estemporaneamadeinitaly.com</v>
      </c>
    </row>
    <row r="1055" spans="1:6" ht="43.05" customHeight="1" x14ac:dyDescent="0.25">
      <c r="A1055" s="1" t="s">
        <v>3285</v>
      </c>
      <c r="B1055" s="6" t="s">
        <v>3286</v>
      </c>
      <c r="C1055" s="6" t="s">
        <v>3242</v>
      </c>
      <c r="D1055" s="6" t="s">
        <v>3277</v>
      </c>
      <c r="E1055" s="6" t="s">
        <v>3260</v>
      </c>
      <c r="F1055" s="6" t="str">
        <f>HYPERLINK("http://www.marcellisnewyork.com/","www.marcellisnewyork.com")</f>
        <v>www.marcellisnewyork.com</v>
      </c>
    </row>
    <row r="1056" spans="1:6" ht="16.95" customHeight="1" x14ac:dyDescent="0.25">
      <c r="A1056" s="5" t="s">
        <v>3287</v>
      </c>
      <c r="B1056" s="4" t="s">
        <v>3288</v>
      </c>
      <c r="C1056" s="4" t="s">
        <v>3242</v>
      </c>
      <c r="D1056" s="4" t="s">
        <v>3273</v>
      </c>
      <c r="E1056" s="4" t="s">
        <v>3253</v>
      </c>
      <c r="F1056" s="4" t="str">
        <f>HYPERLINK("http://www.amalfibyrangoni.it/","www.amalfibyrangoni.it")</f>
        <v>www.amalfibyrangoni.it</v>
      </c>
    </row>
    <row r="1057" spans="1:6" ht="29.55" customHeight="1" x14ac:dyDescent="0.25">
      <c r="A1057" s="5" t="s">
        <v>3289</v>
      </c>
      <c r="B1057" s="4" t="s">
        <v>3290</v>
      </c>
      <c r="C1057" s="4" t="s">
        <v>3263</v>
      </c>
      <c r="D1057" s="4" t="s">
        <v>3268</v>
      </c>
      <c r="E1057" s="4" t="s">
        <v>3246</v>
      </c>
      <c r="F1057" s="4" t="str">
        <f>HYPERLINK("http://www.solettificioromas.it/","www.solettificioromas.it")</f>
        <v>www.solettificioromas.it</v>
      </c>
    </row>
    <row r="1058" spans="1:6" ht="16.95" customHeight="1" x14ac:dyDescent="0.25">
      <c r="A1058" s="1" t="s">
        <v>3291</v>
      </c>
      <c r="B1058" s="6" t="s">
        <v>3292</v>
      </c>
      <c r="C1058" s="6" t="s">
        <v>3242</v>
      </c>
      <c r="D1058" s="6" t="s">
        <v>3277</v>
      </c>
      <c r="E1058" s="6" t="s">
        <v>3260</v>
      </c>
      <c r="F1058" s="6" t="str">
        <f>HYPERLINK("http://oxitalyshoes.com/","oxitalyshoes.com")</f>
        <v>oxitalyshoes.com</v>
      </c>
    </row>
    <row r="1059" spans="1:6" ht="16.95" customHeight="1" x14ac:dyDescent="0.25">
      <c r="A1059" s="5" t="s">
        <v>3293</v>
      </c>
      <c r="B1059" s="4" t="s">
        <v>3294</v>
      </c>
      <c r="C1059" s="4" t="s">
        <v>3242</v>
      </c>
      <c r="D1059" s="4" t="s">
        <v>3284</v>
      </c>
      <c r="E1059" s="4" t="s">
        <v>3281</v>
      </c>
      <c r="F1059" s="4" t="str">
        <f>HYPERLINK("http://www.facit.it/","www.facit.it")</f>
        <v>www.facit.it</v>
      </c>
    </row>
    <row r="1060" spans="1:6" ht="16.95" customHeight="1" x14ac:dyDescent="0.25">
      <c r="A1060" s="1" t="s">
        <v>3295</v>
      </c>
      <c r="B1060" s="6" t="s">
        <v>3296</v>
      </c>
      <c r="C1060" s="6" t="s">
        <v>3242</v>
      </c>
      <c r="D1060" s="6" t="s">
        <v>3268</v>
      </c>
      <c r="E1060" s="6" t="s">
        <v>3246</v>
      </c>
      <c r="F1060" s="6" t="str">
        <f>HYPERLINK("http://www.thaissrl.com/","www.thaissrl.com")</f>
        <v>www.thaissrl.com</v>
      </c>
    </row>
    <row r="1061" spans="1:6" ht="55.65" customHeight="1" x14ac:dyDescent="0.25">
      <c r="A1061" s="1" t="s">
        <v>3297</v>
      </c>
      <c r="B1061" s="6" t="s">
        <v>3298</v>
      </c>
      <c r="C1061" s="6" t="s">
        <v>3242</v>
      </c>
      <c r="D1061" s="6" t="s">
        <v>3277</v>
      </c>
      <c r="E1061" s="6" t="s">
        <v>3260</v>
      </c>
      <c r="F1061" s="6" t="str">
        <f>HYPERLINK("http://www.history541.com/","www.history541.com")</f>
        <v>www.history541.com</v>
      </c>
    </row>
    <row r="1062" spans="1:6" ht="16.95" customHeight="1" x14ac:dyDescent="0.25">
      <c r="A1062" s="1" t="s">
        <v>3299</v>
      </c>
      <c r="B1062" s="6" t="s">
        <v>3300</v>
      </c>
      <c r="C1062" s="6" t="s">
        <v>3301</v>
      </c>
      <c r="D1062" s="6" t="s">
        <v>3302</v>
      </c>
      <c r="E1062" s="6" t="s">
        <v>3303</v>
      </c>
      <c r="F1062" s="6" t="str">
        <f>HYPERLINK("http://www.francorussonapoli.it/","www.francorussonapoli.it")</f>
        <v>www.francorussonapoli.it</v>
      </c>
    </row>
    <row r="1063" spans="1:6" ht="29.55" customHeight="1" x14ac:dyDescent="0.25">
      <c r="A1063" s="5" t="s">
        <v>3304</v>
      </c>
      <c r="B1063" s="4" t="s">
        <v>3305</v>
      </c>
      <c r="C1063" s="4" t="s">
        <v>3301</v>
      </c>
      <c r="D1063" s="4" t="s">
        <v>3306</v>
      </c>
      <c r="E1063" s="4" t="s">
        <v>3307</v>
      </c>
      <c r="F1063" s="4" t="str">
        <f>HYPERLINK("http://www.marinofabiani.it/","www.marinofabiani.it")</f>
        <v>www.marinofabiani.it</v>
      </c>
    </row>
    <row r="1064" spans="1:6" ht="29.55" customHeight="1" x14ac:dyDescent="0.25">
      <c r="A1064" s="5" t="s">
        <v>3308</v>
      </c>
      <c r="B1064" s="4" t="s">
        <v>3309</v>
      </c>
      <c r="C1064" s="4" t="s">
        <v>3310</v>
      </c>
      <c r="D1064" s="4" t="s">
        <v>3311</v>
      </c>
      <c r="E1064" s="4" t="s">
        <v>3312</v>
      </c>
      <c r="F1064" s="4" t="str">
        <f>HYPERLINK("http://emme-elle-srl-02170480517.quantofattura.com/","emme-elle-srl-02170480517.quantofattura.com")</f>
        <v>emme-elle-srl-02170480517.quantofattura.com</v>
      </c>
    </row>
    <row r="1065" spans="1:6" ht="16.95" customHeight="1" x14ac:dyDescent="0.25">
      <c r="A1065" s="1" t="s">
        <v>3316</v>
      </c>
      <c r="B1065" s="6" t="s">
        <v>3317</v>
      </c>
      <c r="C1065" s="6" t="s">
        <v>3313</v>
      </c>
      <c r="D1065" s="6" t="s">
        <v>3315</v>
      </c>
      <c r="E1065" s="6" t="s">
        <v>3312</v>
      </c>
      <c r="F1065" s="6" t="str">
        <f>HYPERLINK("http://www.manifatturetoscana.com/","www.manifatturetoscana.com")</f>
        <v>www.manifatturetoscana.com</v>
      </c>
    </row>
    <row r="1066" spans="1:6" ht="16.95" customHeight="1" x14ac:dyDescent="0.25">
      <c r="A1066" s="1" t="s">
        <v>3319</v>
      </c>
      <c r="B1066" s="6" t="s">
        <v>3320</v>
      </c>
      <c r="C1066" s="6" t="s">
        <v>3301</v>
      </c>
      <c r="D1066" s="6" t="s">
        <v>3321</v>
      </c>
      <c r="E1066" s="6" t="s">
        <v>3318</v>
      </c>
      <c r="F1066" s="6" t="str">
        <f>HYPERLINK("http://www.s-teamsrl.it/","www.s-teamsrl.it")</f>
        <v>www.s-teamsrl.it</v>
      </c>
    </row>
    <row r="1067" spans="1:6" ht="16.95" customHeight="1" x14ac:dyDescent="0.25">
      <c r="A1067" s="5" t="s">
        <v>3322</v>
      </c>
      <c r="B1067" s="4" t="s">
        <v>3323</v>
      </c>
      <c r="C1067" s="4" t="s">
        <v>3313</v>
      </c>
      <c r="D1067" s="4" t="s">
        <v>3315</v>
      </c>
      <c r="E1067" s="4" t="s">
        <v>3312</v>
      </c>
      <c r="F1067" s="4" t="str">
        <f>HYPERLINK("http://www.arcobalenorifinizione.com/","www.arcobalenorifinizione.com")</f>
        <v>www.arcobalenorifinizione.com</v>
      </c>
    </row>
    <row r="1068" spans="1:6" ht="16.95" customHeight="1" x14ac:dyDescent="0.25">
      <c r="A1068" s="5" t="s">
        <v>3324</v>
      </c>
      <c r="B1068" s="4" t="s">
        <v>3325</v>
      </c>
      <c r="C1068" s="4" t="s">
        <v>3326</v>
      </c>
      <c r="D1068" s="4" t="s">
        <v>3327</v>
      </c>
      <c r="E1068" s="4" t="s">
        <v>3307</v>
      </c>
      <c r="F1068" s="4" t="str">
        <f>HYPERLINK("http://novagea.it/","novagea.it")</f>
        <v>novagea.it</v>
      </c>
    </row>
    <row r="1069" spans="1:6" ht="16.95" customHeight="1" x14ac:dyDescent="0.25">
      <c r="A1069" s="5" t="s">
        <v>3328</v>
      </c>
      <c r="B1069" s="4" t="s">
        <v>3329</v>
      </c>
      <c r="C1069" s="4" t="s">
        <v>3301</v>
      </c>
      <c r="D1069" s="4" t="s">
        <v>3315</v>
      </c>
      <c r="E1069" s="4" t="s">
        <v>3312</v>
      </c>
      <c r="F1069" s="4" t="str">
        <f>HYPERLINK("http://www.suolificioemmetre.it/","www.suolificioemmetre.it")</f>
        <v>www.suolificioemmetre.it</v>
      </c>
    </row>
    <row r="1070" spans="1:6" ht="16.95" customHeight="1" x14ac:dyDescent="0.25">
      <c r="A1070" s="1" t="s">
        <v>3330</v>
      </c>
      <c r="B1070" s="6" t="s">
        <v>3331</v>
      </c>
      <c r="C1070" s="6" t="s">
        <v>3301</v>
      </c>
      <c r="D1070" s="6" t="s">
        <v>3306</v>
      </c>
      <c r="E1070" s="6" t="s">
        <v>3307</v>
      </c>
      <c r="F1070" s="6" t="str">
        <f>HYPERLINK("http://www.officinemodelli.it/","www.officinemodelli.it")</f>
        <v>www.officinemodelli.it</v>
      </c>
    </row>
    <row r="1071" spans="1:6" ht="16.95" customHeight="1" x14ac:dyDescent="0.25">
      <c r="A1071" s="5" t="s">
        <v>3332</v>
      </c>
      <c r="B1071" s="4" t="s">
        <v>3333</v>
      </c>
      <c r="C1071" s="4" t="s">
        <v>3310</v>
      </c>
      <c r="D1071" s="4" t="s">
        <v>3334</v>
      </c>
      <c r="E1071" s="4" t="s">
        <v>3307</v>
      </c>
      <c r="F1071" s="4" t="str">
        <f>HYPERLINK("http://www.flaminia.it/","www.flaminia.it")</f>
        <v>www.flaminia.it</v>
      </c>
    </row>
    <row r="1072" spans="1:6" ht="16.95" customHeight="1" x14ac:dyDescent="0.25">
      <c r="A1072" s="1" t="s">
        <v>3335</v>
      </c>
      <c r="B1072" s="6" t="s">
        <v>3336</v>
      </c>
      <c r="C1072" s="6" t="s">
        <v>3313</v>
      </c>
      <c r="D1072" s="6" t="s">
        <v>3315</v>
      </c>
      <c r="E1072" s="6" t="s">
        <v>3312</v>
      </c>
      <c r="F1072" s="6" t="str">
        <f>HYPERLINK("http://biobasedleather.it/","biobasedleather.it")</f>
        <v>biobasedleather.it</v>
      </c>
    </row>
    <row r="1073" spans="1:6" ht="16.95" customHeight="1" x14ac:dyDescent="0.25">
      <c r="A1073" s="5" t="s">
        <v>3337</v>
      </c>
      <c r="B1073" s="4" t="s">
        <v>3338</v>
      </c>
      <c r="C1073" s="4" t="s">
        <v>3301</v>
      </c>
      <c r="D1073" s="4" t="s">
        <v>3306</v>
      </c>
      <c r="E1073" s="4" t="s">
        <v>3307</v>
      </c>
      <c r="F1073" s="4" t="str">
        <f>HYPERLINK("http://www.keltonsrl.it/","www.keltonsrl.it")</f>
        <v>www.keltonsrl.it</v>
      </c>
    </row>
    <row r="1074" spans="1:6" ht="16.95" customHeight="1" x14ac:dyDescent="0.25">
      <c r="A1074" s="1" t="s">
        <v>3339</v>
      </c>
      <c r="B1074" s="6" t="s">
        <v>3340</v>
      </c>
      <c r="C1074" s="6" t="s">
        <v>3313</v>
      </c>
      <c r="D1074" s="6" t="s">
        <v>3315</v>
      </c>
      <c r="E1074" s="6" t="s">
        <v>3312</v>
      </c>
      <c r="F1074" s="6" t="str">
        <f>HYPERLINK("http://www.italrettili.com/","www.italrettili.com")</f>
        <v>www.italrettili.com</v>
      </c>
    </row>
    <row r="1075" spans="1:6" ht="16.95" customHeight="1" x14ac:dyDescent="0.25">
      <c r="A1075" s="5" t="s">
        <v>3341</v>
      </c>
      <c r="B1075" s="4" t="s">
        <v>3342</v>
      </c>
      <c r="C1075" s="4" t="s">
        <v>3301</v>
      </c>
      <c r="D1075" s="4" t="s">
        <v>3343</v>
      </c>
      <c r="E1075" s="4" t="s">
        <v>3312</v>
      </c>
      <c r="F1075" s="4" t="str">
        <f>HYPERLINK("http://www.madeinitalyshoes.net/","www.madeinitalyshoes.net")</f>
        <v>www.madeinitalyshoes.net</v>
      </c>
    </row>
    <row r="1076" spans="1:6" ht="16.95" customHeight="1" x14ac:dyDescent="0.25">
      <c r="A1076" s="1" t="s">
        <v>3344</v>
      </c>
      <c r="B1076" s="6" t="s">
        <v>3345</v>
      </c>
      <c r="C1076" s="6" t="s">
        <v>3310</v>
      </c>
      <c r="D1076" s="6" t="s">
        <v>3346</v>
      </c>
      <c r="E1076" s="6" t="s">
        <v>3318</v>
      </c>
      <c r="F1076" s="6" t="str">
        <f>HYPERLINK("http://www.tressesrl.it/","www.tressesrl.it")</f>
        <v>www.tressesrl.it</v>
      </c>
    </row>
    <row r="1077" spans="1:6" ht="16.95" customHeight="1" x14ac:dyDescent="0.25">
      <c r="A1077" s="5" t="s">
        <v>3347</v>
      </c>
      <c r="B1077" s="4" t="s">
        <v>3348</v>
      </c>
      <c r="C1077" s="4" t="s">
        <v>3310</v>
      </c>
      <c r="D1077" s="4" t="s">
        <v>3314</v>
      </c>
      <c r="E1077" s="4" t="s">
        <v>3312</v>
      </c>
      <c r="F1077" s="4" t="str">
        <f>HYPERLINK("http://www.pelletterialuisanna.com/","www.pelletterialuisanna.com")</f>
        <v>www.pelletterialuisanna.com</v>
      </c>
    </row>
    <row r="1078" spans="1:6" ht="16.95" customHeight="1" x14ac:dyDescent="0.25">
      <c r="A1078" s="1" t="s">
        <v>3349</v>
      </c>
      <c r="B1078" s="6" t="s">
        <v>3350</v>
      </c>
      <c r="C1078" s="6" t="s">
        <v>3326</v>
      </c>
      <c r="D1078" s="6" t="s">
        <v>3314</v>
      </c>
      <c r="E1078" s="6" t="s">
        <v>3312</v>
      </c>
      <c r="F1078" s="6" t="str">
        <f>HYPERLINK("http://www.tomaificioleonardo.it/","www.tomaificioleonardo.it")</f>
        <v>www.tomaificioleonardo.it</v>
      </c>
    </row>
    <row r="1079" spans="1:6" ht="16.95" customHeight="1" x14ac:dyDescent="0.25">
      <c r="A1079" s="1" t="s">
        <v>3351</v>
      </c>
      <c r="B1079" s="6" t="s">
        <v>3352</v>
      </c>
      <c r="C1079" s="6" t="s">
        <v>3326</v>
      </c>
      <c r="D1079" s="6" t="s">
        <v>3343</v>
      </c>
      <c r="E1079" s="6" t="s">
        <v>3312</v>
      </c>
      <c r="F1079" s="6" t="str">
        <f>HYPERLINK("http://www.solettificiostylflex.it/","www.solettificiostylflex.it")</f>
        <v>www.solettificiostylflex.it</v>
      </c>
    </row>
    <row r="1080" spans="1:6" ht="16.95" customHeight="1" x14ac:dyDescent="0.25">
      <c r="A1080" s="5" t="s">
        <v>3355</v>
      </c>
      <c r="B1080" s="4" t="s">
        <v>3356</v>
      </c>
      <c r="C1080" s="4" t="s">
        <v>3357</v>
      </c>
      <c r="D1080" s="4" t="s">
        <v>3358</v>
      </c>
      <c r="E1080" s="4" t="s">
        <v>3359</v>
      </c>
      <c r="F1080" s="4" t="str">
        <f>HYPERLINK("http://www.nextstepcalzature.it/","www.nextstepcalzature.it")</f>
        <v>www.nextstepcalzature.it</v>
      </c>
    </row>
    <row r="1081" spans="1:6" ht="16.95" customHeight="1" x14ac:dyDescent="0.25">
      <c r="A1081" s="1" t="s">
        <v>3367</v>
      </c>
      <c r="B1081" s="6" t="s">
        <v>3368</v>
      </c>
      <c r="C1081" s="6" t="s">
        <v>3353</v>
      </c>
      <c r="D1081" s="6" t="s">
        <v>3369</v>
      </c>
      <c r="E1081" s="6" t="s">
        <v>3354</v>
      </c>
      <c r="F1081" s="6" t="str">
        <f>HYPERLINK("http://www.calzaturificiovictor.it/","www.calzaturificiovictor.it")</f>
        <v>www.calzaturificiovictor.it</v>
      </c>
    </row>
    <row r="1082" spans="1:6" ht="16.95" customHeight="1" x14ac:dyDescent="0.25">
      <c r="A1082" s="1" t="s">
        <v>3370</v>
      </c>
      <c r="B1082" s="6" t="s">
        <v>3371</v>
      </c>
      <c r="C1082" s="6" t="s">
        <v>3364</v>
      </c>
      <c r="D1082" s="6" t="s">
        <v>3372</v>
      </c>
      <c r="E1082" s="6" t="s">
        <v>3373</v>
      </c>
      <c r="F1082" s="6" t="str">
        <f>HYPERLINK("http://www.lianuma.com/","www.lianuma.com")</f>
        <v>www.lianuma.com</v>
      </c>
    </row>
    <row r="1083" spans="1:6" ht="16.95" customHeight="1" x14ac:dyDescent="0.25">
      <c r="A1083" s="5" t="s">
        <v>3375</v>
      </c>
      <c r="B1083" s="4" t="s">
        <v>3376</v>
      </c>
      <c r="C1083" s="4" t="s">
        <v>3357</v>
      </c>
      <c r="D1083" s="4" t="s">
        <v>3377</v>
      </c>
      <c r="E1083" s="4" t="s">
        <v>3378</v>
      </c>
      <c r="F1083" s="4" t="str">
        <f>HYPERLINK("http://www.suolificiomonterisi.it/","http://www.suolificiomonterisi.it")</f>
        <v>http://www.suolificiomonterisi.it</v>
      </c>
    </row>
    <row r="1084" spans="1:6" ht="16.95" customHeight="1" x14ac:dyDescent="0.25">
      <c r="A1084" s="1" t="s">
        <v>3379</v>
      </c>
      <c r="B1084" s="6" t="s">
        <v>3380</v>
      </c>
      <c r="C1084" s="6" t="s">
        <v>3360</v>
      </c>
      <c r="D1084" s="6" t="s">
        <v>3361</v>
      </c>
      <c r="E1084" s="6" t="s">
        <v>3354</v>
      </c>
      <c r="F1084" s="6" t="str">
        <f>HYPERLINK("http://www.cerripellami.it/","www.cerripellami.it")</f>
        <v>www.cerripellami.it</v>
      </c>
    </row>
    <row r="1085" spans="1:6" ht="16.95" customHeight="1" x14ac:dyDescent="0.25">
      <c r="A1085" s="5" t="s">
        <v>3383</v>
      </c>
      <c r="B1085" s="4" t="s">
        <v>3384</v>
      </c>
      <c r="C1085" s="4" t="s">
        <v>3360</v>
      </c>
      <c r="D1085" s="4" t="s">
        <v>3381</v>
      </c>
      <c r="E1085" s="4" t="s">
        <v>3382</v>
      </c>
      <c r="F1085" s="4" t="str">
        <f>HYPERLINK("http://www.gidal.it/","www.gidal.it")</f>
        <v>www.gidal.it</v>
      </c>
    </row>
    <row r="1086" spans="1:6" ht="43.05" customHeight="1" x14ac:dyDescent="0.25">
      <c r="A1086" s="5" t="s">
        <v>3385</v>
      </c>
      <c r="B1086" s="4" t="s">
        <v>3386</v>
      </c>
      <c r="C1086" s="4" t="s">
        <v>3353</v>
      </c>
      <c r="D1086" s="4" t="s">
        <v>3387</v>
      </c>
      <c r="E1086" s="4" t="s">
        <v>3363</v>
      </c>
      <c r="F1086" s="4" t="str">
        <f>HYPERLINK("http://www.luiscalzature.it/","www.luiscalzature.it")</f>
        <v>www.luiscalzature.it</v>
      </c>
    </row>
    <row r="1087" spans="1:6" ht="16.95" customHeight="1" x14ac:dyDescent="0.25">
      <c r="A1087" s="1" t="s">
        <v>3388</v>
      </c>
      <c r="B1087" s="6" t="s">
        <v>3389</v>
      </c>
      <c r="C1087" s="6" t="s">
        <v>3353</v>
      </c>
      <c r="D1087" s="6" t="s">
        <v>3390</v>
      </c>
      <c r="E1087" s="6" t="s">
        <v>3378</v>
      </c>
      <c r="F1087" s="6" t="str">
        <f>HYPERLINK("http://www.pawelks.it/","www.pawelks.it")</f>
        <v>www.pawelks.it</v>
      </c>
    </row>
    <row r="1088" spans="1:6" ht="16.95" customHeight="1" x14ac:dyDescent="0.25">
      <c r="A1088" s="5" t="s">
        <v>3391</v>
      </c>
      <c r="B1088" s="4" t="s">
        <v>3392</v>
      </c>
      <c r="C1088" s="4" t="s">
        <v>3353</v>
      </c>
      <c r="D1088" s="4" t="s">
        <v>3362</v>
      </c>
      <c r="E1088" s="4" t="s">
        <v>3363</v>
      </c>
      <c r="F1088" s="4" t="str">
        <f>HYPERLINK("http://www.rfrfabianoricci.it/","www.rfrfabianoricci.it")</f>
        <v>www.rfrfabianoricci.it</v>
      </c>
    </row>
    <row r="1089" spans="1:6" ht="29.55" customHeight="1" x14ac:dyDescent="0.25">
      <c r="A1089" s="5" t="s">
        <v>3393</v>
      </c>
      <c r="B1089" s="4" t="s">
        <v>3394</v>
      </c>
      <c r="C1089" s="4" t="s">
        <v>3353</v>
      </c>
      <c r="D1089" s="4" t="s">
        <v>3362</v>
      </c>
      <c r="E1089" s="4" t="s">
        <v>3363</v>
      </c>
      <c r="F1089" s="4" t="str">
        <f>HYPERLINK("http://www.mariobruni.it/","www.mariobruni.it")</f>
        <v>www.mariobruni.it</v>
      </c>
    </row>
    <row r="1090" spans="1:6" ht="16.95" customHeight="1" x14ac:dyDescent="0.25">
      <c r="A1090" s="1" t="s">
        <v>3395</v>
      </c>
      <c r="B1090" s="6" t="s">
        <v>3396</v>
      </c>
      <c r="C1090" s="6" t="s">
        <v>3374</v>
      </c>
      <c r="D1090" s="6" t="s">
        <v>3365</v>
      </c>
      <c r="E1090" s="6" t="s">
        <v>3366</v>
      </c>
      <c r="F1090" s="6" t="str">
        <f>HYPERLINK("http://www.cristiandaniel.com/","www.cristiandaniel.com")</f>
        <v>www.cristiandaniel.com</v>
      </c>
    </row>
    <row r="1091" spans="1:6" ht="29.55" customHeight="1" x14ac:dyDescent="0.25">
      <c r="A1091" s="5" t="s">
        <v>3397</v>
      </c>
      <c r="B1091" s="4" t="s">
        <v>3398</v>
      </c>
      <c r="C1091" s="4" t="s">
        <v>3364</v>
      </c>
      <c r="D1091" s="4" t="s">
        <v>3365</v>
      </c>
      <c r="E1091" s="4" t="s">
        <v>3366</v>
      </c>
      <c r="F1091" s="4" t="str">
        <f>HYPERLINK("http://www.lainoangelobelts.com/","www.lainoangelobelts.com")</f>
        <v>www.lainoangelobelts.com</v>
      </c>
    </row>
    <row r="1092" spans="1:6" ht="16.95" customHeight="1" x14ac:dyDescent="0.25">
      <c r="A1092" s="5" t="s">
        <v>3399</v>
      </c>
      <c r="B1092" s="4" t="s">
        <v>3400</v>
      </c>
      <c r="C1092" s="4" t="s">
        <v>3364</v>
      </c>
      <c r="D1092" s="4" t="s">
        <v>3387</v>
      </c>
      <c r="E1092" s="4" t="s">
        <v>3363</v>
      </c>
      <c r="F1092" s="4" t="str">
        <f>HYPERLINK("http://www.tmservicesrl.it/","www.tmservicesrl.it")</f>
        <v>www.tmservicesrl.it</v>
      </c>
    </row>
    <row r="1093" spans="1:6" ht="16.95" customHeight="1" x14ac:dyDescent="0.25">
      <c r="A1093" s="5" t="s">
        <v>3401</v>
      </c>
      <c r="B1093" s="4" t="s">
        <v>3402</v>
      </c>
      <c r="C1093" s="4" t="s">
        <v>3360</v>
      </c>
      <c r="D1093" s="4" t="s">
        <v>3381</v>
      </c>
      <c r="E1093" s="4" t="s">
        <v>3382</v>
      </c>
      <c r="F1093" s="4" t="str">
        <f>HYPERLINK("http://www.mdaitalia.com/","www.mdaitalia.com")</f>
        <v>www.mdaitalia.com</v>
      </c>
    </row>
    <row r="1094" spans="1:6" ht="16.95" customHeight="1" x14ac:dyDescent="0.25">
      <c r="A1094" s="5" t="s">
        <v>3407</v>
      </c>
      <c r="B1094" s="4" t="s">
        <v>3408</v>
      </c>
      <c r="C1094" s="4" t="s">
        <v>3403</v>
      </c>
      <c r="D1094" s="4" t="s">
        <v>3404</v>
      </c>
      <c r="E1094" s="4" t="s">
        <v>3405</v>
      </c>
      <c r="F1094" s="4" t="str">
        <f>HYPERLINK("http://www.imprespelli.it/","www.imprespelli.it")</f>
        <v>www.imprespelli.it</v>
      </c>
    </row>
    <row r="1095" spans="1:6" ht="16.95" customHeight="1" x14ac:dyDescent="0.25">
      <c r="A1095" s="1" t="s">
        <v>3409</v>
      </c>
      <c r="B1095" s="6" t="s">
        <v>3410</v>
      </c>
      <c r="C1095" s="6" t="s">
        <v>3411</v>
      </c>
      <c r="D1095" s="6" t="s">
        <v>3412</v>
      </c>
      <c r="E1095" s="6" t="s">
        <v>3406</v>
      </c>
      <c r="F1095" s="6" t="str">
        <f>HYPERLINK("http://www.lineacomoda.com/","www.lineacomoda.com")</f>
        <v>www.lineacomoda.com</v>
      </c>
    </row>
    <row r="1096" spans="1:6" ht="55.65" customHeight="1" x14ac:dyDescent="0.25">
      <c r="A1096" s="1" t="s">
        <v>3416</v>
      </c>
      <c r="B1096" s="6" t="s">
        <v>3417</v>
      </c>
      <c r="C1096" s="6" t="s">
        <v>3414</v>
      </c>
      <c r="D1096" s="6" t="s">
        <v>3418</v>
      </c>
      <c r="E1096" s="6" t="s">
        <v>3419</v>
      </c>
      <c r="F1096" s="6" t="str">
        <f>HYPERLINK("http://www.ilsorriso-imola.it/","www.ilsorriso-imola.it")</f>
        <v>www.ilsorriso-imola.it</v>
      </c>
    </row>
    <row r="1097" spans="1:6" ht="16.95" customHeight="1" x14ac:dyDescent="0.25">
      <c r="A1097" s="5" t="s">
        <v>3423</v>
      </c>
      <c r="B1097" s="4" t="s">
        <v>3424</v>
      </c>
      <c r="C1097" s="4" t="s">
        <v>3403</v>
      </c>
      <c r="D1097" s="4" t="s">
        <v>3425</v>
      </c>
      <c r="E1097" s="4" t="s">
        <v>3426</v>
      </c>
      <c r="F1097" s="4" t="str">
        <f>HYPERLINK("http://www.teknosystemsg.it/","www.teknosystemsg.it")</f>
        <v>www.teknosystemsg.it</v>
      </c>
    </row>
    <row r="1098" spans="1:6" ht="16.95" customHeight="1" x14ac:dyDescent="0.25">
      <c r="A1098" s="5" t="s">
        <v>3427</v>
      </c>
      <c r="B1098" s="4" t="s">
        <v>3428</v>
      </c>
      <c r="C1098" s="4" t="s">
        <v>3413</v>
      </c>
      <c r="D1098" s="4" t="s">
        <v>3420</v>
      </c>
      <c r="E1098" s="4" t="s">
        <v>3421</v>
      </c>
      <c r="F1098" s="4" t="str">
        <f>HYPERLINK("http://greengeorge.it/","greengeorge.it")</f>
        <v>greengeorge.it</v>
      </c>
    </row>
    <row r="1099" spans="1:6" ht="68.099999999999994" customHeight="1" x14ac:dyDescent="0.25">
      <c r="A1099" s="5" t="s">
        <v>3429</v>
      </c>
      <c r="B1099" s="4" t="s">
        <v>3430</v>
      </c>
      <c r="C1099" s="4" t="s">
        <v>3413</v>
      </c>
      <c r="D1099" s="4" t="s">
        <v>3431</v>
      </c>
      <c r="E1099" s="4" t="s">
        <v>3426</v>
      </c>
      <c r="F1099" s="4" t="str">
        <f>HYPERLINK("http://www.brasilen.it/","www.brasilen.it")</f>
        <v>www.brasilen.it</v>
      </c>
    </row>
    <row r="1100" spans="1:6" ht="16.95" customHeight="1" x14ac:dyDescent="0.25">
      <c r="A1100" s="1" t="s">
        <v>3432</v>
      </c>
      <c r="B1100" s="6" t="s">
        <v>3433</v>
      </c>
      <c r="C1100" s="6" t="s">
        <v>3411</v>
      </c>
      <c r="D1100" s="6" t="s">
        <v>3412</v>
      </c>
      <c r="E1100" s="6" t="s">
        <v>3406</v>
      </c>
      <c r="F1100" s="6" t="str">
        <f>HYPERLINK("http://www.delduca.it/","www.delduca.it")</f>
        <v>www.delduca.it</v>
      </c>
    </row>
    <row r="1101" spans="1:6" ht="16.95" customHeight="1" x14ac:dyDescent="0.25">
      <c r="A1101" s="1" t="s">
        <v>3434</v>
      </c>
      <c r="B1101" s="6" t="s">
        <v>3435</v>
      </c>
      <c r="C1101" s="6" t="s">
        <v>3414</v>
      </c>
      <c r="D1101" s="6" t="s">
        <v>3415</v>
      </c>
      <c r="E1101" s="6" t="s">
        <v>3405</v>
      </c>
      <c r="F1101" s="6" t="str">
        <f>HYPERLINK("http://sapafatelier1954.com/","sapafatelier1954.com")</f>
        <v>sapafatelier1954.com</v>
      </c>
    </row>
    <row r="1102" spans="1:6" ht="16.95" customHeight="1" x14ac:dyDescent="0.25">
      <c r="A1102" s="5" t="s">
        <v>3436</v>
      </c>
      <c r="B1102" s="4" t="s">
        <v>3437</v>
      </c>
      <c r="C1102" s="4" t="s">
        <v>3411</v>
      </c>
      <c r="D1102" s="4" t="s">
        <v>3404</v>
      </c>
      <c r="E1102" s="4" t="s">
        <v>3405</v>
      </c>
      <c r="F1102" s="4" t="str">
        <f>HYPERLINK("http://pamarsrl.com/","pamarsrl.com")</f>
        <v>pamarsrl.com</v>
      </c>
    </row>
    <row r="1103" spans="1:6" ht="16.95" customHeight="1" x14ac:dyDescent="0.25">
      <c r="A1103" s="5" t="s">
        <v>3438</v>
      </c>
      <c r="B1103" s="4" t="s">
        <v>3439</v>
      </c>
      <c r="C1103" s="4" t="s">
        <v>3422</v>
      </c>
      <c r="D1103" s="4" t="s">
        <v>3440</v>
      </c>
      <c r="E1103" s="4" t="s">
        <v>3421</v>
      </c>
      <c r="F1103" s="4" t="str">
        <f>HYPERLINK("http://www.tacchificio2m.com/","www.tacchificio2m.com")</f>
        <v>www.tacchificio2m.com</v>
      </c>
    </row>
    <row r="1104" spans="1:6" ht="16.95" customHeight="1" x14ac:dyDescent="0.25">
      <c r="A1104" s="5" t="s">
        <v>3441</v>
      </c>
      <c r="B1104" s="4" t="s">
        <v>3442</v>
      </c>
      <c r="C1104" s="4" t="s">
        <v>3414</v>
      </c>
      <c r="D1104" s="4" t="s">
        <v>3431</v>
      </c>
      <c r="E1104" s="4" t="s">
        <v>3426</v>
      </c>
      <c r="F1104" s="4" t="str">
        <f>HYPERLINK("http://www.thebikezone.it/","www.thebikezone.it")</f>
        <v>www.thebikezone.it</v>
      </c>
    </row>
    <row r="1105" spans="1:6" ht="16.95" customHeight="1" x14ac:dyDescent="0.25">
      <c r="A1105" s="1" t="s">
        <v>3443</v>
      </c>
      <c r="B1105" s="6" t="s">
        <v>3444</v>
      </c>
      <c r="C1105" s="6" t="s">
        <v>3445</v>
      </c>
      <c r="D1105" s="6" t="s">
        <v>3446</v>
      </c>
      <c r="E1105" s="6" t="s">
        <v>3447</v>
      </c>
      <c r="F1105" s="6" t="str">
        <f>HYPERLINK("http://www.cobrapelletterie.com/","www.cobrapelletterie.com")</f>
        <v>www.cobrapelletterie.com</v>
      </c>
    </row>
    <row r="1106" spans="1:6" ht="16.95" customHeight="1" x14ac:dyDescent="0.25">
      <c r="A1106" s="5" t="s">
        <v>3456</v>
      </c>
      <c r="B1106" s="4" t="s">
        <v>3457</v>
      </c>
      <c r="C1106" s="4" t="s">
        <v>3448</v>
      </c>
      <c r="D1106" s="4" t="s">
        <v>3449</v>
      </c>
      <c r="E1106" s="4" t="s">
        <v>3450</v>
      </c>
      <c r="F1106" s="4" t="str">
        <f>HYPERLINK("http://www.plus-pell.it/","www.plus-pell.it")</f>
        <v>www.plus-pell.it</v>
      </c>
    </row>
    <row r="1107" spans="1:6" ht="16.95" customHeight="1" x14ac:dyDescent="0.25">
      <c r="A1107" s="1" t="s">
        <v>3458</v>
      </c>
      <c r="B1107" s="6" t="s">
        <v>3459</v>
      </c>
      <c r="C1107" s="6" t="s">
        <v>3452</v>
      </c>
      <c r="D1107" s="6" t="s">
        <v>3455</v>
      </c>
      <c r="E1107" s="6" t="s">
        <v>3454</v>
      </c>
      <c r="F1107" s="6" t="str">
        <f>HYPERLINK("http://www.suolificiogbc.it/","www.suolificiogbc.it")</f>
        <v>www.suolificiogbc.it</v>
      </c>
    </row>
    <row r="1108" spans="1:6" ht="16.95" customHeight="1" x14ac:dyDescent="0.25">
      <c r="A1108" s="5" t="s">
        <v>3461</v>
      </c>
      <c r="B1108" s="4" t="s">
        <v>3462</v>
      </c>
      <c r="C1108" s="4" t="s">
        <v>3451</v>
      </c>
      <c r="D1108" s="4" t="s">
        <v>3453</v>
      </c>
      <c r="E1108" s="4" t="s">
        <v>3454</v>
      </c>
      <c r="F1108" s="4" t="str">
        <f>HYPERLINK("http://www.hollystyle.it/","www.hollystyle.it")</f>
        <v>www.hollystyle.it</v>
      </c>
    </row>
    <row r="1109" spans="1:6" ht="16.95" customHeight="1" x14ac:dyDescent="0.25">
      <c r="A1109" s="1" t="s">
        <v>3463</v>
      </c>
      <c r="B1109" s="6" t="s">
        <v>3464</v>
      </c>
      <c r="C1109" s="6" t="s">
        <v>3451</v>
      </c>
      <c r="D1109" s="6" t="s">
        <v>3453</v>
      </c>
      <c r="E1109" s="6" t="s">
        <v>3454</v>
      </c>
      <c r="F1109" s="6" t="str">
        <f>HYPERLINK("http://www.lunellaweb.it/","www.lunellaweb.it")</f>
        <v>www.lunellaweb.it</v>
      </c>
    </row>
    <row r="1110" spans="1:6" ht="29.55" customHeight="1" x14ac:dyDescent="0.25">
      <c r="A1110" s="1" t="s">
        <v>3465</v>
      </c>
      <c r="B1110" s="6" t="s">
        <v>3466</v>
      </c>
      <c r="C1110" s="6" t="s">
        <v>3451</v>
      </c>
      <c r="D1110" s="6" t="s">
        <v>3467</v>
      </c>
      <c r="E1110" s="6" t="s">
        <v>3468</v>
      </c>
      <c r="F1110" s="6" t="str">
        <f>HYPERLINK("http://www.norton-shoes.it/","http://www.norton-shoes.it")</f>
        <v>http://www.norton-shoes.it</v>
      </c>
    </row>
    <row r="1111" spans="1:6" ht="29.55" customHeight="1" x14ac:dyDescent="0.25">
      <c r="A1111" s="5" t="s">
        <v>3471</v>
      </c>
      <c r="B1111" s="4" t="s">
        <v>3472</v>
      </c>
      <c r="C1111" s="4" t="s">
        <v>3451</v>
      </c>
      <c r="D1111" s="4" t="s">
        <v>3455</v>
      </c>
      <c r="E1111" s="4" t="s">
        <v>3454</v>
      </c>
      <c r="F1111" s="4" t="str">
        <f>HYPERLINK("http://mensshoes.it/","mensshoes.it")</f>
        <v>mensshoes.it</v>
      </c>
    </row>
    <row r="1112" spans="1:6" ht="16.95" customHeight="1" x14ac:dyDescent="0.25">
      <c r="A1112" s="1" t="s">
        <v>3473</v>
      </c>
      <c r="B1112" s="6" t="s">
        <v>3474</v>
      </c>
      <c r="C1112" s="6" t="s">
        <v>3448</v>
      </c>
      <c r="D1112" s="6" t="s">
        <v>3469</v>
      </c>
      <c r="E1112" s="6" t="s">
        <v>3447</v>
      </c>
      <c r="F1112" s="6" t="str">
        <f>HYPERLINK("http://www.futura-srl.net/","www.futura-srl.net")</f>
        <v>www.futura-srl.net</v>
      </c>
    </row>
    <row r="1113" spans="1:6" ht="16.95" customHeight="1" x14ac:dyDescent="0.25">
      <c r="A1113" s="5" t="s">
        <v>3475</v>
      </c>
      <c r="B1113" s="4" t="s">
        <v>3476</v>
      </c>
      <c r="C1113" s="4" t="s">
        <v>3452</v>
      </c>
      <c r="D1113" s="4" t="s">
        <v>3477</v>
      </c>
      <c r="E1113" s="4" t="s">
        <v>3447</v>
      </c>
      <c r="F1113" s="4" t="str">
        <f>HYPERLINK("http://latorrefasciature.it/","latorrefasciature.it")</f>
        <v>latorrefasciature.it</v>
      </c>
    </row>
    <row r="1114" spans="1:6" ht="16.95" customHeight="1" x14ac:dyDescent="0.25">
      <c r="A1114" s="1" t="s">
        <v>3478</v>
      </c>
      <c r="B1114" s="6" t="s">
        <v>3479</v>
      </c>
      <c r="C1114" s="6" t="s">
        <v>3452</v>
      </c>
      <c r="D1114" s="6" t="s">
        <v>3480</v>
      </c>
      <c r="E1114" s="6" t="s">
        <v>3481</v>
      </c>
      <c r="F1114" s="6" t="str">
        <f>HYPERLINK("http://www.riccienrico.it/","www.riccienrico.it")</f>
        <v>www.riccienrico.it</v>
      </c>
    </row>
    <row r="1115" spans="1:6" ht="43.05" customHeight="1" x14ac:dyDescent="0.25">
      <c r="A1115" s="5" t="s">
        <v>3482</v>
      </c>
      <c r="B1115" s="4" t="s">
        <v>3483</v>
      </c>
      <c r="C1115" s="4" t="s">
        <v>3452</v>
      </c>
      <c r="D1115" s="4" t="s">
        <v>3460</v>
      </c>
      <c r="E1115" s="4" t="s">
        <v>3450</v>
      </c>
      <c r="F1115" s="4" t="str">
        <f>HYPERLINK("http://www.leta.it/","www.leta.it")</f>
        <v>www.leta.it</v>
      </c>
    </row>
    <row r="1116" spans="1:6" ht="16.95" customHeight="1" x14ac:dyDescent="0.25">
      <c r="A1116" s="1" t="s">
        <v>3484</v>
      </c>
      <c r="B1116" s="6" t="s">
        <v>3485</v>
      </c>
      <c r="C1116" s="6" t="s">
        <v>3451</v>
      </c>
      <c r="D1116" s="6" t="s">
        <v>3453</v>
      </c>
      <c r="E1116" s="6" t="s">
        <v>3454</v>
      </c>
      <c r="F1116" s="6" t="str">
        <f>HYPERLINK("http://www.nerogiardini.it/","www.nerogiardini.it")</f>
        <v>www.nerogiardini.it</v>
      </c>
    </row>
    <row r="1117" spans="1:6" ht="29.55" customHeight="1" x14ac:dyDescent="0.25">
      <c r="A1117" s="5" t="s">
        <v>3486</v>
      </c>
      <c r="B1117" s="4" t="s">
        <v>3487</v>
      </c>
      <c r="C1117" s="4" t="s">
        <v>3451</v>
      </c>
      <c r="D1117" s="4" t="s">
        <v>3488</v>
      </c>
      <c r="E1117" s="4" t="s">
        <v>3447</v>
      </c>
      <c r="F1117" s="4" t="str">
        <f>HYPERLINK("http://www.robertodelcarlo.it/","www.robertodelcarlo.it")</f>
        <v>www.robertodelcarlo.it</v>
      </c>
    </row>
    <row r="1118" spans="1:6" ht="16.95" customHeight="1" x14ac:dyDescent="0.25">
      <c r="A1118" s="5" t="s">
        <v>3489</v>
      </c>
      <c r="B1118" s="4" t="s">
        <v>3490</v>
      </c>
      <c r="C1118" s="4" t="s">
        <v>3452</v>
      </c>
      <c r="D1118" s="4" t="s">
        <v>3453</v>
      </c>
      <c r="E1118" s="4" t="s">
        <v>3454</v>
      </c>
      <c r="F1118" s="4" t="str">
        <f>HYPERLINK("http://www.solettificiotris.it/","www.solettificiotris.it")</f>
        <v>www.solettificiotris.it</v>
      </c>
    </row>
    <row r="1119" spans="1:6" ht="16.95" customHeight="1" x14ac:dyDescent="0.25">
      <c r="A1119" s="5" t="s">
        <v>3491</v>
      </c>
      <c r="B1119" s="4" t="s">
        <v>3492</v>
      </c>
      <c r="C1119" s="4" t="s">
        <v>3470</v>
      </c>
      <c r="D1119" s="4" t="s">
        <v>3446</v>
      </c>
      <c r="E1119" s="4" t="s">
        <v>3447</v>
      </c>
      <c r="F1119" s="4" t="str">
        <f>HYPERLINK("http://www.pierotucci.com/","www.pierotucci.com")</f>
        <v>www.pierotucci.com</v>
      </c>
    </row>
    <row r="1120" spans="1:6" ht="16.95" customHeight="1" x14ac:dyDescent="0.25">
      <c r="A1120" s="5" t="s">
        <v>3495</v>
      </c>
      <c r="B1120" s="4" t="s">
        <v>3496</v>
      </c>
      <c r="C1120" s="4" t="s">
        <v>3497</v>
      </c>
      <c r="D1120" s="4" t="s">
        <v>3498</v>
      </c>
      <c r="E1120" s="4" t="s">
        <v>3499</v>
      </c>
      <c r="F1120" s="4" t="str">
        <f>HYPERLINK("http://pelletterialamelina.it/","pelletterialamelina.it")</f>
        <v>pelletterialamelina.it</v>
      </c>
    </row>
    <row r="1121" spans="1:6" ht="16.95" customHeight="1" x14ac:dyDescent="0.25">
      <c r="A1121" s="1" t="s">
        <v>3500</v>
      </c>
      <c r="B1121" s="6" t="s">
        <v>3501</v>
      </c>
      <c r="C1121" s="6" t="s">
        <v>3497</v>
      </c>
      <c r="D1121" s="6" t="s">
        <v>3502</v>
      </c>
      <c r="E1121" s="6" t="s">
        <v>3494</v>
      </c>
      <c r="F1121" s="6" t="str">
        <f>HYPERLINK("http://www.desireelupi.com/","www.desireelupi.com")</f>
        <v>www.desireelupi.com</v>
      </c>
    </row>
    <row r="1122" spans="1:6" ht="16.95" customHeight="1" x14ac:dyDescent="0.25">
      <c r="A1122" s="5" t="s">
        <v>3503</v>
      </c>
      <c r="B1122" s="4" t="s">
        <v>3504</v>
      </c>
      <c r="C1122" s="4" t="s">
        <v>3505</v>
      </c>
      <c r="D1122" s="4" t="s">
        <v>3506</v>
      </c>
      <c r="E1122" s="4" t="s">
        <v>3507</v>
      </c>
      <c r="F1122" s="4" t="str">
        <f>HYPERLINK("http://edershoes.it/","edershoes.it")</f>
        <v>edershoes.it</v>
      </c>
    </row>
    <row r="1123" spans="1:6" ht="16.95" customHeight="1" x14ac:dyDescent="0.25">
      <c r="A1123" s="5" t="s">
        <v>3510</v>
      </c>
      <c r="B1123" s="4" t="s">
        <v>3511</v>
      </c>
      <c r="C1123" s="4" t="s">
        <v>3497</v>
      </c>
      <c r="D1123" s="4" t="s">
        <v>3512</v>
      </c>
      <c r="E1123" s="4" t="s">
        <v>3513</v>
      </c>
      <c r="F1123" s="4" t="str">
        <f>HYPERLINK("http://www.iopelleitalia.com/","www.iopelleitalia.com")</f>
        <v>www.iopelleitalia.com</v>
      </c>
    </row>
    <row r="1124" spans="1:6" ht="16.95" customHeight="1" x14ac:dyDescent="0.25">
      <c r="A1124" s="1" t="s">
        <v>3515</v>
      </c>
      <c r="B1124" s="6" t="s">
        <v>3516</v>
      </c>
      <c r="C1124" s="6" t="s">
        <v>3505</v>
      </c>
      <c r="D1124" s="6" t="s">
        <v>3502</v>
      </c>
      <c r="E1124" s="6" t="s">
        <v>3494</v>
      </c>
      <c r="F1124" s="6" t="str">
        <f>HYPERLINK("http://www.newstepsrl.it/","www.newstepsrl.it")</f>
        <v>www.newstepsrl.it</v>
      </c>
    </row>
    <row r="1125" spans="1:6" ht="68.099999999999994" customHeight="1" x14ac:dyDescent="0.25">
      <c r="A1125" s="5" t="s">
        <v>3517</v>
      </c>
      <c r="B1125" s="4" t="s">
        <v>3518</v>
      </c>
      <c r="C1125" s="4" t="s">
        <v>3493</v>
      </c>
      <c r="D1125" s="4" t="s">
        <v>3519</v>
      </c>
      <c r="E1125" s="4" t="s">
        <v>3499</v>
      </c>
      <c r="F1125" s="4" t="str">
        <f>HYPERLINK("http://www.guardolificiolucchese.com/","www.guardolificiolucchese.com")</f>
        <v>www.guardolificiolucchese.com</v>
      </c>
    </row>
    <row r="1126" spans="1:6" ht="16.95" customHeight="1" x14ac:dyDescent="0.25">
      <c r="A1126" s="1" t="s">
        <v>3521</v>
      </c>
      <c r="B1126" s="6" t="s">
        <v>3522</v>
      </c>
      <c r="C1126" s="6" t="s">
        <v>3493</v>
      </c>
      <c r="D1126" s="6" t="s">
        <v>3514</v>
      </c>
      <c r="E1126" s="6" t="s">
        <v>3499</v>
      </c>
      <c r="F1126" s="6" t="str">
        <f>HYPERLINK("http://www.tacchificiogiorgio.it/","www.tacchificiogiorgio.it")</f>
        <v>www.tacchificiogiorgio.it</v>
      </c>
    </row>
    <row r="1127" spans="1:6" ht="16.95" customHeight="1" x14ac:dyDescent="0.25">
      <c r="A1127" s="5" t="s">
        <v>3523</v>
      </c>
      <c r="B1127" s="4" t="s">
        <v>3524</v>
      </c>
      <c r="C1127" s="4" t="s">
        <v>3505</v>
      </c>
      <c r="D1127" s="4" t="s">
        <v>3525</v>
      </c>
      <c r="E1127" s="4" t="s">
        <v>3494</v>
      </c>
      <c r="F1127" s="4" t="str">
        <f>HYPERLINK("http://www.lilimill.com/","www.lilimill.com")</f>
        <v>www.lilimill.com</v>
      </c>
    </row>
    <row r="1128" spans="1:6" ht="16.95" customHeight="1" x14ac:dyDescent="0.25">
      <c r="A1128" s="5" t="s">
        <v>3526</v>
      </c>
      <c r="B1128" s="4" t="s">
        <v>3527</v>
      </c>
      <c r="C1128" s="4" t="s">
        <v>3497</v>
      </c>
      <c r="D1128" s="4" t="s">
        <v>3520</v>
      </c>
      <c r="E1128" s="4" t="s">
        <v>3509</v>
      </c>
      <c r="F1128" s="4" t="str">
        <f>HYPERLINK("http://www.martinicabelts.it/","www.martinicabelts.it")</f>
        <v>www.martinicabelts.it</v>
      </c>
    </row>
    <row r="1129" spans="1:6" ht="16.95" customHeight="1" x14ac:dyDescent="0.25">
      <c r="A1129" s="1" t="s">
        <v>3528</v>
      </c>
      <c r="B1129" s="6" t="s">
        <v>3529</v>
      </c>
      <c r="C1129" s="6" t="s">
        <v>3530</v>
      </c>
      <c r="D1129" s="6" t="s">
        <v>3512</v>
      </c>
      <c r="E1129" s="6" t="s">
        <v>3513</v>
      </c>
      <c r="F1129" s="6" t="str">
        <f>HYPERLINK("http://tacchificiopalma.it/","tacchificiopalma.it")</f>
        <v>tacchificiopalma.it</v>
      </c>
    </row>
    <row r="1130" spans="1:6" ht="16.95" customHeight="1" x14ac:dyDescent="0.25">
      <c r="A1130" s="5" t="s">
        <v>3531</v>
      </c>
      <c r="B1130" s="4" t="s">
        <v>3532</v>
      </c>
      <c r="C1130" s="4" t="s">
        <v>3497</v>
      </c>
      <c r="D1130" s="4" t="s">
        <v>3533</v>
      </c>
      <c r="E1130" s="4" t="s">
        <v>3534</v>
      </c>
      <c r="F1130" s="4" t="str">
        <f>HYPERLINK("http://www.reptileshouse.net/","www.reptileshouse.net")</f>
        <v>www.reptileshouse.net</v>
      </c>
    </row>
    <row r="1131" spans="1:6" ht="16.95" customHeight="1" x14ac:dyDescent="0.25">
      <c r="A1131" s="5" t="s">
        <v>3535</v>
      </c>
      <c r="B1131" s="4" t="s">
        <v>3536</v>
      </c>
      <c r="C1131" s="4" t="s">
        <v>3505</v>
      </c>
      <c r="D1131" s="4" t="s">
        <v>3514</v>
      </c>
      <c r="E1131" s="4" t="s">
        <v>3499</v>
      </c>
      <c r="F1131" s="4" t="str">
        <f>HYPERLINK("http://www.calzaturificiorusam.com/","www.calzaturificiorusam.com")</f>
        <v>www.calzaturificiorusam.com</v>
      </c>
    </row>
    <row r="1132" spans="1:6" ht="16.95" customHeight="1" x14ac:dyDescent="0.25">
      <c r="A1132" s="1" t="s">
        <v>3537</v>
      </c>
      <c r="B1132" s="6" t="s">
        <v>3538</v>
      </c>
      <c r="C1132" s="6" t="s">
        <v>3505</v>
      </c>
      <c r="D1132" s="6" t="s">
        <v>3539</v>
      </c>
      <c r="E1132" s="6" t="s">
        <v>3509</v>
      </c>
      <c r="F1132" s="6" t="str">
        <f>HYPERLINK("http://www.baccarogroup.com/","www.baccarogroup.com")</f>
        <v>www.baccarogroup.com</v>
      </c>
    </row>
    <row r="1133" spans="1:6" ht="29.55" customHeight="1" x14ac:dyDescent="0.25">
      <c r="A1133" s="1" t="s">
        <v>3540</v>
      </c>
      <c r="B1133" s="6" t="s">
        <v>3541</v>
      </c>
      <c r="C1133" s="6" t="s">
        <v>3508</v>
      </c>
      <c r="D1133" s="6" t="s">
        <v>3514</v>
      </c>
      <c r="E1133" s="6" t="s">
        <v>3499</v>
      </c>
      <c r="F1133" s="6" t="str">
        <f>HYPERLINK("http://virgilioconceriaartigiana.it/","virgilioconceriaartigiana.it")</f>
        <v>virgilioconceriaartigiana.it</v>
      </c>
    </row>
    <row r="1134" spans="1:6" ht="43.05" customHeight="1" x14ac:dyDescent="0.25">
      <c r="A1134" s="5" t="s">
        <v>3542</v>
      </c>
      <c r="B1134" s="4" t="s">
        <v>3543</v>
      </c>
      <c r="C1134" s="4" t="s">
        <v>3497</v>
      </c>
      <c r="D1134" s="4" t="s">
        <v>3512</v>
      </c>
      <c r="E1134" s="4" t="s">
        <v>3513</v>
      </c>
      <c r="F1134" s="4" t="str">
        <f>HYPERLINK("http://www.8project.it/","www.8project.it")</f>
        <v>www.8project.it</v>
      </c>
    </row>
    <row r="1135" spans="1:6" ht="16.95" customHeight="1" x14ac:dyDescent="0.25">
      <c r="A1135" s="5" t="s">
        <v>3544</v>
      </c>
      <c r="B1135" s="4" t="s">
        <v>3545</v>
      </c>
      <c r="C1135" s="4" t="s">
        <v>3505</v>
      </c>
      <c r="D1135" s="4" t="s">
        <v>3519</v>
      </c>
      <c r="E1135" s="4" t="s">
        <v>3499</v>
      </c>
      <c r="F1135" s="4" t="str">
        <f>HYPERLINK("http://www.fadel.it/","www.fadel.it")</f>
        <v>www.fadel.it</v>
      </c>
    </row>
    <row r="1136" spans="1:6" ht="16.95" customHeight="1" x14ac:dyDescent="0.25">
      <c r="A1136" s="5" t="s">
        <v>3551</v>
      </c>
      <c r="B1136" s="4" t="s">
        <v>3552</v>
      </c>
      <c r="C1136" s="4" t="s">
        <v>3553</v>
      </c>
      <c r="D1136" s="4" t="s">
        <v>3554</v>
      </c>
      <c r="E1136" s="4" t="s">
        <v>3555</v>
      </c>
      <c r="F1136" s="4" t="str">
        <f>HYPERLINK("http://www.andreadamico.com/","www.andreadamico.com")</f>
        <v>www.andreadamico.com</v>
      </c>
    </row>
    <row r="1137" spans="1:6" ht="16.95" customHeight="1" x14ac:dyDescent="0.25">
      <c r="A1137" s="1" t="s">
        <v>3556</v>
      </c>
      <c r="B1137" s="6" t="s">
        <v>3557</v>
      </c>
      <c r="C1137" s="6" t="s">
        <v>3553</v>
      </c>
      <c r="D1137" s="6" t="s">
        <v>3558</v>
      </c>
      <c r="E1137" s="6" t="s">
        <v>3559</v>
      </c>
      <c r="F1137" s="6" t="str">
        <f>HYPERLINK("http://www.michaelsoho.com/","www.michaelsoho.com")</f>
        <v>www.michaelsoho.com</v>
      </c>
    </row>
    <row r="1138" spans="1:6" ht="16.95" customHeight="1" x14ac:dyDescent="0.25">
      <c r="A1138" s="5" t="s">
        <v>3560</v>
      </c>
      <c r="B1138" s="4" t="s">
        <v>3561</v>
      </c>
      <c r="C1138" s="4" t="s">
        <v>3546</v>
      </c>
      <c r="D1138" s="4" t="s">
        <v>3562</v>
      </c>
      <c r="E1138" s="4" t="s">
        <v>3563</v>
      </c>
      <c r="F1138" s="4" t="str">
        <f>HYPERLINK("http://www.suolificiodecarolis.com/","www.suolificiodecarolis.com")</f>
        <v>www.suolificiodecarolis.com</v>
      </c>
    </row>
    <row r="1139" spans="1:6" ht="16.95" customHeight="1" x14ac:dyDescent="0.25">
      <c r="A1139" s="1" t="s">
        <v>3567</v>
      </c>
      <c r="B1139" s="6" t="s">
        <v>3568</v>
      </c>
      <c r="C1139" s="6" t="s">
        <v>3553</v>
      </c>
      <c r="D1139" s="6" t="s">
        <v>3564</v>
      </c>
      <c r="E1139" s="6" t="s">
        <v>3559</v>
      </c>
      <c r="F1139" s="6" t="str">
        <f>HYPERLINK("http://www.bottegaquadra.com/","www.bottegaquadra.com")</f>
        <v>www.bottegaquadra.com</v>
      </c>
    </row>
    <row r="1140" spans="1:6" ht="16.95" customHeight="1" x14ac:dyDescent="0.25">
      <c r="A1140" s="5" t="s">
        <v>3570</v>
      </c>
      <c r="B1140" s="4" t="s">
        <v>3571</v>
      </c>
      <c r="C1140" s="4" t="s">
        <v>3548</v>
      </c>
      <c r="D1140" s="4" t="s">
        <v>3549</v>
      </c>
      <c r="E1140" s="4" t="s">
        <v>3550</v>
      </c>
      <c r="F1140" s="4" t="str">
        <f>HYPERLINK("http://tonilab25.it/","tonilab25.it")</f>
        <v>tonilab25.it</v>
      </c>
    </row>
    <row r="1141" spans="1:6" ht="16.95" customHeight="1" x14ac:dyDescent="0.25">
      <c r="A1141" s="5" t="s">
        <v>3572</v>
      </c>
      <c r="B1141" s="4" t="s">
        <v>3573</v>
      </c>
      <c r="C1141" s="4" t="s">
        <v>3548</v>
      </c>
      <c r="D1141" s="4" t="s">
        <v>3566</v>
      </c>
      <c r="E1141" s="4" t="s">
        <v>3565</v>
      </c>
      <c r="F1141" s="4" t="str">
        <f>HYPERLINK("http://www.ripellsrl.com/","www.ripellsrl.com")</f>
        <v>www.ripellsrl.com</v>
      </c>
    </row>
    <row r="1142" spans="1:6" ht="16.95" customHeight="1" x14ac:dyDescent="0.25">
      <c r="A1142" s="1" t="s">
        <v>3574</v>
      </c>
      <c r="B1142" s="6" t="s">
        <v>3575</v>
      </c>
      <c r="C1142" s="6" t="s">
        <v>3546</v>
      </c>
      <c r="D1142" s="6" t="s">
        <v>3576</v>
      </c>
      <c r="E1142" s="6" t="s">
        <v>3547</v>
      </c>
      <c r="F1142" s="6" t="str">
        <f>HYPERLINK("http://www.revolutionshoes.it/","www.revolutionshoes.it")</f>
        <v>www.revolutionshoes.it</v>
      </c>
    </row>
    <row r="1143" spans="1:6" ht="16.95" customHeight="1" x14ac:dyDescent="0.25">
      <c r="A1143" s="5" t="s">
        <v>3577</v>
      </c>
      <c r="B1143" s="4" t="s">
        <v>3578</v>
      </c>
      <c r="C1143" s="4" t="s">
        <v>3548</v>
      </c>
      <c r="D1143" s="4" t="s">
        <v>3564</v>
      </c>
      <c r="E1143" s="4" t="s">
        <v>3559</v>
      </c>
      <c r="F1143" s="4" t="str">
        <f>HYPERLINK("http://www.verapellami.it/","www.verapellami.it")</f>
        <v>www.verapellami.it</v>
      </c>
    </row>
    <row r="1144" spans="1:6" ht="16.95" customHeight="1" x14ac:dyDescent="0.25">
      <c r="A1144" s="5" t="s">
        <v>3579</v>
      </c>
      <c r="B1144" s="4" t="s">
        <v>3580</v>
      </c>
      <c r="C1144" s="4" t="s">
        <v>3569</v>
      </c>
      <c r="D1144" s="4" t="s">
        <v>3581</v>
      </c>
      <c r="E1144" s="4" t="s">
        <v>3550</v>
      </c>
      <c r="F1144" s="4" t="str">
        <f>HYPERLINK("http://www.lottinishoes.it/","www.lottinishoes.it")</f>
        <v>www.lottinishoes.it</v>
      </c>
    </row>
    <row r="1145" spans="1:6" ht="16.95" customHeight="1" x14ac:dyDescent="0.25">
      <c r="A1145" s="5" t="s">
        <v>3582</v>
      </c>
      <c r="B1145" s="4" t="s">
        <v>3583</v>
      </c>
      <c r="C1145" s="4" t="s">
        <v>3569</v>
      </c>
      <c r="D1145" s="4" t="s">
        <v>3584</v>
      </c>
      <c r="E1145" s="4" t="s">
        <v>3559</v>
      </c>
      <c r="F1145" s="4" t="str">
        <f>HYPERLINK("http://www.equick.it/","www.equick.it")</f>
        <v>www.equick.it</v>
      </c>
    </row>
    <row r="1146" spans="1:6" ht="29.55" customHeight="1" x14ac:dyDescent="0.25">
      <c r="A1146" s="5" t="s">
        <v>3585</v>
      </c>
      <c r="B1146" s="4" t="s">
        <v>3586</v>
      </c>
      <c r="C1146" s="4" t="s">
        <v>3569</v>
      </c>
      <c r="D1146" s="4" t="s">
        <v>3587</v>
      </c>
      <c r="E1146" s="4" t="s">
        <v>3559</v>
      </c>
      <c r="F1146" s="4" t="str">
        <f>HYPERLINK("http://www.liverpoolshoes.it/","www.liverpoolshoes.it")</f>
        <v>www.liverpoolshoes.it</v>
      </c>
    </row>
    <row r="1147" spans="1:6" ht="16.95" customHeight="1" x14ac:dyDescent="0.25">
      <c r="A1147" s="1" t="s">
        <v>3588</v>
      </c>
      <c r="B1147" s="6" t="s">
        <v>3589</v>
      </c>
      <c r="C1147" s="6" t="s">
        <v>3590</v>
      </c>
      <c r="D1147" s="6" t="s">
        <v>3591</v>
      </c>
      <c r="E1147" s="6" t="s">
        <v>3592</v>
      </c>
      <c r="F1147" s="6" t="str">
        <f>HYPERLINK("http://www.lancio.net/","www.lancio.net")</f>
        <v>www.lancio.net</v>
      </c>
    </row>
    <row r="1148" spans="1:6" ht="16.95" customHeight="1" x14ac:dyDescent="0.25">
      <c r="A1148" s="5" t="s">
        <v>3598</v>
      </c>
      <c r="B1148" s="4" t="s">
        <v>3599</v>
      </c>
      <c r="C1148" s="4" t="s">
        <v>3590</v>
      </c>
      <c r="D1148" s="4" t="s">
        <v>3600</v>
      </c>
      <c r="E1148" s="4" t="s">
        <v>3601</v>
      </c>
      <c r="F1148" s="4" t="str">
        <f>HYPERLINK("http://www.korrecta.it/","www.korrecta.it")</f>
        <v>www.korrecta.it</v>
      </c>
    </row>
    <row r="1149" spans="1:6" ht="16.95" customHeight="1" x14ac:dyDescent="0.25">
      <c r="A1149" s="1" t="s">
        <v>3602</v>
      </c>
      <c r="B1149" s="6" t="s">
        <v>3603</v>
      </c>
      <c r="C1149" s="6" t="s">
        <v>3590</v>
      </c>
      <c r="D1149" s="6" t="s">
        <v>3604</v>
      </c>
      <c r="E1149" s="6" t="s">
        <v>3605</v>
      </c>
      <c r="F1149" s="6" t="str">
        <f>HYPERLINK("http://www.oltreluna.com/","www.oltreluna.com")</f>
        <v>www.oltreluna.com</v>
      </c>
    </row>
    <row r="1150" spans="1:6" ht="16.95" customHeight="1" x14ac:dyDescent="0.25">
      <c r="A1150" s="5" t="s">
        <v>3608</v>
      </c>
      <c r="B1150" s="4" t="s">
        <v>3609</v>
      </c>
      <c r="C1150" s="4" t="s">
        <v>3596</v>
      </c>
      <c r="D1150" s="4" t="s">
        <v>3591</v>
      </c>
      <c r="E1150" s="4" t="s">
        <v>3592</v>
      </c>
      <c r="F1150" s="4" t="str">
        <f>HYPERLINK("http://www.socen.it/","www.socen.it")</f>
        <v>www.socen.it</v>
      </c>
    </row>
    <row r="1151" spans="1:6" ht="16.95" customHeight="1" x14ac:dyDescent="0.25">
      <c r="A1151" s="5" t="s">
        <v>3610</v>
      </c>
      <c r="B1151" s="4" t="s">
        <v>3611</v>
      </c>
      <c r="C1151" s="4" t="s">
        <v>3606</v>
      </c>
      <c r="D1151" s="4" t="s">
        <v>3607</v>
      </c>
      <c r="E1151" s="4" t="s">
        <v>3605</v>
      </c>
      <c r="F1151" s="4" t="str">
        <f>HYPERLINK("http://artigianipellettieri.it/","artigianipellettieri.it")</f>
        <v>artigianipellettieri.it</v>
      </c>
    </row>
    <row r="1152" spans="1:6" ht="16.95" customHeight="1" x14ac:dyDescent="0.25">
      <c r="A1152" s="5" t="s">
        <v>3612</v>
      </c>
      <c r="B1152" s="4" t="s">
        <v>3613</v>
      </c>
      <c r="C1152" s="4" t="s">
        <v>3596</v>
      </c>
      <c r="D1152" s="4" t="s">
        <v>3591</v>
      </c>
      <c r="E1152" s="4" t="s">
        <v>3592</v>
      </c>
      <c r="F1152" s="4" t="str">
        <f>HYPERLINK("http://www.ca-pri.it/","www.ca-pri.it")</f>
        <v>www.ca-pri.it</v>
      </c>
    </row>
    <row r="1153" spans="1:6" ht="16.95" customHeight="1" x14ac:dyDescent="0.25">
      <c r="A1153" s="5" t="s">
        <v>3614</v>
      </c>
      <c r="B1153" s="4" t="s">
        <v>3615</v>
      </c>
      <c r="C1153" s="4" t="s">
        <v>3590</v>
      </c>
      <c r="D1153" s="4" t="s">
        <v>3616</v>
      </c>
      <c r="E1153" s="4" t="s">
        <v>3595</v>
      </c>
      <c r="F1153" s="4" t="str">
        <f>HYPERLINK("http://www.ribeclog.it/","www.ribeclog.it")</f>
        <v>www.ribeclog.it</v>
      </c>
    </row>
    <row r="1154" spans="1:6" ht="16.95" customHeight="1" x14ac:dyDescent="0.25">
      <c r="A1154" s="5" t="s">
        <v>3618</v>
      </c>
      <c r="B1154" s="4" t="s">
        <v>3619</v>
      </c>
      <c r="C1154" s="4" t="s">
        <v>3606</v>
      </c>
      <c r="D1154" s="4" t="s">
        <v>3620</v>
      </c>
      <c r="E1154" s="4" t="s">
        <v>3617</v>
      </c>
      <c r="F1154" s="4" t="str">
        <f>HYPERLINK("http://www.borgomarinopelle.com/","www.borgomarinopelle.com")</f>
        <v>www.borgomarinopelle.com</v>
      </c>
    </row>
    <row r="1155" spans="1:6" ht="16.95" customHeight="1" x14ac:dyDescent="0.25">
      <c r="A1155" s="1" t="s">
        <v>3621</v>
      </c>
      <c r="B1155" s="6" t="s">
        <v>3622</v>
      </c>
      <c r="C1155" s="6" t="s">
        <v>3596</v>
      </c>
      <c r="D1155" s="6" t="s">
        <v>3604</v>
      </c>
      <c r="E1155" s="6" t="s">
        <v>3605</v>
      </c>
      <c r="F1155" s="6" t="str">
        <f>HYPERLINK("http://www.suolificioprincipe.it/","www.suolificioprincipe.it")</f>
        <v>www.suolificioprincipe.it</v>
      </c>
    </row>
    <row r="1156" spans="1:6" ht="16.95" customHeight="1" x14ac:dyDescent="0.25">
      <c r="A1156" s="5" t="s">
        <v>3623</v>
      </c>
      <c r="B1156" s="4" t="s">
        <v>3624</v>
      </c>
      <c r="C1156" s="4" t="s">
        <v>3593</v>
      </c>
      <c r="D1156" s="4" t="s">
        <v>3594</v>
      </c>
      <c r="E1156" s="4" t="s">
        <v>3595</v>
      </c>
      <c r="F1156" s="4" t="str">
        <f>HYPERLINK("http://www.sglrossetto.com/","www.sglrossetto.com")</f>
        <v>www.sglrossetto.com</v>
      </c>
    </row>
    <row r="1157" spans="1:6" ht="29.55" customHeight="1" x14ac:dyDescent="0.25">
      <c r="A1157" s="1" t="s">
        <v>3625</v>
      </c>
      <c r="B1157" s="6" t="s">
        <v>3626</v>
      </c>
      <c r="C1157" s="6" t="s">
        <v>3590</v>
      </c>
      <c r="D1157" s="6" t="s">
        <v>3597</v>
      </c>
      <c r="E1157" s="6" t="s">
        <v>3592</v>
      </c>
      <c r="F1157" s="6" t="str">
        <f>HYPERLINK("http://www.seboys.it/","www.seboys.it")</f>
        <v>www.seboys.it</v>
      </c>
    </row>
    <row r="1158" spans="1:6" ht="29.55" customHeight="1" x14ac:dyDescent="0.25">
      <c r="A1158" s="1" t="s">
        <v>3627</v>
      </c>
      <c r="B1158" s="6" t="s">
        <v>3628</v>
      </c>
      <c r="C1158" s="6" t="s">
        <v>3590</v>
      </c>
      <c r="D1158" s="6" t="s">
        <v>3629</v>
      </c>
      <c r="E1158" s="6" t="s">
        <v>3605</v>
      </c>
      <c r="F1158" s="6" t="str">
        <f>HYPERLINK("http://www.nuovaarux.com/","http://www.nuovaarux.com")</f>
        <v>http://www.nuovaarux.com</v>
      </c>
    </row>
    <row r="1159" spans="1:6" ht="16.95" customHeight="1" x14ac:dyDescent="0.25">
      <c r="A1159" s="5" t="s">
        <v>3630</v>
      </c>
      <c r="B1159" s="4" t="s">
        <v>3631</v>
      </c>
      <c r="C1159" s="4" t="s">
        <v>3606</v>
      </c>
      <c r="D1159" s="4" t="s">
        <v>3604</v>
      </c>
      <c r="E1159" s="4" t="s">
        <v>3605</v>
      </c>
      <c r="F1159" s="4" t="str">
        <f>HYPERLINK("http://cerbai.it/","cerbai.it")</f>
        <v>cerbai.it</v>
      </c>
    </row>
    <row r="1160" spans="1:6" ht="16.95" customHeight="1" x14ac:dyDescent="0.25">
      <c r="A1160" s="1" t="s">
        <v>3632</v>
      </c>
      <c r="B1160" s="6" t="s">
        <v>3633</v>
      </c>
      <c r="C1160" s="6" t="s">
        <v>3596</v>
      </c>
      <c r="D1160" s="6" t="s">
        <v>3597</v>
      </c>
      <c r="E1160" s="6" t="s">
        <v>3592</v>
      </c>
      <c r="F1160" s="6" t="str">
        <f>HYPERLINK("http://www.suolificioag.it/","www.suolificioag.it")</f>
        <v>www.suolificioag.it</v>
      </c>
    </row>
    <row r="1161" spans="1:6" ht="29.55" customHeight="1" x14ac:dyDescent="0.25">
      <c r="A1161" s="5" t="s">
        <v>3634</v>
      </c>
      <c r="B1161" s="4" t="s">
        <v>3635</v>
      </c>
      <c r="C1161" s="4" t="s">
        <v>3606</v>
      </c>
      <c r="D1161" s="4" t="s">
        <v>3636</v>
      </c>
      <c r="E1161" s="4" t="s">
        <v>3605</v>
      </c>
      <c r="F1161" s="4" t="str">
        <f>HYPERLINK("http://bestgroupaccessori.it/","bestgroupaccessori.it")</f>
        <v>bestgroupaccessori.it</v>
      </c>
    </row>
    <row r="1162" spans="1:6" ht="16.95" customHeight="1" x14ac:dyDescent="0.25">
      <c r="A1162" s="1" t="s">
        <v>3637</v>
      </c>
      <c r="B1162" s="6" t="s">
        <v>3638</v>
      </c>
      <c r="C1162" s="6" t="s">
        <v>3639</v>
      </c>
      <c r="D1162" s="6" t="s">
        <v>3640</v>
      </c>
      <c r="E1162" s="6" t="s">
        <v>3641</v>
      </c>
      <c r="F1162" s="6" t="str">
        <f>HYPERLINK("http://www.castellaridiffusion.com/","www.castellaridiffusion.com")</f>
        <v>www.castellaridiffusion.com</v>
      </c>
    </row>
    <row r="1163" spans="1:6" ht="16.95" customHeight="1" x14ac:dyDescent="0.25">
      <c r="A1163" s="5" t="s">
        <v>3642</v>
      </c>
      <c r="B1163" s="4" t="s">
        <v>3643</v>
      </c>
      <c r="C1163" s="4" t="s">
        <v>3644</v>
      </c>
      <c r="D1163" s="4" t="s">
        <v>3645</v>
      </c>
      <c r="E1163" s="4" t="s">
        <v>3646</v>
      </c>
      <c r="F1163" s="4" t="str">
        <f>HYPERLINK("http://www.pasquinicalzature.it/","www.pasquinicalzature.it")</f>
        <v>www.pasquinicalzature.it</v>
      </c>
    </row>
    <row r="1164" spans="1:6" ht="16.95" customHeight="1" x14ac:dyDescent="0.25">
      <c r="A1164" s="1" t="s">
        <v>3649</v>
      </c>
      <c r="B1164" s="6" t="s">
        <v>3650</v>
      </c>
      <c r="C1164" s="6" t="s">
        <v>3647</v>
      </c>
      <c r="D1164" s="6" t="s">
        <v>3651</v>
      </c>
      <c r="E1164" s="6" t="s">
        <v>3652</v>
      </c>
      <c r="F1164" s="6" t="str">
        <f>HYPERLINK("http://martinaleathers.com/","martinaleathers.com")</f>
        <v>martinaleathers.com</v>
      </c>
    </row>
    <row r="1165" spans="1:6" ht="29.55" customHeight="1" x14ac:dyDescent="0.25">
      <c r="A1165" s="5" t="s">
        <v>3653</v>
      </c>
      <c r="B1165" s="4" t="s">
        <v>3654</v>
      </c>
      <c r="C1165" s="4" t="s">
        <v>3655</v>
      </c>
      <c r="D1165" s="4" t="s">
        <v>3656</v>
      </c>
      <c r="E1165" s="4" t="s">
        <v>3646</v>
      </c>
      <c r="F1165" s="4" t="str">
        <f>HYPERLINK("http://pelletterie-foti.it/","pelletterie-foti.it")</f>
        <v>pelletterie-foti.it</v>
      </c>
    </row>
    <row r="1166" spans="1:6" ht="16.95" customHeight="1" x14ac:dyDescent="0.25">
      <c r="A1166" s="5" t="s">
        <v>3657</v>
      </c>
      <c r="B1166" s="4" t="s">
        <v>3658</v>
      </c>
      <c r="C1166" s="4" t="s">
        <v>3648</v>
      </c>
      <c r="D1166" s="4" t="s">
        <v>3659</v>
      </c>
      <c r="E1166" s="4" t="s">
        <v>3660</v>
      </c>
      <c r="F1166" s="4" t="str">
        <f>HYPERLINK("http://www.duecci-srl.it/","www.duecci-srl.it")</f>
        <v>www.duecci-srl.it</v>
      </c>
    </row>
    <row r="1167" spans="1:6" ht="16.95" customHeight="1" x14ac:dyDescent="0.25">
      <c r="A1167" s="1" t="s">
        <v>3661</v>
      </c>
      <c r="B1167" s="6" t="s">
        <v>3662</v>
      </c>
      <c r="C1167" s="6" t="s">
        <v>3644</v>
      </c>
      <c r="D1167" s="6" t="s">
        <v>3663</v>
      </c>
      <c r="E1167" s="6" t="s">
        <v>3664</v>
      </c>
      <c r="F1167" s="6" t="str">
        <f>HYPERLINK("http://www.cielledue.com/","www.cielledue.com")</f>
        <v>www.cielledue.com</v>
      </c>
    </row>
    <row r="1168" spans="1:6" ht="16.95" customHeight="1" x14ac:dyDescent="0.25">
      <c r="A1168" s="5" t="s">
        <v>3665</v>
      </c>
      <c r="B1168" s="4" t="s">
        <v>3666</v>
      </c>
      <c r="C1168" s="4" t="s">
        <v>3648</v>
      </c>
      <c r="D1168" s="4" t="s">
        <v>3667</v>
      </c>
      <c r="E1168" s="4" t="s">
        <v>3652</v>
      </c>
      <c r="F1168" s="4" t="str">
        <f>HYPERLINK("http://stilsuole.it/","stilsuole.it/")</f>
        <v>stilsuole.it/</v>
      </c>
    </row>
    <row r="1169" spans="1:6" ht="16.95" customHeight="1" x14ac:dyDescent="0.25">
      <c r="A1169" s="5" t="s">
        <v>3669</v>
      </c>
      <c r="B1169" s="4" t="s">
        <v>3670</v>
      </c>
      <c r="C1169" s="4" t="s">
        <v>3648</v>
      </c>
      <c r="D1169" s="4" t="s">
        <v>3671</v>
      </c>
      <c r="E1169" s="4" t="s">
        <v>3672</v>
      </c>
      <c r="F1169" s="4" t="str">
        <f>HYPERLINK("http://www.angelinitacchi.com/","www.angelinitacchi.com")</f>
        <v>www.angelinitacchi.com</v>
      </c>
    </row>
    <row r="1170" spans="1:6" ht="16.95" customHeight="1" x14ac:dyDescent="0.25">
      <c r="A1170" s="1" t="s">
        <v>3673</v>
      </c>
      <c r="B1170" s="6" t="s">
        <v>3674</v>
      </c>
      <c r="C1170" s="6" t="s">
        <v>3648</v>
      </c>
      <c r="D1170" s="6" t="s">
        <v>3675</v>
      </c>
      <c r="E1170" s="6" t="s">
        <v>3641</v>
      </c>
      <c r="F1170" s="6" t="str">
        <f>HYPERLINK("http://www.nuovacarpi.com/","www.nuovacarpi.com")</f>
        <v>www.nuovacarpi.com</v>
      </c>
    </row>
    <row r="1171" spans="1:6" ht="68.099999999999994" customHeight="1" x14ac:dyDescent="0.25">
      <c r="A1171" s="5" t="s">
        <v>3676</v>
      </c>
      <c r="B1171" s="4" t="s">
        <v>3677</v>
      </c>
      <c r="C1171" s="4" t="s">
        <v>3648</v>
      </c>
      <c r="D1171" s="4" t="s">
        <v>3678</v>
      </c>
      <c r="E1171" s="4" t="s">
        <v>3660</v>
      </c>
      <c r="F1171" s="4" t="str">
        <f>HYPERLINK("http://www.nuovavaldichienti.it/","www.nuovavaldichienti.it")</f>
        <v>www.nuovavaldichienti.it</v>
      </c>
    </row>
    <row r="1172" spans="1:6" ht="29.55" customHeight="1" x14ac:dyDescent="0.25">
      <c r="A1172" s="5" t="s">
        <v>3680</v>
      </c>
      <c r="B1172" s="4" t="s">
        <v>3681</v>
      </c>
      <c r="C1172" s="4" t="s">
        <v>3644</v>
      </c>
      <c r="D1172" s="4" t="s">
        <v>3679</v>
      </c>
      <c r="E1172" s="4" t="s">
        <v>3664</v>
      </c>
      <c r="F1172" s="4" t="str">
        <f>HYPERLINK("http://gianmarcosorelli.it/","gianmarcosorelli.it")</f>
        <v>gianmarcosorelli.it</v>
      </c>
    </row>
    <row r="1173" spans="1:6" ht="16.95" customHeight="1" x14ac:dyDescent="0.25">
      <c r="A1173" s="1" t="s">
        <v>3682</v>
      </c>
      <c r="B1173" s="6" t="s">
        <v>3683</v>
      </c>
      <c r="C1173" s="6" t="s">
        <v>3644</v>
      </c>
      <c r="D1173" s="6" t="s">
        <v>3684</v>
      </c>
      <c r="E1173" s="6" t="s">
        <v>3652</v>
      </c>
      <c r="F1173" s="6" t="str">
        <f>HYPERLINK("http://hideandjack.com/","hideandjack.com")</f>
        <v>hideandjack.com</v>
      </c>
    </row>
    <row r="1174" spans="1:6" ht="16.95" customHeight="1" x14ac:dyDescent="0.25">
      <c r="A1174" s="5" t="s">
        <v>3685</v>
      </c>
      <c r="B1174" s="4" t="s">
        <v>3686</v>
      </c>
      <c r="C1174" s="4" t="s">
        <v>3647</v>
      </c>
      <c r="D1174" s="4" t="s">
        <v>3656</v>
      </c>
      <c r="E1174" s="4" t="s">
        <v>3646</v>
      </c>
      <c r="F1174" s="4" t="str">
        <f>HYPERLINK("http://www.mestamp.it/","www.mestamp.it")</f>
        <v>www.mestamp.it</v>
      </c>
    </row>
    <row r="1175" spans="1:6" ht="16.95" customHeight="1" x14ac:dyDescent="0.25">
      <c r="A1175" s="1" t="s">
        <v>3687</v>
      </c>
      <c r="B1175" s="6" t="s">
        <v>3688</v>
      </c>
      <c r="C1175" s="6" t="s">
        <v>3644</v>
      </c>
      <c r="D1175" s="6" t="s">
        <v>3668</v>
      </c>
      <c r="E1175" s="6" t="s">
        <v>3660</v>
      </c>
      <c r="F1175" s="6" t="str">
        <f>HYPERLINK("http://www.penelopeshoes.com/","www.penelopeshoes.com")</f>
        <v>www.penelopeshoes.com</v>
      </c>
    </row>
    <row r="1176" spans="1:6" ht="16.95" customHeight="1" x14ac:dyDescent="0.25">
      <c r="A1176" s="5" t="s">
        <v>3689</v>
      </c>
      <c r="B1176" s="4" t="s">
        <v>3690</v>
      </c>
      <c r="C1176" s="4" t="s">
        <v>3648</v>
      </c>
      <c r="D1176" s="4" t="s">
        <v>3668</v>
      </c>
      <c r="E1176" s="4" t="s">
        <v>3660</v>
      </c>
      <c r="F1176" s="4" t="str">
        <f>HYPERLINK("http://www.pistonesi.com/","www.pistonesi.com")</f>
        <v>www.pistonesi.com</v>
      </c>
    </row>
    <row r="1177" spans="1:6" ht="16.95" customHeight="1" x14ac:dyDescent="0.25">
      <c r="A1177" s="1" t="s">
        <v>3691</v>
      </c>
      <c r="B1177" s="6" t="s">
        <v>3692</v>
      </c>
      <c r="C1177" s="6" t="s">
        <v>3655</v>
      </c>
      <c r="D1177" s="6" t="s">
        <v>3693</v>
      </c>
      <c r="E1177" s="6" t="s">
        <v>3660</v>
      </c>
      <c r="F1177" s="6" t="str">
        <f>HYPERLINK("http://www.ballarinisrl.com/","www.ballarinisrl.com")</f>
        <v>www.ballarinisrl.com</v>
      </c>
    </row>
    <row r="1178" spans="1:6" ht="16.95" customHeight="1" x14ac:dyDescent="0.25">
      <c r="A1178" s="5" t="s">
        <v>3694</v>
      </c>
      <c r="B1178" s="4" t="s">
        <v>3695</v>
      </c>
      <c r="C1178" s="4" t="s">
        <v>3644</v>
      </c>
      <c r="D1178" s="4" t="s">
        <v>3696</v>
      </c>
      <c r="E1178" s="4" t="s">
        <v>3652</v>
      </c>
      <c r="F1178" s="4" t="str">
        <f>HYPERLINK("http://www.annielshop.com/","www.annielshop.com")</f>
        <v>www.annielshop.com</v>
      </c>
    </row>
    <row r="1179" spans="1:6" ht="16.95" customHeight="1" x14ac:dyDescent="0.25">
      <c r="A1179" s="1" t="s">
        <v>3697</v>
      </c>
      <c r="B1179" s="6" t="s">
        <v>3698</v>
      </c>
      <c r="C1179" s="6" t="s">
        <v>3699</v>
      </c>
      <c r="D1179" s="6" t="s">
        <v>3700</v>
      </c>
      <c r="E1179" s="6" t="s">
        <v>3701</v>
      </c>
      <c r="F1179" s="6" t="str">
        <f>HYPERLINK("http://adno.surf/","adno.surf")</f>
        <v>adno.surf</v>
      </c>
    </row>
    <row r="1180" spans="1:6" ht="16.95" customHeight="1" x14ac:dyDescent="0.25">
      <c r="A1180" s="5" t="s">
        <v>3702</v>
      </c>
      <c r="B1180" s="4" t="s">
        <v>3703</v>
      </c>
      <c r="C1180" s="4" t="s">
        <v>3704</v>
      </c>
      <c r="D1180" s="4" t="s">
        <v>3705</v>
      </c>
      <c r="E1180" s="4" t="s">
        <v>3701</v>
      </c>
      <c r="F1180" s="4" t="str">
        <f>HYPERLINK("http://www.rubek.com/","www.rubek.com")</f>
        <v>www.rubek.com</v>
      </c>
    </row>
    <row r="1181" spans="1:6" ht="29.55" customHeight="1" x14ac:dyDescent="0.25">
      <c r="A1181" s="1" t="s">
        <v>3709</v>
      </c>
      <c r="B1181" s="6" t="s">
        <v>3710</v>
      </c>
      <c r="C1181" s="6" t="s">
        <v>3699</v>
      </c>
      <c r="D1181" s="6" t="s">
        <v>3711</v>
      </c>
      <c r="E1181" s="6" t="s">
        <v>3712</v>
      </c>
      <c r="F1181" s="6" t="str">
        <f>HYPERLINK("http://www.premieremaison.it/","www.premieremaison.it")</f>
        <v>www.premieremaison.it</v>
      </c>
    </row>
    <row r="1182" spans="1:6" ht="29.55" customHeight="1" x14ac:dyDescent="0.25">
      <c r="A1182" s="5" t="s">
        <v>3713</v>
      </c>
      <c r="B1182" s="4" t="s">
        <v>3714</v>
      </c>
      <c r="C1182" s="4" t="s">
        <v>3699</v>
      </c>
      <c r="D1182" s="4" t="s">
        <v>3700</v>
      </c>
      <c r="E1182" s="4" t="s">
        <v>3701</v>
      </c>
      <c r="F1182" s="4" t="str">
        <f>HYPERLINK("http://www.boccaccini.it/","http://www.boccaccini.it")</f>
        <v>http://www.boccaccini.it</v>
      </c>
    </row>
    <row r="1183" spans="1:6" ht="16.95" customHeight="1" x14ac:dyDescent="0.25">
      <c r="A1183" s="5" t="s">
        <v>3718</v>
      </c>
      <c r="B1183" s="4" t="s">
        <v>3719</v>
      </c>
      <c r="C1183" s="4" t="s">
        <v>3706</v>
      </c>
      <c r="D1183" s="4" t="s">
        <v>3707</v>
      </c>
      <c r="E1183" s="4" t="s">
        <v>3708</v>
      </c>
      <c r="F1183" s="4" t="str">
        <f>HYPERLINK("http://www.conceriagiada.it/","www.conceriagiada.it")</f>
        <v>www.conceriagiada.it</v>
      </c>
    </row>
    <row r="1184" spans="1:6" ht="16.95" customHeight="1" x14ac:dyDescent="0.25">
      <c r="A1184" s="5" t="s">
        <v>3720</v>
      </c>
      <c r="B1184" s="4" t="s">
        <v>3721</v>
      </c>
      <c r="C1184" s="4" t="s">
        <v>3715</v>
      </c>
      <c r="D1184" s="4" t="s">
        <v>3722</v>
      </c>
      <c r="E1184" s="4" t="s">
        <v>3717</v>
      </c>
      <c r="F1184" s="4" t="str">
        <f>HYPERLINK("http://www.melissasrl.it/","www.melissasrl.it")</f>
        <v>www.melissasrl.it</v>
      </c>
    </row>
    <row r="1185" spans="1:6" ht="16.95" customHeight="1" x14ac:dyDescent="0.25">
      <c r="A1185" s="5" t="s">
        <v>3723</v>
      </c>
      <c r="B1185" s="4" t="s">
        <v>3724</v>
      </c>
      <c r="C1185" s="4" t="s">
        <v>3715</v>
      </c>
      <c r="D1185" s="4" t="s">
        <v>3725</v>
      </c>
      <c r="E1185" s="4" t="s">
        <v>3717</v>
      </c>
      <c r="F1185" s="4" t="str">
        <f>HYPERLINK("http://pelletteria-menerva.it/","pelletteria-menerva.it")</f>
        <v>pelletteria-menerva.it</v>
      </c>
    </row>
    <row r="1186" spans="1:6" ht="16.95" customHeight="1" x14ac:dyDescent="0.25">
      <c r="A1186" s="1" t="s">
        <v>3726</v>
      </c>
      <c r="B1186" s="6" t="s">
        <v>3727</v>
      </c>
      <c r="C1186" s="6" t="s">
        <v>3704</v>
      </c>
      <c r="D1186" s="6" t="s">
        <v>3728</v>
      </c>
      <c r="E1186" s="6" t="s">
        <v>3729</v>
      </c>
      <c r="F1186" s="6" t="str">
        <f>HYPERLINK("http://www.nuovaimmaginesrl.com/","www.nuovaimmaginesrl.com")</f>
        <v>www.nuovaimmaginesrl.com</v>
      </c>
    </row>
    <row r="1187" spans="1:6" ht="16.95" customHeight="1" x14ac:dyDescent="0.25">
      <c r="A1187" s="1" t="s">
        <v>3730</v>
      </c>
      <c r="B1187" s="6" t="s">
        <v>3731</v>
      </c>
      <c r="C1187" s="6" t="s">
        <v>3706</v>
      </c>
      <c r="D1187" s="6" t="s">
        <v>3716</v>
      </c>
      <c r="E1187" s="6" t="s">
        <v>3717</v>
      </c>
      <c r="F1187" s="6" t="str">
        <f>HYPERLINK("http://buy-conceriamonteverdi.it/","buy-conceriamonteverdi.it")</f>
        <v>buy-conceriamonteverdi.it</v>
      </c>
    </row>
    <row r="1188" spans="1:6" ht="16.95" customHeight="1" x14ac:dyDescent="0.25">
      <c r="A1188" s="1" t="s">
        <v>3732</v>
      </c>
      <c r="B1188" s="6" t="s">
        <v>3733</v>
      </c>
      <c r="C1188" s="6" t="s">
        <v>3699</v>
      </c>
      <c r="D1188" s="6" t="s">
        <v>3700</v>
      </c>
      <c r="E1188" s="6" t="s">
        <v>3701</v>
      </c>
      <c r="F1188" s="6" t="str">
        <f>HYPERLINK("http://www.fessura.com/","www.fessura.com")</f>
        <v>www.fessura.com</v>
      </c>
    </row>
    <row r="1189" spans="1:6" ht="16.95" customHeight="1" x14ac:dyDescent="0.25">
      <c r="A1189" s="1" t="s">
        <v>3734</v>
      </c>
      <c r="B1189" s="6" t="s">
        <v>3735</v>
      </c>
      <c r="C1189" s="6" t="s">
        <v>3736</v>
      </c>
      <c r="D1189" s="6" t="s">
        <v>3737</v>
      </c>
      <c r="E1189" s="6" t="s">
        <v>3738</v>
      </c>
      <c r="F1189" s="6" t="str">
        <f>HYPERLINK("http://www.raf-luxury.com/","www.raf-luxury.com")</f>
        <v>www.raf-luxury.com</v>
      </c>
    </row>
    <row r="1190" spans="1:6" ht="29.55" customHeight="1" x14ac:dyDescent="0.25">
      <c r="A1190" s="5" t="s">
        <v>3739</v>
      </c>
      <c r="B1190" s="4" t="s">
        <v>3740</v>
      </c>
      <c r="C1190" s="4" t="s">
        <v>3741</v>
      </c>
      <c r="D1190" s="4" t="s">
        <v>3742</v>
      </c>
      <c r="E1190" s="4" t="s">
        <v>3738</v>
      </c>
      <c r="F1190" s="4" t="str">
        <f>HYPERLINK("http://www.stefanellisrl.it/","www.stefanellisrl.it")</f>
        <v>www.stefanellisrl.it</v>
      </c>
    </row>
    <row r="1191" spans="1:6" ht="16.95" customHeight="1" x14ac:dyDescent="0.25">
      <c r="A1191" s="5" t="s">
        <v>3745</v>
      </c>
      <c r="B1191" s="4" t="s">
        <v>3746</v>
      </c>
      <c r="C1191" s="4" t="s">
        <v>3747</v>
      </c>
      <c r="D1191" s="4" t="s">
        <v>3748</v>
      </c>
      <c r="E1191" s="4" t="s">
        <v>3749</v>
      </c>
      <c r="F1191" s="4" t="str">
        <f>HYPERLINK("http://www.lesoft.it/","www.lesoft.it")</f>
        <v>www.lesoft.it</v>
      </c>
    </row>
    <row r="1192" spans="1:6" ht="29.55" customHeight="1" x14ac:dyDescent="0.25">
      <c r="A1192" s="1" t="s">
        <v>3755</v>
      </c>
      <c r="B1192" s="6" t="s">
        <v>3756</v>
      </c>
      <c r="C1192" s="6" t="s">
        <v>3757</v>
      </c>
      <c r="D1192" s="6" t="s">
        <v>3751</v>
      </c>
      <c r="E1192" s="6" t="s">
        <v>3752</v>
      </c>
      <c r="F1192" s="6" t="str">
        <f>HYPERLINK("http://www.mariodoria.it/","www.mariodoria.it")</f>
        <v>www.mariodoria.it</v>
      </c>
    </row>
    <row r="1193" spans="1:6" ht="16.95" customHeight="1" x14ac:dyDescent="0.25">
      <c r="A1193" s="5" t="s">
        <v>3758</v>
      </c>
      <c r="B1193" s="4" t="s">
        <v>3759</v>
      </c>
      <c r="C1193" s="4" t="s">
        <v>3736</v>
      </c>
      <c r="D1193" s="4" t="s">
        <v>3760</v>
      </c>
      <c r="E1193" s="4" t="s">
        <v>3761</v>
      </c>
      <c r="F1193" s="4" t="str">
        <f>HYPERLINK("http://www.gastaldiautomotive.com/","www.gastaldiautomotive.com")</f>
        <v>www.gastaldiautomotive.com</v>
      </c>
    </row>
    <row r="1194" spans="1:6" ht="16.95" customHeight="1" x14ac:dyDescent="0.25">
      <c r="A1194" s="5" t="s">
        <v>3763</v>
      </c>
      <c r="B1194" s="4" t="s">
        <v>3764</v>
      </c>
      <c r="C1194" s="4" t="s">
        <v>3750</v>
      </c>
      <c r="D1194" s="4" t="s">
        <v>3765</v>
      </c>
      <c r="E1194" s="4" t="s">
        <v>3752</v>
      </c>
      <c r="F1194" s="4" t="str">
        <f>HYPERLINK("http://www.clonessrl.com/","www.clonessrl.com")</f>
        <v>www.clonessrl.com</v>
      </c>
    </row>
    <row r="1195" spans="1:6" ht="16.95" customHeight="1" x14ac:dyDescent="0.25">
      <c r="A1195" s="1" t="s">
        <v>3766</v>
      </c>
      <c r="B1195" s="6" t="s">
        <v>3767</v>
      </c>
      <c r="C1195" s="6" t="s">
        <v>3736</v>
      </c>
      <c r="D1195" s="6" t="s">
        <v>3762</v>
      </c>
      <c r="E1195" s="6" t="s">
        <v>3738</v>
      </c>
      <c r="F1195" s="6" t="str">
        <f>HYPERLINK("http://www.viamailbag.it/","www.viamailbag.it")</f>
        <v>www.viamailbag.it</v>
      </c>
    </row>
    <row r="1196" spans="1:6" ht="29.55" customHeight="1" x14ac:dyDescent="0.25">
      <c r="A1196" s="5" t="s">
        <v>3768</v>
      </c>
      <c r="B1196" s="4" t="s">
        <v>3769</v>
      </c>
      <c r="C1196" s="4" t="s">
        <v>3736</v>
      </c>
      <c r="D1196" s="4" t="s">
        <v>3770</v>
      </c>
      <c r="E1196" s="4" t="s">
        <v>3754</v>
      </c>
      <c r="F1196" s="4" t="str">
        <f>HYPERLINK("http://www.rebelleftc.com/","www.rebelleftc.com")</f>
        <v>www.rebelleftc.com</v>
      </c>
    </row>
    <row r="1197" spans="1:6" ht="55.65" customHeight="1" x14ac:dyDescent="0.25">
      <c r="A1197" s="1" t="s">
        <v>3771</v>
      </c>
      <c r="B1197" s="6" t="s">
        <v>3772</v>
      </c>
      <c r="C1197" s="6" t="s">
        <v>3736</v>
      </c>
      <c r="D1197" s="6" t="s">
        <v>3765</v>
      </c>
      <c r="E1197" s="6" t="s">
        <v>3752</v>
      </c>
      <c r="F1197" s="6" t="str">
        <f>HYPERLINK("http://www.gironacci.it/","www.gironacci.it")</f>
        <v>www.gironacci.it</v>
      </c>
    </row>
    <row r="1198" spans="1:6" ht="16.95" customHeight="1" x14ac:dyDescent="0.25">
      <c r="A1198" s="1" t="s">
        <v>3773</v>
      </c>
      <c r="B1198" s="6" t="s">
        <v>3774</v>
      </c>
      <c r="C1198" s="6" t="s">
        <v>3775</v>
      </c>
      <c r="D1198" s="6" t="s">
        <v>3776</v>
      </c>
      <c r="E1198" s="6" t="s">
        <v>3738</v>
      </c>
      <c r="F1198" s="6" t="str">
        <f>HYPERLINK("http://www.gamma3.net/","www.gamma3.net")</f>
        <v>www.gamma3.net</v>
      </c>
    </row>
    <row r="1199" spans="1:6" ht="16.95" customHeight="1" x14ac:dyDescent="0.25">
      <c r="A1199" s="5" t="s">
        <v>3777</v>
      </c>
      <c r="B1199" s="4" t="s">
        <v>3778</v>
      </c>
      <c r="C1199" s="4" t="s">
        <v>3736</v>
      </c>
      <c r="D1199" s="4" t="s">
        <v>3753</v>
      </c>
      <c r="E1199" s="4" t="s">
        <v>3754</v>
      </c>
      <c r="F1199" s="4" t="str">
        <f>HYPERLINK("http://www.armenico.it/","www.armenico.it")</f>
        <v>www.armenico.it</v>
      </c>
    </row>
    <row r="1200" spans="1:6" ht="16.95" customHeight="1" x14ac:dyDescent="0.25">
      <c r="A1200" s="1" t="s">
        <v>3779</v>
      </c>
      <c r="B1200" s="6" t="s">
        <v>3780</v>
      </c>
      <c r="C1200" s="6" t="s">
        <v>3757</v>
      </c>
      <c r="D1200" s="6" t="s">
        <v>3781</v>
      </c>
      <c r="E1200" s="6" t="s">
        <v>3744</v>
      </c>
      <c r="F1200" s="6" t="str">
        <f>HYPERLINK("http://www.enzodimartino.it/","www.enzodimartino.it")</f>
        <v>www.enzodimartino.it</v>
      </c>
    </row>
    <row r="1201" spans="1:6" ht="16.95" customHeight="1" x14ac:dyDescent="0.25">
      <c r="A1201" s="5" t="s">
        <v>3782</v>
      </c>
      <c r="B1201" s="4" t="s">
        <v>3783</v>
      </c>
      <c r="C1201" s="4" t="s">
        <v>3750</v>
      </c>
      <c r="D1201" s="4" t="s">
        <v>3762</v>
      </c>
      <c r="E1201" s="4" t="s">
        <v>3738</v>
      </c>
      <c r="F1201" s="4" t="str">
        <f>HYPERLINK("http://www.mgetrusco.it/","www.mgetrusco.it")</f>
        <v>www.mgetrusco.it</v>
      </c>
    </row>
    <row r="1202" spans="1:6" ht="16.95" customHeight="1" x14ac:dyDescent="0.25">
      <c r="A1202" s="1" t="s">
        <v>3784</v>
      </c>
      <c r="B1202" s="6" t="s">
        <v>3785</v>
      </c>
      <c r="C1202" s="6" t="s">
        <v>3741</v>
      </c>
      <c r="D1202" s="6" t="s">
        <v>3743</v>
      </c>
      <c r="E1202" s="6" t="s">
        <v>3744</v>
      </c>
      <c r="F1202" s="6" t="str">
        <f>HYPERLINK("http://www.laserfashion.it/","www.laserfashion.it")</f>
        <v>www.laserfashion.it</v>
      </c>
    </row>
    <row r="1203" spans="1:6" ht="16.95" customHeight="1" x14ac:dyDescent="0.25">
      <c r="A1203" s="5" t="s">
        <v>3786</v>
      </c>
      <c r="B1203" s="4" t="s">
        <v>3787</v>
      </c>
      <c r="C1203" s="4" t="s">
        <v>3775</v>
      </c>
      <c r="D1203" s="4" t="s">
        <v>3788</v>
      </c>
      <c r="E1203" s="4" t="s">
        <v>3789</v>
      </c>
      <c r="F1203" s="4" t="str">
        <f>HYPERLINK("http://www.castellaridiffusion.com/","www.castellaridiffusion.com")</f>
        <v>www.castellaridiffusion.com</v>
      </c>
    </row>
    <row r="1204" spans="1:6" ht="16.95" customHeight="1" x14ac:dyDescent="0.25">
      <c r="A1204" s="1" t="s">
        <v>3790</v>
      </c>
      <c r="B1204" s="6" t="s">
        <v>3791</v>
      </c>
      <c r="C1204" s="6" t="s">
        <v>3775</v>
      </c>
      <c r="D1204" s="6" t="s">
        <v>3762</v>
      </c>
      <c r="E1204" s="6" t="s">
        <v>3738</v>
      </c>
      <c r="F1204" s="6" t="str">
        <f>HYPERLINK("http://www.gianfrancosisti.com/","www.gianfrancosisti.com")</f>
        <v>www.gianfrancosisti.com</v>
      </c>
    </row>
    <row r="1205" spans="1:6" ht="16.95" customHeight="1" x14ac:dyDescent="0.25">
      <c r="A1205" s="5" t="s">
        <v>3792</v>
      </c>
      <c r="B1205" s="4" t="s">
        <v>3793</v>
      </c>
      <c r="C1205" s="4" t="s">
        <v>3757</v>
      </c>
      <c r="D1205" s="4" t="s">
        <v>3751</v>
      </c>
      <c r="E1205" s="4" t="s">
        <v>3752</v>
      </c>
      <c r="F1205" s="4" t="str">
        <f>HYPERLINK("http://www.ducanero.it/","www.ducanero.it")</f>
        <v>www.ducanero.it</v>
      </c>
    </row>
    <row r="1206" spans="1:6" ht="16.95" customHeight="1" x14ac:dyDescent="0.25">
      <c r="A1206" s="1" t="s">
        <v>3794</v>
      </c>
      <c r="B1206" s="6" t="s">
        <v>3795</v>
      </c>
      <c r="C1206" s="6" t="s">
        <v>3796</v>
      </c>
      <c r="D1206" s="6" t="s">
        <v>3797</v>
      </c>
      <c r="E1206" s="6" t="s">
        <v>3798</v>
      </c>
      <c r="F1206" s="6" t="str">
        <f>HYPERLINK("http://maximabags.com/","maximabags.com")</f>
        <v>maximabags.com</v>
      </c>
    </row>
    <row r="1207" spans="1:6" ht="16.95" customHeight="1" x14ac:dyDescent="0.25">
      <c r="A1207" s="5" t="s">
        <v>3799</v>
      </c>
      <c r="B1207" s="4" t="s">
        <v>3800</v>
      </c>
      <c r="C1207" s="4" t="s">
        <v>3796</v>
      </c>
      <c r="D1207" s="4" t="s">
        <v>3801</v>
      </c>
      <c r="E1207" s="4" t="s">
        <v>3802</v>
      </c>
      <c r="F1207" s="4" t="str">
        <f>HYPERLINK("http://www.brandinatheoriginal.it/","www.brandinatheoriginal.it")</f>
        <v>www.brandinatheoriginal.it</v>
      </c>
    </row>
    <row r="1208" spans="1:6" ht="29.55" customHeight="1" x14ac:dyDescent="0.25">
      <c r="A1208" s="1" t="s">
        <v>3803</v>
      </c>
      <c r="B1208" s="6" t="s">
        <v>3804</v>
      </c>
      <c r="C1208" s="6" t="s">
        <v>3805</v>
      </c>
      <c r="D1208" s="6" t="s">
        <v>3806</v>
      </c>
      <c r="E1208" s="6" t="s">
        <v>3798</v>
      </c>
      <c r="F1208" s="6" t="str">
        <f>HYPERLINK("http://www.dulioaccessori.it/","www.dulioaccessori.it")</f>
        <v>www.dulioaccessori.it</v>
      </c>
    </row>
    <row r="1209" spans="1:6" ht="29.55" customHeight="1" x14ac:dyDescent="0.25">
      <c r="A1209" s="5" t="s">
        <v>3807</v>
      </c>
      <c r="B1209" s="4" t="s">
        <v>3808</v>
      </c>
      <c r="C1209" s="4" t="s">
        <v>3809</v>
      </c>
      <c r="D1209" s="4" t="s">
        <v>3810</v>
      </c>
      <c r="E1209" s="4" t="s">
        <v>3811</v>
      </c>
      <c r="F1209" s="4" t="str">
        <f>HYPERLINK("http://www.valpel.it/","http://www.valpel.it/")</f>
        <v>http://www.valpel.it/</v>
      </c>
    </row>
    <row r="1210" spans="1:6" ht="16.95" customHeight="1" x14ac:dyDescent="0.25">
      <c r="A1210" s="1" t="s">
        <v>3812</v>
      </c>
      <c r="B1210" s="6" t="s">
        <v>3813</v>
      </c>
      <c r="C1210" s="6" t="s">
        <v>3809</v>
      </c>
      <c r="D1210" s="6" t="s">
        <v>3814</v>
      </c>
      <c r="E1210" s="6" t="s">
        <v>3811</v>
      </c>
      <c r="F1210" s="6" t="str">
        <f>HYPERLINK("http://ilpumasrl.it/","ilpumasrl.it")</f>
        <v>ilpumasrl.it</v>
      </c>
    </row>
    <row r="1211" spans="1:6" ht="16.95" customHeight="1" x14ac:dyDescent="0.25">
      <c r="A1211" s="5" t="s">
        <v>3815</v>
      </c>
      <c r="B1211" s="4" t="s">
        <v>3816</v>
      </c>
      <c r="C1211" s="4" t="s">
        <v>3817</v>
      </c>
      <c r="D1211" s="4" t="s">
        <v>3818</v>
      </c>
      <c r="E1211" s="4" t="s">
        <v>3819</v>
      </c>
      <c r="F1211" s="4" t="str">
        <f>HYPERLINK("http://demblee.it/","demblee.it")</f>
        <v>demblee.it</v>
      </c>
    </row>
    <row r="1212" spans="1:6" ht="29.55" customHeight="1" x14ac:dyDescent="0.25">
      <c r="A1212" s="1" t="s">
        <v>3823</v>
      </c>
      <c r="B1212" s="6" t="s">
        <v>3824</v>
      </c>
      <c r="C1212" s="6" t="s">
        <v>3817</v>
      </c>
      <c r="D1212" s="6" t="s">
        <v>3825</v>
      </c>
      <c r="E1212" s="6" t="s">
        <v>3820</v>
      </c>
      <c r="F1212" s="6" t="str">
        <f>HYPERLINK("http://www.grazianosalvatelli.it/","www.grazianosalvatelli.it")</f>
        <v>www.grazianosalvatelli.it</v>
      </c>
    </row>
    <row r="1213" spans="1:6" ht="29.55" customHeight="1" x14ac:dyDescent="0.25">
      <c r="A1213" s="5" t="s">
        <v>3826</v>
      </c>
      <c r="B1213" s="4" t="s">
        <v>3827</v>
      </c>
      <c r="C1213" s="4" t="s">
        <v>3817</v>
      </c>
      <c r="D1213" s="4" t="s">
        <v>3810</v>
      </c>
      <c r="E1213" s="4" t="s">
        <v>3811</v>
      </c>
      <c r="F1213" s="4" t="str">
        <f>HYPERLINK("http://landing.elvaqueroretailers.com/","landing.elvaqueroretailers.com")</f>
        <v>landing.elvaqueroretailers.com</v>
      </c>
    </row>
    <row r="1214" spans="1:6" ht="16.95" customHeight="1" x14ac:dyDescent="0.25">
      <c r="A1214" s="5" t="s">
        <v>3828</v>
      </c>
      <c r="B1214" s="4" t="s">
        <v>3829</v>
      </c>
      <c r="C1214" s="4" t="s">
        <v>3796</v>
      </c>
      <c r="D1214" s="4" t="s">
        <v>3830</v>
      </c>
      <c r="E1214" s="4" t="s">
        <v>3802</v>
      </c>
      <c r="F1214" s="4" t="str">
        <f>HYPERLINK("http://www.albertodiparma.com/","www.albertodiparma.com")</f>
        <v>www.albertodiparma.com</v>
      </c>
    </row>
    <row r="1215" spans="1:6" ht="16.95" customHeight="1" x14ac:dyDescent="0.25">
      <c r="A1215" s="5" t="s">
        <v>3831</v>
      </c>
      <c r="B1215" s="4" t="s">
        <v>3832</v>
      </c>
      <c r="C1215" s="4" t="s">
        <v>3817</v>
      </c>
      <c r="D1215" s="4" t="s">
        <v>3810</v>
      </c>
      <c r="E1215" s="4" t="s">
        <v>3811</v>
      </c>
      <c r="F1215" s="4" t="str">
        <f>HYPERLINK("http://www.wexford.it/","www.wexford.it")</f>
        <v>www.wexford.it</v>
      </c>
    </row>
    <row r="1216" spans="1:6" ht="16.95" customHeight="1" x14ac:dyDescent="0.25">
      <c r="A1216" s="1" t="s">
        <v>3834</v>
      </c>
      <c r="B1216" s="6" t="s">
        <v>3835</v>
      </c>
      <c r="C1216" s="6" t="s">
        <v>3817</v>
      </c>
      <c r="D1216" s="6" t="s">
        <v>3836</v>
      </c>
      <c r="E1216" s="6" t="s">
        <v>3798</v>
      </c>
      <c r="F1216" s="6" t="str">
        <f>HYPERLINK("http://www.maurishoes.com/","www.maurishoes.com")</f>
        <v>www.maurishoes.com</v>
      </c>
    </row>
    <row r="1217" spans="1:6" ht="16.95" customHeight="1" x14ac:dyDescent="0.25">
      <c r="A1217" s="5" t="s">
        <v>3837</v>
      </c>
      <c r="B1217" s="4" t="s">
        <v>3838</v>
      </c>
      <c r="C1217" s="4" t="s">
        <v>3805</v>
      </c>
      <c r="D1217" s="4" t="s">
        <v>3825</v>
      </c>
      <c r="E1217" s="4" t="s">
        <v>3820</v>
      </c>
      <c r="F1217" s="4" t="str">
        <f>HYPERLINK("http://www.starplastsnc.it/","www.starplastsnc.it")</f>
        <v>www.starplastsnc.it</v>
      </c>
    </row>
    <row r="1218" spans="1:6" ht="16.95" customHeight="1" x14ac:dyDescent="0.25">
      <c r="A1218" s="1" t="s">
        <v>3839</v>
      </c>
      <c r="B1218" s="6" t="s">
        <v>3840</v>
      </c>
      <c r="C1218" s="6" t="s">
        <v>3796</v>
      </c>
      <c r="D1218" s="6" t="s">
        <v>3814</v>
      </c>
      <c r="E1218" s="6" t="s">
        <v>3811</v>
      </c>
      <c r="F1218" s="6" t="str">
        <f>HYPERLINK("http://kontessaccessori.it/","kontessaccessori.it")</f>
        <v>kontessaccessori.it</v>
      </c>
    </row>
    <row r="1219" spans="1:6" ht="29.55" customHeight="1" x14ac:dyDescent="0.25">
      <c r="A1219" s="1" t="s">
        <v>3841</v>
      </c>
      <c r="B1219" s="6" t="s">
        <v>3842</v>
      </c>
      <c r="C1219" s="6" t="s">
        <v>3805</v>
      </c>
      <c r="D1219" s="6" t="s">
        <v>3810</v>
      </c>
      <c r="E1219" s="6" t="s">
        <v>3811</v>
      </c>
      <c r="F1219" s="6" t="str">
        <f>HYPERLINK("http://tomaificiolidis.it/","tomaificiolidis.it")</f>
        <v>tomaificiolidis.it</v>
      </c>
    </row>
    <row r="1220" spans="1:6" ht="16.95" customHeight="1" x14ac:dyDescent="0.25">
      <c r="A1220" s="1" t="s">
        <v>3843</v>
      </c>
      <c r="B1220" s="6" t="s">
        <v>3844</v>
      </c>
      <c r="C1220" s="6" t="s">
        <v>3809</v>
      </c>
      <c r="D1220" s="6" t="s">
        <v>3821</v>
      </c>
      <c r="E1220" s="6" t="s">
        <v>3822</v>
      </c>
      <c r="F1220" s="6" t="str">
        <f>HYPERLINK("http://www.conceriadaniela.com/","www.conceriadaniela.com")</f>
        <v>www.conceriadaniela.com</v>
      </c>
    </row>
    <row r="1221" spans="1:6" ht="16.95" customHeight="1" x14ac:dyDescent="0.25">
      <c r="A1221" s="5" t="s">
        <v>3845</v>
      </c>
      <c r="B1221" s="4" t="s">
        <v>3846</v>
      </c>
      <c r="C1221" s="4" t="s">
        <v>3833</v>
      </c>
      <c r="D1221" s="4" t="s">
        <v>3847</v>
      </c>
      <c r="E1221" s="4" t="s">
        <v>3848</v>
      </c>
      <c r="F1221" s="4" t="str">
        <f>HYPERLINK("http://www.carbottibags.com/","www.carbottibags.com")</f>
        <v>www.carbottibags.com</v>
      </c>
    </row>
    <row r="1222" spans="1:6" ht="16.95" customHeight="1" x14ac:dyDescent="0.25">
      <c r="A1222" s="1" t="s">
        <v>3849</v>
      </c>
      <c r="B1222" s="6" t="s">
        <v>3850</v>
      </c>
      <c r="C1222" s="6" t="s">
        <v>3796</v>
      </c>
      <c r="D1222" s="6" t="s">
        <v>3851</v>
      </c>
      <c r="E1222" s="6" t="s">
        <v>3822</v>
      </c>
      <c r="F1222" s="6" t="str">
        <f>HYPERLINK("http://www.terrida.com/","www.terrida.com")</f>
        <v>www.terrida.com</v>
      </c>
    </row>
    <row r="1223" spans="1:6" ht="16.95" customHeight="1" x14ac:dyDescent="0.25">
      <c r="A1223" s="5" t="s">
        <v>3852</v>
      </c>
      <c r="B1223" s="4" t="s">
        <v>3853</v>
      </c>
      <c r="C1223" s="4" t="s">
        <v>3817</v>
      </c>
      <c r="D1223" s="4" t="s">
        <v>3825</v>
      </c>
      <c r="E1223" s="4" t="s">
        <v>3820</v>
      </c>
      <c r="F1223" s="4" t="str">
        <f>HYPERLINK("http://www.ercoligino.it/","www.ercoligino.it")</f>
        <v>www.ercoligino.it</v>
      </c>
    </row>
    <row r="1224" spans="1:6" ht="16.95" customHeight="1" x14ac:dyDescent="0.25">
      <c r="A1224" s="1" t="s">
        <v>3854</v>
      </c>
      <c r="B1224" s="6" t="s">
        <v>3855</v>
      </c>
      <c r="C1224" s="6" t="s">
        <v>3809</v>
      </c>
      <c r="D1224" s="6" t="s">
        <v>3821</v>
      </c>
      <c r="E1224" s="6" t="s">
        <v>3822</v>
      </c>
      <c r="F1224" s="6" t="str">
        <f>HYPERLINK("http://www.prodital.biz/","www.prodital.biz")</f>
        <v>www.prodital.biz</v>
      </c>
    </row>
    <row r="1225" spans="1:6" ht="16.95" customHeight="1" x14ac:dyDescent="0.25">
      <c r="A1225" s="1" t="s">
        <v>3856</v>
      </c>
      <c r="B1225" s="6" t="s">
        <v>3857</v>
      </c>
      <c r="C1225" s="6" t="s">
        <v>3817</v>
      </c>
      <c r="D1225" s="6" t="s">
        <v>3818</v>
      </c>
      <c r="E1225" s="6" t="s">
        <v>3819</v>
      </c>
      <c r="F1225" s="6" t="str">
        <f>HYPERLINK("http://larianna.it/","larianna.it")</f>
        <v>larianna.it</v>
      </c>
    </row>
    <row r="1226" spans="1:6" ht="55.65" customHeight="1" x14ac:dyDescent="0.25">
      <c r="A1226" s="5" t="s">
        <v>3861</v>
      </c>
      <c r="B1226" s="4" t="s">
        <v>3862</v>
      </c>
      <c r="C1226" s="4" t="s">
        <v>3863</v>
      </c>
      <c r="D1226" s="4" t="s">
        <v>3859</v>
      </c>
      <c r="E1226" s="4" t="s">
        <v>3860</v>
      </c>
      <c r="F1226" s="4" t="str">
        <f>HYPERLINK("http://pelletteriamarant.com/","pelletteriamarant.com")</f>
        <v>pelletteriamarant.com</v>
      </c>
    </row>
    <row r="1227" spans="1:6" ht="16.95" customHeight="1" x14ac:dyDescent="0.25">
      <c r="A1227" s="5" t="s">
        <v>3865</v>
      </c>
      <c r="B1227" s="4" t="s">
        <v>3866</v>
      </c>
      <c r="C1227" s="4" t="s">
        <v>3867</v>
      </c>
      <c r="D1227" s="4" t="s">
        <v>3864</v>
      </c>
      <c r="E1227" s="4" t="s">
        <v>3860</v>
      </c>
      <c r="F1227" s="4" t="str">
        <f>HYPERLINK("http://www.gianmarcof.it/","www.gianmarcof.it")</f>
        <v>www.gianmarcof.it</v>
      </c>
    </row>
    <row r="1228" spans="1:6" ht="55.65" customHeight="1" x14ac:dyDescent="0.25">
      <c r="A1228" s="1" t="s">
        <v>3868</v>
      </c>
      <c r="B1228" s="6" t="s">
        <v>3869</v>
      </c>
      <c r="C1228" s="6" t="s">
        <v>3870</v>
      </c>
      <c r="D1228" s="6" t="s">
        <v>3871</v>
      </c>
      <c r="E1228" s="6" t="s">
        <v>3872</v>
      </c>
      <c r="F1228" s="6" t="str">
        <f>HYPERLINK("http://www.renzoni.net/","www.renzoni.net")</f>
        <v>www.renzoni.net</v>
      </c>
    </row>
    <row r="1229" spans="1:6" ht="16.95" customHeight="1" x14ac:dyDescent="0.25">
      <c r="A1229" s="5" t="s">
        <v>3873</v>
      </c>
      <c r="B1229" s="4" t="s">
        <v>3874</v>
      </c>
      <c r="C1229" s="4" t="s">
        <v>3870</v>
      </c>
      <c r="D1229" s="4" t="s">
        <v>3871</v>
      </c>
      <c r="E1229" s="4" t="s">
        <v>3872</v>
      </c>
      <c r="F1229" s="4" t="str">
        <f>HYPERLINK("http://www.exa-srl.it/","www.exa-srl.it")</f>
        <v>www.exa-srl.it</v>
      </c>
    </row>
    <row r="1230" spans="1:6" ht="16.95" customHeight="1" x14ac:dyDescent="0.25">
      <c r="A1230" s="1" t="s">
        <v>3875</v>
      </c>
      <c r="B1230" s="6" t="s">
        <v>3876</v>
      </c>
      <c r="C1230" s="6" t="s">
        <v>3870</v>
      </c>
      <c r="D1230" s="6" t="s">
        <v>3871</v>
      </c>
      <c r="E1230" s="6" t="s">
        <v>3872</v>
      </c>
      <c r="F1230" s="6" t="str">
        <f>HYPERLINK("http://www.robertomorellisrl.it/","www.robertomorellisrl.it")</f>
        <v>www.robertomorellisrl.it</v>
      </c>
    </row>
    <row r="1231" spans="1:6" ht="16.95" customHeight="1" x14ac:dyDescent="0.25">
      <c r="A1231" s="5" t="s">
        <v>3878</v>
      </c>
      <c r="B1231" s="4" t="s">
        <v>3879</v>
      </c>
      <c r="C1231" s="4" t="s">
        <v>3863</v>
      </c>
      <c r="D1231" s="4" t="s">
        <v>3880</v>
      </c>
      <c r="E1231" s="4" t="s">
        <v>3881</v>
      </c>
      <c r="F1231" s="4" t="str">
        <f>HYPERLINK("http://pomme.it/","pomme.it")</f>
        <v>pomme.it</v>
      </c>
    </row>
    <row r="1232" spans="1:6" ht="29.55" customHeight="1" x14ac:dyDescent="0.25">
      <c r="A1232" s="1" t="s">
        <v>3882</v>
      </c>
      <c r="B1232" s="6" t="s">
        <v>3883</v>
      </c>
      <c r="C1232" s="6" t="s">
        <v>3858</v>
      </c>
      <c r="D1232" s="6" t="s">
        <v>3884</v>
      </c>
      <c r="E1232" s="6" t="s">
        <v>3877</v>
      </c>
      <c r="F1232" s="6" t="str">
        <f>HYPERLINK("http://www.conceriabertoldi.com/","http://www.conceriabertoldi.com")</f>
        <v>http://www.conceriabertoldi.com</v>
      </c>
    </row>
    <row r="1233" spans="1:6" ht="16.95" customHeight="1" x14ac:dyDescent="0.25">
      <c r="A1233" s="5" t="s">
        <v>3885</v>
      </c>
      <c r="B1233" s="4" t="s">
        <v>3886</v>
      </c>
      <c r="C1233" s="4" t="s">
        <v>3863</v>
      </c>
      <c r="D1233" s="4" t="s">
        <v>3887</v>
      </c>
      <c r="E1233" s="4" t="s">
        <v>3888</v>
      </c>
      <c r="F1233" s="4" t="str">
        <f>HYPERLINK("http://ggconfezioni.com/","ggconfezioni.com")</f>
        <v>ggconfezioni.com</v>
      </c>
    </row>
    <row r="1234" spans="1:6" ht="16.95" customHeight="1" x14ac:dyDescent="0.25">
      <c r="A1234" s="1" t="s">
        <v>3889</v>
      </c>
      <c r="B1234" s="6" t="s">
        <v>3890</v>
      </c>
      <c r="C1234" s="6" t="s">
        <v>3870</v>
      </c>
      <c r="D1234" s="6" t="s">
        <v>3871</v>
      </c>
      <c r="E1234" s="6" t="s">
        <v>3872</v>
      </c>
      <c r="F1234" s="6" t="str">
        <f>HYPERLINK("http://www.inlinesrl.it/","www.inlinesrl.it")</f>
        <v>www.inlinesrl.it</v>
      </c>
    </row>
    <row r="1235" spans="1:6" ht="16.95" customHeight="1" x14ac:dyDescent="0.25">
      <c r="A1235" s="1" t="s">
        <v>3892</v>
      </c>
      <c r="B1235" s="6" t="s">
        <v>3893</v>
      </c>
      <c r="C1235" s="6" t="s">
        <v>3858</v>
      </c>
      <c r="D1235" s="6" t="s">
        <v>3894</v>
      </c>
      <c r="E1235" s="6" t="s">
        <v>3891</v>
      </c>
      <c r="F1235" s="6" t="str">
        <f>HYPERLINK("http://www.conceria-alpaca.it/","www.conceria-alpaca.it")</f>
        <v>www.conceria-alpaca.it</v>
      </c>
    </row>
    <row r="1236" spans="1:6" ht="29.55" customHeight="1" x14ac:dyDescent="0.25">
      <c r="A1236" s="5" t="s">
        <v>3895</v>
      </c>
      <c r="B1236" s="4" t="s">
        <v>3896</v>
      </c>
      <c r="C1236" s="4" t="s">
        <v>3870</v>
      </c>
      <c r="D1236" s="4" t="s">
        <v>3897</v>
      </c>
      <c r="E1236" s="4" t="s">
        <v>3860</v>
      </c>
      <c r="F1236" s="4" t="str">
        <f>HYPERLINK("http://clcalzaturificio.it/","clcalzaturificio.it")</f>
        <v>clcalzaturificio.it</v>
      </c>
    </row>
    <row r="1237" spans="1:6" ht="16.95" customHeight="1" x14ac:dyDescent="0.25">
      <c r="A1237" s="1" t="s">
        <v>3898</v>
      </c>
      <c r="B1237" s="6" t="s">
        <v>3899</v>
      </c>
      <c r="C1237" s="6" t="s">
        <v>3870</v>
      </c>
      <c r="D1237" s="6" t="s">
        <v>3900</v>
      </c>
      <c r="E1237" s="6" t="s">
        <v>3891</v>
      </c>
      <c r="F1237" s="6" t="str">
        <f>HYPERLINK("http://www.lereginedelforte.com/","www.lereginedelforte.com")</f>
        <v>www.lereginedelforte.com</v>
      </c>
    </row>
    <row r="1238" spans="1:6" ht="16.95" customHeight="1" x14ac:dyDescent="0.25">
      <c r="A1238" s="5" t="s">
        <v>3901</v>
      </c>
      <c r="B1238" s="4" t="s">
        <v>3902</v>
      </c>
      <c r="C1238" s="4" t="s">
        <v>3867</v>
      </c>
      <c r="D1238" s="4" t="s">
        <v>3871</v>
      </c>
      <c r="E1238" s="4" t="s">
        <v>3872</v>
      </c>
      <c r="F1238" s="4" t="str">
        <f>HYPERLINK("http://www.suolificiogalletti.it/","www.suolificiogalletti.it")</f>
        <v>www.suolificiogalletti.it</v>
      </c>
    </row>
    <row r="1239" spans="1:6" ht="16.95" customHeight="1" x14ac:dyDescent="0.25">
      <c r="A1239" s="5" t="s">
        <v>3903</v>
      </c>
      <c r="B1239" s="4" t="s">
        <v>3904</v>
      </c>
      <c r="C1239" s="4" t="s">
        <v>3863</v>
      </c>
      <c r="D1239" s="4" t="s">
        <v>3894</v>
      </c>
      <c r="E1239" s="4" t="s">
        <v>3891</v>
      </c>
      <c r="F1239" s="4" t="str">
        <f>HYPERLINK("http://www.laborsrl.org/","www.laborsrl.org")</f>
        <v>www.laborsrl.org</v>
      </c>
    </row>
    <row r="1240" spans="1:6" ht="16.95" customHeight="1" x14ac:dyDescent="0.25">
      <c r="A1240" s="1" t="s">
        <v>3905</v>
      </c>
      <c r="B1240" s="6" t="s">
        <v>3906</v>
      </c>
      <c r="C1240" s="6" t="s">
        <v>3867</v>
      </c>
      <c r="D1240" s="6" t="s">
        <v>3871</v>
      </c>
      <c r="E1240" s="6" t="s">
        <v>3872</v>
      </c>
      <c r="F1240" s="6" t="str">
        <f>HYPERLINK("http://www.mafsrl.net/","www.mafsrl.net")</f>
        <v>www.mafsrl.net</v>
      </c>
    </row>
    <row r="1241" spans="1:6" ht="16.95" customHeight="1" x14ac:dyDescent="0.25">
      <c r="A1241" s="5" t="s">
        <v>3907</v>
      </c>
      <c r="B1241" s="4" t="s">
        <v>3908</v>
      </c>
      <c r="C1241" s="4" t="s">
        <v>3909</v>
      </c>
      <c r="D1241" s="4" t="s">
        <v>3864</v>
      </c>
      <c r="E1241" s="4" t="s">
        <v>3860</v>
      </c>
      <c r="F1241" s="4" t="str">
        <f>HYPERLINK("http://www.aldocastagna.com/","www.aldocastagna.com")</f>
        <v>www.aldocastagna.com</v>
      </c>
    </row>
    <row r="1242" spans="1:6" ht="16.95" customHeight="1" x14ac:dyDescent="0.25">
      <c r="A1242" s="5" t="s">
        <v>3910</v>
      </c>
      <c r="B1242" s="4" t="s">
        <v>3911</v>
      </c>
      <c r="C1242" s="4" t="s">
        <v>3870</v>
      </c>
      <c r="D1242" s="4" t="s">
        <v>3912</v>
      </c>
      <c r="E1242" s="4" t="s">
        <v>3877</v>
      </c>
      <c r="F1242" s="4" t="str">
        <f>HYPERLINK("http://orizo.it/","orizo.it")</f>
        <v>orizo.it</v>
      </c>
    </row>
    <row r="1243" spans="1:6" ht="16.95" customHeight="1" x14ac:dyDescent="0.25">
      <c r="A1243" s="1" t="s">
        <v>3918</v>
      </c>
      <c r="B1243" s="6" t="s">
        <v>3919</v>
      </c>
      <c r="C1243" s="6" t="s">
        <v>3920</v>
      </c>
      <c r="D1243" s="6" t="s">
        <v>3921</v>
      </c>
      <c r="E1243" s="6" t="s">
        <v>3914</v>
      </c>
      <c r="F1243" s="6" t="str">
        <f>HYPERLINK("http://www.lepepe.it/","www.lepepe.it")</f>
        <v>www.lepepe.it</v>
      </c>
    </row>
    <row r="1244" spans="1:6" ht="29.55" customHeight="1" x14ac:dyDescent="0.25">
      <c r="A1244" s="5" t="s">
        <v>3922</v>
      </c>
      <c r="B1244" s="4" t="s">
        <v>3923</v>
      </c>
      <c r="C1244" s="4" t="s">
        <v>3915</v>
      </c>
      <c r="D1244" s="4" t="s">
        <v>3924</v>
      </c>
      <c r="E1244" s="4" t="s">
        <v>3925</v>
      </c>
      <c r="F1244" s="4" t="str">
        <f>HYPERLINK("http://www.rm1891.com/","www.rm1891.com")</f>
        <v>www.rm1891.com</v>
      </c>
    </row>
    <row r="1245" spans="1:6" ht="16.95" customHeight="1" x14ac:dyDescent="0.25">
      <c r="A1245" s="5" t="s">
        <v>3928</v>
      </c>
      <c r="B1245" s="4" t="s">
        <v>3929</v>
      </c>
      <c r="C1245" s="4" t="s">
        <v>3913</v>
      </c>
      <c r="D1245" s="4" t="s">
        <v>3930</v>
      </c>
      <c r="E1245" s="4" t="s">
        <v>3931</v>
      </c>
      <c r="F1245" s="4" t="str">
        <f>HYPERLINK("http://www.startleather.it/","www.startleather.it")</f>
        <v>www.startleather.it</v>
      </c>
    </row>
    <row r="1246" spans="1:6" ht="16.95" customHeight="1" x14ac:dyDescent="0.25">
      <c r="A1246" s="1" t="s">
        <v>3932</v>
      </c>
      <c r="B1246" s="6" t="s">
        <v>3933</v>
      </c>
      <c r="C1246" s="6" t="s">
        <v>3915</v>
      </c>
      <c r="D1246" s="6" t="s">
        <v>3934</v>
      </c>
      <c r="E1246" s="6" t="s">
        <v>3935</v>
      </c>
      <c r="F1246" s="6" t="str">
        <f>HYPERLINK("http://www.barleycorn.it/","www.barleycorn.it")</f>
        <v>www.barleycorn.it</v>
      </c>
    </row>
    <row r="1247" spans="1:6" ht="16.95" customHeight="1" x14ac:dyDescent="0.25">
      <c r="A1247" s="1" t="s">
        <v>3937</v>
      </c>
      <c r="B1247" s="6" t="s">
        <v>3938</v>
      </c>
      <c r="C1247" s="6" t="s">
        <v>3913</v>
      </c>
      <c r="D1247" s="6" t="s">
        <v>3927</v>
      </c>
      <c r="E1247" s="6" t="s">
        <v>3917</v>
      </c>
      <c r="F1247" s="6" t="str">
        <f>HYPERLINK("http://www.copecapelli.com/","www.copecapelli.com")</f>
        <v>www.copecapelli.com</v>
      </c>
    </row>
    <row r="1248" spans="1:6" ht="16.95" customHeight="1" x14ac:dyDescent="0.25">
      <c r="A1248" s="5" t="s">
        <v>3939</v>
      </c>
      <c r="B1248" s="4" t="s">
        <v>3940</v>
      </c>
      <c r="C1248" s="4" t="s">
        <v>3915</v>
      </c>
      <c r="D1248" s="4" t="s">
        <v>3934</v>
      </c>
      <c r="E1248" s="4" t="s">
        <v>3935</v>
      </c>
      <c r="F1248" s="4" t="str">
        <f>HYPERLINK("http://www.verdecchia.it/","www.verdecchia.it")</f>
        <v>www.verdecchia.it</v>
      </c>
    </row>
    <row r="1249" spans="1:6" ht="16.95" customHeight="1" x14ac:dyDescent="0.25">
      <c r="A1249" s="1" t="s">
        <v>3941</v>
      </c>
      <c r="B1249" s="6" t="s">
        <v>3942</v>
      </c>
      <c r="C1249" s="6" t="s">
        <v>3926</v>
      </c>
      <c r="D1249" s="6" t="s">
        <v>3916</v>
      </c>
      <c r="E1249" s="6" t="s">
        <v>3917</v>
      </c>
      <c r="F1249" s="6" t="str">
        <f>HYPERLINK("http://www.italsuole.it/","www.italsuole.it")</f>
        <v>www.italsuole.it</v>
      </c>
    </row>
    <row r="1250" spans="1:6" ht="16.95" customHeight="1" x14ac:dyDescent="0.25">
      <c r="A1250" s="5" t="s">
        <v>3943</v>
      </c>
      <c r="B1250" s="4" t="s">
        <v>3944</v>
      </c>
      <c r="C1250" s="4" t="s">
        <v>3915</v>
      </c>
      <c r="D1250" s="4" t="s">
        <v>3927</v>
      </c>
      <c r="E1250" s="4" t="s">
        <v>3917</v>
      </c>
      <c r="F1250" s="4" t="str">
        <f>HYPERLINK("http://www.preziosogroup.com/","www.preziosogroup.com")</f>
        <v>www.preziosogroup.com</v>
      </c>
    </row>
    <row r="1251" spans="1:6" ht="16.95" customHeight="1" x14ac:dyDescent="0.25">
      <c r="A1251" s="1" t="s">
        <v>3945</v>
      </c>
      <c r="B1251" s="6" t="s">
        <v>3946</v>
      </c>
      <c r="C1251" s="6" t="s">
        <v>3915</v>
      </c>
      <c r="D1251" s="6" t="s">
        <v>3947</v>
      </c>
      <c r="E1251" s="6" t="s">
        <v>3925</v>
      </c>
      <c r="F1251" s="6" t="str">
        <f>HYPERLINK("http://avenue67.it/","avenue67.it")</f>
        <v>avenue67.it</v>
      </c>
    </row>
    <row r="1252" spans="1:6" ht="16.95" customHeight="1" x14ac:dyDescent="0.25">
      <c r="A1252" s="5" t="s">
        <v>3948</v>
      </c>
      <c r="B1252" s="4" t="s">
        <v>3949</v>
      </c>
      <c r="C1252" s="4" t="s">
        <v>3926</v>
      </c>
      <c r="D1252" s="4" t="s">
        <v>3950</v>
      </c>
      <c r="E1252" s="4" t="s">
        <v>3925</v>
      </c>
      <c r="F1252" s="4" t="str">
        <f>HYPERLINK("http://www.palmadoro.it/","www.palmadoro.it")</f>
        <v>www.palmadoro.it</v>
      </c>
    </row>
    <row r="1253" spans="1:6" ht="16.95" customHeight="1" x14ac:dyDescent="0.25">
      <c r="A1253" s="1" t="s">
        <v>3951</v>
      </c>
      <c r="B1253" s="6" t="s">
        <v>3952</v>
      </c>
      <c r="C1253" s="6" t="s">
        <v>3926</v>
      </c>
      <c r="D1253" s="6" t="s">
        <v>3953</v>
      </c>
      <c r="E1253" s="6" t="s">
        <v>3914</v>
      </c>
      <c r="F1253" s="6" t="str">
        <f>HYPERLINK("http://www.frada.it/","www.frada.it")</f>
        <v>www.frada.it</v>
      </c>
    </row>
    <row r="1254" spans="1:6" ht="29.55" customHeight="1" x14ac:dyDescent="0.25">
      <c r="A1254" s="5" t="s">
        <v>3954</v>
      </c>
      <c r="B1254" s="4" t="s">
        <v>3955</v>
      </c>
      <c r="C1254" s="4" t="s">
        <v>3926</v>
      </c>
      <c r="D1254" s="4" t="s">
        <v>3936</v>
      </c>
      <c r="E1254" s="4" t="s">
        <v>3935</v>
      </c>
      <c r="F1254" s="4" t="str">
        <f>HYPERLINK("http://www.guardolificiodiomedi.com/","www.guardolificiodiomedi.com")</f>
        <v>www.guardolificiodiomedi.com</v>
      </c>
    </row>
    <row r="1255" spans="1:6" ht="16.95" customHeight="1" x14ac:dyDescent="0.25">
      <c r="A1255" s="5" t="s">
        <v>3956</v>
      </c>
      <c r="B1255" s="4" t="s">
        <v>3957</v>
      </c>
      <c r="C1255" s="4" t="s">
        <v>3915</v>
      </c>
      <c r="D1255" s="4" t="s">
        <v>3958</v>
      </c>
      <c r="E1255" s="4" t="s">
        <v>3914</v>
      </c>
      <c r="F1255" s="4" t="str">
        <f>HYPERLINK("http://www.europeancomfort.it/","www.europeancomfort.it")</f>
        <v>www.europeancomfort.it</v>
      </c>
    </row>
    <row r="1256" spans="1:6" ht="16.95" customHeight="1" x14ac:dyDescent="0.25">
      <c r="A1256" s="1" t="s">
        <v>3959</v>
      </c>
      <c r="B1256" s="6" t="s">
        <v>3960</v>
      </c>
      <c r="C1256" s="6" t="s">
        <v>3961</v>
      </c>
      <c r="D1256" s="6" t="s">
        <v>3962</v>
      </c>
      <c r="E1256" s="6" t="s">
        <v>3925</v>
      </c>
      <c r="F1256" s="6" t="str">
        <f>HYPERLINK("http://www.pelletteriaz3.it/","www.pelletteriaz3.it")</f>
        <v>www.pelletteriaz3.it</v>
      </c>
    </row>
    <row r="1257" spans="1:6" ht="29.55" customHeight="1" x14ac:dyDescent="0.25">
      <c r="A1257" s="5" t="s">
        <v>3963</v>
      </c>
      <c r="B1257" s="4" t="s">
        <v>3964</v>
      </c>
      <c r="C1257" s="4" t="s">
        <v>3915</v>
      </c>
      <c r="D1257" s="4" t="s">
        <v>3936</v>
      </c>
      <c r="E1257" s="4" t="s">
        <v>3935</v>
      </c>
      <c r="F1257" s="4" t="str">
        <f>HYPERLINK("http://fasterishoes.com/","fasterishoes.com")</f>
        <v>fasterishoes.com</v>
      </c>
    </row>
    <row r="1258" spans="1:6" ht="16.95" customHeight="1" x14ac:dyDescent="0.25">
      <c r="A1258" s="1" t="s">
        <v>3965</v>
      </c>
      <c r="B1258" s="6" t="s">
        <v>3966</v>
      </c>
      <c r="C1258" s="6" t="s">
        <v>3967</v>
      </c>
      <c r="D1258" s="6" t="s">
        <v>3968</v>
      </c>
      <c r="E1258" s="6" t="s">
        <v>3969</v>
      </c>
      <c r="F1258" s="6" t="str">
        <f>HYPERLINK("http://www.suolificiopres.it/","www.suolificiopres.it")</f>
        <v>www.suolificiopres.it</v>
      </c>
    </row>
    <row r="1259" spans="1:6" ht="16.95" customHeight="1" x14ac:dyDescent="0.25">
      <c r="A1259" s="5" t="s">
        <v>3973</v>
      </c>
      <c r="B1259" s="4" t="s">
        <v>3974</v>
      </c>
      <c r="C1259" s="4" t="s">
        <v>3975</v>
      </c>
      <c r="D1259" s="4" t="s">
        <v>3968</v>
      </c>
      <c r="E1259" s="4" t="s">
        <v>3969</v>
      </c>
      <c r="F1259" s="4" t="str">
        <f>HYPERLINK("http://www.suolificiogl.com/","www.suolificiogl.com")</f>
        <v>www.suolificiogl.com</v>
      </c>
    </row>
    <row r="1260" spans="1:6" ht="16.95" customHeight="1" x14ac:dyDescent="0.25">
      <c r="A1260" s="5" t="s">
        <v>3977</v>
      </c>
      <c r="B1260" s="4" t="s">
        <v>3978</v>
      </c>
      <c r="C1260" s="4" t="s">
        <v>3979</v>
      </c>
      <c r="D1260" s="4" t="s">
        <v>3968</v>
      </c>
      <c r="E1260" s="4" t="s">
        <v>3969</v>
      </c>
      <c r="F1260" s="4" t="str">
        <f>HYPERLINK("http://www.luiginoverducci.it/","www.luiginoverducci.it")</f>
        <v>www.luiginoverducci.it</v>
      </c>
    </row>
    <row r="1261" spans="1:6" ht="16.95" customHeight="1" x14ac:dyDescent="0.25">
      <c r="A1261" s="5" t="s">
        <v>3980</v>
      </c>
      <c r="B1261" s="4" t="s">
        <v>3981</v>
      </c>
      <c r="C1261" s="4" t="s">
        <v>3979</v>
      </c>
      <c r="D1261" s="4" t="s">
        <v>3982</v>
      </c>
      <c r="E1261" s="4" t="s">
        <v>3983</v>
      </c>
      <c r="F1261" s="4" t="str">
        <f>HYPERLINK("http://playone.it/","playone.it")</f>
        <v>playone.it</v>
      </c>
    </row>
    <row r="1262" spans="1:6" ht="16.95" customHeight="1" x14ac:dyDescent="0.25">
      <c r="A1262" s="1" t="s">
        <v>3984</v>
      </c>
      <c r="B1262" s="6" t="s">
        <v>3985</v>
      </c>
      <c r="C1262" s="6" t="s">
        <v>3967</v>
      </c>
      <c r="D1262" s="6" t="s">
        <v>3986</v>
      </c>
      <c r="E1262" s="6" t="s">
        <v>3983</v>
      </c>
      <c r="F1262" s="6" t="str">
        <f>HYPERLINK("http://www.conceriaitalpelli.it/","www.conceriaitalpelli.it")</f>
        <v>www.conceriaitalpelli.it</v>
      </c>
    </row>
    <row r="1263" spans="1:6" ht="29.55" customHeight="1" x14ac:dyDescent="0.25">
      <c r="A1263" s="1" t="s">
        <v>3987</v>
      </c>
      <c r="B1263" s="6" t="s">
        <v>3988</v>
      </c>
      <c r="C1263" s="6" t="s">
        <v>3979</v>
      </c>
      <c r="D1263" s="6" t="s">
        <v>3989</v>
      </c>
      <c r="E1263" s="6" t="s">
        <v>3990</v>
      </c>
      <c r="F1263" s="6" t="str">
        <f>HYPERLINK("http://www.oscarsport.com/","www.oscarsport.com")</f>
        <v>www.oscarsport.com</v>
      </c>
    </row>
    <row r="1264" spans="1:6" ht="16.95" customHeight="1" x14ac:dyDescent="0.25">
      <c r="A1264" s="5" t="s">
        <v>3991</v>
      </c>
      <c r="B1264" s="4" t="s">
        <v>3992</v>
      </c>
      <c r="C1264" s="4" t="s">
        <v>3975</v>
      </c>
      <c r="D1264" s="4" t="s">
        <v>3968</v>
      </c>
      <c r="E1264" s="4" t="s">
        <v>3969</v>
      </c>
      <c r="F1264" s="4" t="str">
        <f>HYPERLINK("http://www.guardolificioc3.com/","http://www.guardolificioc3.com")</f>
        <v>http://www.guardolificioc3.com</v>
      </c>
    </row>
    <row r="1265" spans="1:6" ht="16.95" customHeight="1" x14ac:dyDescent="0.25">
      <c r="A1265" s="1" t="s">
        <v>3993</v>
      </c>
      <c r="B1265" s="6" t="s">
        <v>3994</v>
      </c>
      <c r="C1265" s="6" t="s">
        <v>3967</v>
      </c>
      <c r="D1265" s="6" t="s">
        <v>3976</v>
      </c>
      <c r="E1265" s="6" t="s">
        <v>3971</v>
      </c>
      <c r="F1265" s="6" t="str">
        <f>HYPERLINK("http://www.ascotspa.it/","http://www.ascotspa.it")</f>
        <v>http://www.ascotspa.it</v>
      </c>
    </row>
    <row r="1266" spans="1:6" ht="16.95" customHeight="1" x14ac:dyDescent="0.25">
      <c r="A1266" s="5" t="s">
        <v>3995</v>
      </c>
      <c r="B1266" s="4" t="s">
        <v>3996</v>
      </c>
      <c r="C1266" s="4" t="s">
        <v>3979</v>
      </c>
      <c r="D1266" s="4" t="s">
        <v>3997</v>
      </c>
      <c r="E1266" s="4" t="s">
        <v>3998</v>
      </c>
      <c r="F1266" s="4" t="str">
        <f>HYPERLINK("http://www.alevimilano.com/","www.alevimilano.com")</f>
        <v>www.alevimilano.com</v>
      </c>
    </row>
    <row r="1267" spans="1:6" ht="16.95" customHeight="1" x14ac:dyDescent="0.25">
      <c r="A1267" s="1" t="s">
        <v>3999</v>
      </c>
      <c r="B1267" s="6" t="s">
        <v>4000</v>
      </c>
      <c r="C1267" s="6" t="s">
        <v>3970</v>
      </c>
      <c r="D1267" s="6" t="s">
        <v>4001</v>
      </c>
      <c r="E1267" s="6" t="s">
        <v>3983</v>
      </c>
      <c r="F1267" s="6" t="str">
        <f>HYPERLINK("http://www.sevenpelletteria.it/","www.sevenpelletteria.it")</f>
        <v>www.sevenpelletteria.it</v>
      </c>
    </row>
    <row r="1268" spans="1:6" ht="16.95" customHeight="1" x14ac:dyDescent="0.25">
      <c r="A1268" s="5" t="s">
        <v>4002</v>
      </c>
      <c r="B1268" s="4" t="s">
        <v>4003</v>
      </c>
      <c r="C1268" s="4" t="s">
        <v>3970</v>
      </c>
      <c r="D1268" s="4" t="s">
        <v>4001</v>
      </c>
      <c r="E1268" s="4" t="s">
        <v>3983</v>
      </c>
      <c r="F1268" s="4" t="str">
        <f>HYPERLINK("http://www.bottegadelcuoio.com/","www.bottegadelcuoio.com")</f>
        <v>www.bottegadelcuoio.com</v>
      </c>
    </row>
    <row r="1269" spans="1:6" ht="16.95" customHeight="1" x14ac:dyDescent="0.25">
      <c r="A1269" s="5" t="s">
        <v>4004</v>
      </c>
      <c r="B1269" s="4" t="s">
        <v>4005</v>
      </c>
      <c r="C1269" s="4" t="s">
        <v>3975</v>
      </c>
      <c r="D1269" s="4" t="s">
        <v>3976</v>
      </c>
      <c r="E1269" s="4" t="s">
        <v>3971</v>
      </c>
      <c r="F1269" s="4" t="str">
        <f>HYPERLINK("http://www.noves.it/","www.noves.it")</f>
        <v>www.noves.it</v>
      </c>
    </row>
    <row r="1270" spans="1:6" ht="16.95" customHeight="1" x14ac:dyDescent="0.25">
      <c r="A1270" s="5" t="s">
        <v>4006</v>
      </c>
      <c r="B1270" s="4" t="s">
        <v>4007</v>
      </c>
      <c r="C1270" s="4" t="s">
        <v>3967</v>
      </c>
      <c r="D1270" s="4" t="s">
        <v>3976</v>
      </c>
      <c r="E1270" s="4" t="s">
        <v>3971</v>
      </c>
      <c r="F1270" s="4" t="str">
        <f>HYPERLINK("http://www.spaccatricepiave.it/","www.spaccatricepiave.it")</f>
        <v>www.spaccatricepiave.it</v>
      </c>
    </row>
    <row r="1271" spans="1:6" ht="16.95" customHeight="1" x14ac:dyDescent="0.25">
      <c r="A1271" s="5" t="s">
        <v>4008</v>
      </c>
      <c r="B1271" s="4" t="s">
        <v>4009</v>
      </c>
      <c r="C1271" s="4" t="s">
        <v>3975</v>
      </c>
      <c r="D1271" s="4" t="s">
        <v>3972</v>
      </c>
      <c r="E1271" s="4" t="s">
        <v>3969</v>
      </c>
      <c r="F1271" s="4" t="str">
        <f>HYPERLINK("http://www.tomaificiosandrorossi.it/","www.tomaificiosandrorossi.it")</f>
        <v>www.tomaificiosandrorossi.it</v>
      </c>
    </row>
    <row r="1272" spans="1:6" ht="29.55" customHeight="1" x14ac:dyDescent="0.25">
      <c r="A1272" s="1" t="s">
        <v>4010</v>
      </c>
      <c r="B1272" s="6" t="s">
        <v>4011</v>
      </c>
      <c r="C1272" s="6" t="s">
        <v>4012</v>
      </c>
      <c r="D1272" s="6" t="s">
        <v>4013</v>
      </c>
      <c r="E1272" s="6" t="s">
        <v>4014</v>
      </c>
      <c r="F1272" s="6" t="str">
        <f>HYPERLINK("http://www.rinascitashoes.it/","www.rinascitashoes.it")</f>
        <v>www.rinascitashoes.it</v>
      </c>
    </row>
    <row r="1273" spans="1:6" ht="16.95" customHeight="1" x14ac:dyDescent="0.25">
      <c r="A1273" s="5" t="s">
        <v>4015</v>
      </c>
      <c r="B1273" s="4" t="s">
        <v>4016</v>
      </c>
      <c r="C1273" s="4" t="s">
        <v>4017</v>
      </c>
      <c r="D1273" s="4" t="s">
        <v>4018</v>
      </c>
      <c r="E1273" s="4" t="s">
        <v>4019</v>
      </c>
      <c r="F1273" s="4" t="str">
        <f>HYPERLINK("http://www.ercan.it/","www.ercan.it")</f>
        <v>www.ercan.it</v>
      </c>
    </row>
    <row r="1274" spans="1:6" ht="16.95" customHeight="1" x14ac:dyDescent="0.25">
      <c r="A1274" s="1" t="s">
        <v>4020</v>
      </c>
      <c r="B1274" s="6" t="s">
        <v>4021</v>
      </c>
      <c r="C1274" s="6" t="s">
        <v>4022</v>
      </c>
      <c r="D1274" s="6" t="s">
        <v>4023</v>
      </c>
      <c r="E1274" s="6" t="s">
        <v>4024</v>
      </c>
      <c r="F1274" s="6" t="str">
        <f>HYPERLINK("http://www.maurogoverna.com/","www.maurogoverna.com")</f>
        <v>www.maurogoverna.com</v>
      </c>
    </row>
    <row r="1275" spans="1:6" ht="16.95" customHeight="1" x14ac:dyDescent="0.25">
      <c r="A1275" s="5" t="s">
        <v>4025</v>
      </c>
      <c r="B1275" s="4" t="s">
        <v>4026</v>
      </c>
      <c r="C1275" s="4" t="s">
        <v>4027</v>
      </c>
      <c r="D1275" s="4" t="s">
        <v>4028</v>
      </c>
      <c r="E1275" s="4" t="s">
        <v>4029</v>
      </c>
      <c r="F1275" s="4" t="str">
        <f>HYPERLINK("http://www.etruscapelli.it/","www.etruscapelli.it")</f>
        <v>www.etruscapelli.it</v>
      </c>
    </row>
    <row r="1276" spans="1:6" ht="16.95" customHeight="1" x14ac:dyDescent="0.25">
      <c r="A1276" s="5" t="s">
        <v>4035</v>
      </c>
      <c r="B1276" s="4" t="s">
        <v>4036</v>
      </c>
      <c r="C1276" s="4" t="s">
        <v>4012</v>
      </c>
      <c r="D1276" s="4" t="s">
        <v>4037</v>
      </c>
      <c r="E1276" s="4" t="s">
        <v>4029</v>
      </c>
      <c r="F1276" s="4" t="str">
        <f>HYPERLINK("http://www.luzzi.it/","www.luzzi.it")</f>
        <v>www.luzzi.it</v>
      </c>
    </row>
    <row r="1277" spans="1:6" ht="16.95" customHeight="1" x14ac:dyDescent="0.25">
      <c r="A1277" s="1" t="s">
        <v>4040</v>
      </c>
      <c r="B1277" s="6" t="s">
        <v>4041</v>
      </c>
      <c r="C1277" s="6" t="s">
        <v>4012</v>
      </c>
      <c r="D1277" s="6" t="s">
        <v>4033</v>
      </c>
      <c r="E1277" s="6" t="s">
        <v>4019</v>
      </c>
      <c r="F1277" s="6" t="str">
        <f>HYPERLINK("http://bellashoes.it/","bellashoes.it")</f>
        <v>bellashoes.it</v>
      </c>
    </row>
    <row r="1278" spans="1:6" ht="16.95" customHeight="1" x14ac:dyDescent="0.25">
      <c r="A1278" s="5" t="s">
        <v>4042</v>
      </c>
      <c r="B1278" s="4" t="s">
        <v>4043</v>
      </c>
      <c r="C1278" s="4" t="s">
        <v>4034</v>
      </c>
      <c r="D1278" s="4" t="s">
        <v>4044</v>
      </c>
      <c r="E1278" s="4" t="s">
        <v>4032</v>
      </c>
      <c r="F1278" s="4" t="str">
        <f>HYPERLINK("http://tacchificiocristina.it/","tacchificiocristina.it")</f>
        <v>tacchificiocristina.it</v>
      </c>
    </row>
    <row r="1279" spans="1:6" ht="16.95" customHeight="1" x14ac:dyDescent="0.25">
      <c r="A1279" s="1" t="s">
        <v>4045</v>
      </c>
      <c r="B1279" s="6" t="s">
        <v>4046</v>
      </c>
      <c r="C1279" s="6" t="s">
        <v>4012</v>
      </c>
      <c r="D1279" s="6" t="s">
        <v>4047</v>
      </c>
      <c r="E1279" s="6" t="s">
        <v>4048</v>
      </c>
      <c r="F1279" s="6" t="str">
        <f>HYPERLINK("http://www.pellettieridiparma.com/","www.pellettieridiparma.com")</f>
        <v>www.pellettieridiparma.com</v>
      </c>
    </row>
    <row r="1280" spans="1:6" ht="16.95" customHeight="1" x14ac:dyDescent="0.25">
      <c r="A1280" s="1" t="s">
        <v>4049</v>
      </c>
      <c r="B1280" s="6" t="s">
        <v>4050</v>
      </c>
      <c r="C1280" s="6" t="s">
        <v>4034</v>
      </c>
      <c r="D1280" s="6" t="s">
        <v>4051</v>
      </c>
      <c r="E1280" s="6" t="s">
        <v>4024</v>
      </c>
      <c r="F1280" s="6" t="str">
        <f>HYPERLINK("http://www.enzobonafe.com/","www.enzobonafe.com")</f>
        <v>www.enzobonafe.com</v>
      </c>
    </row>
    <row r="1281" spans="1:6" ht="29.55" customHeight="1" x14ac:dyDescent="0.25">
      <c r="A1281" s="5" t="s">
        <v>4052</v>
      </c>
      <c r="B1281" s="4" t="s">
        <v>4053</v>
      </c>
      <c r="C1281" s="4" t="s">
        <v>4012</v>
      </c>
      <c r="D1281" s="4" t="s">
        <v>4028</v>
      </c>
      <c r="E1281" s="4" t="s">
        <v>4029</v>
      </c>
      <c r="F1281" s="4" t="str">
        <f>HYPERLINK("http://www.calzaturificiociaschi.net/","www.calzaturificiociaschi.net")</f>
        <v>www.calzaturificiociaschi.net</v>
      </c>
    </row>
    <row r="1282" spans="1:6" ht="16.95" customHeight="1" x14ac:dyDescent="0.25">
      <c r="A1282" s="1" t="s">
        <v>4054</v>
      </c>
      <c r="B1282" s="6" t="s">
        <v>4055</v>
      </c>
      <c r="C1282" s="6" t="s">
        <v>4027</v>
      </c>
      <c r="D1282" s="6" t="s">
        <v>4039</v>
      </c>
      <c r="E1282" s="6" t="s">
        <v>4029</v>
      </c>
      <c r="F1282" s="6" t="str">
        <f>HYPERLINK("http://www.conceriamancini.it/","www.conceriamancini.it")</f>
        <v>www.conceriamancini.it</v>
      </c>
    </row>
    <row r="1283" spans="1:6" ht="29.55" customHeight="1" x14ac:dyDescent="0.25">
      <c r="A1283" s="1" t="s">
        <v>4056</v>
      </c>
      <c r="B1283" s="6" t="s">
        <v>4057</v>
      </c>
      <c r="C1283" s="6" t="s">
        <v>4012</v>
      </c>
      <c r="D1283" s="6" t="s">
        <v>4030</v>
      </c>
      <c r="E1283" s="6" t="s">
        <v>4031</v>
      </c>
      <c r="F1283" s="6" t="str">
        <f>HYPERLINK("http://www.bessential.it/","www.bessential.it")</f>
        <v>www.bessential.it</v>
      </c>
    </row>
    <row r="1284" spans="1:6" ht="16.95" customHeight="1" x14ac:dyDescent="0.25">
      <c r="A1284" s="1" t="s">
        <v>4058</v>
      </c>
      <c r="B1284" s="6" t="s">
        <v>4059</v>
      </c>
      <c r="C1284" s="6" t="s">
        <v>4017</v>
      </c>
      <c r="D1284" s="6" t="s">
        <v>4033</v>
      </c>
      <c r="E1284" s="6" t="s">
        <v>4019</v>
      </c>
      <c r="F1284" s="6" t="str">
        <f>HYPERLINK("http://www.solettificioterry.it/","www.solettificioterry.it")</f>
        <v>www.solettificioterry.it</v>
      </c>
    </row>
    <row r="1285" spans="1:6" ht="29.55" customHeight="1" x14ac:dyDescent="0.25">
      <c r="A1285" s="5" t="s">
        <v>4060</v>
      </c>
      <c r="B1285" s="4" t="s">
        <v>4061</v>
      </c>
      <c r="C1285" s="4" t="s">
        <v>4012</v>
      </c>
      <c r="D1285" s="4" t="s">
        <v>4030</v>
      </c>
      <c r="E1285" s="4" t="s">
        <v>4031</v>
      </c>
      <c r="F1285" s="4" t="str">
        <f>HYPERLINK("http://www.calzaturificiomusella.it/","www.calzaturificiomusella.it")</f>
        <v>www.calzaturificiomusella.it</v>
      </c>
    </row>
    <row r="1286" spans="1:6" ht="16.95" customHeight="1" x14ac:dyDescent="0.25">
      <c r="A1286" s="1" t="s">
        <v>4062</v>
      </c>
      <c r="B1286" s="6" t="s">
        <v>4063</v>
      </c>
      <c r="C1286" s="6" t="s">
        <v>4038</v>
      </c>
      <c r="D1286" s="6" t="s">
        <v>4064</v>
      </c>
      <c r="E1286" s="6" t="s">
        <v>4024</v>
      </c>
      <c r="F1286" s="6" t="str">
        <f>HYPERLINK("http://www.tassivanis.com/","www.tassivanis.com")</f>
        <v>www.tassivanis.com</v>
      </c>
    </row>
    <row r="1287" spans="1:6" ht="16.95" customHeight="1" x14ac:dyDescent="0.25">
      <c r="A1287" s="5" t="s">
        <v>4065</v>
      </c>
      <c r="B1287" s="4" t="s">
        <v>4066</v>
      </c>
      <c r="C1287" s="4" t="s">
        <v>4012</v>
      </c>
      <c r="D1287" s="4" t="s">
        <v>4067</v>
      </c>
      <c r="E1287" s="4" t="s">
        <v>4032</v>
      </c>
      <c r="F1287" s="4" t="str">
        <f>HYPERLINK("http://newitaliashoes.it/","newitaliashoes.it")</f>
        <v>newitaliashoes.it</v>
      </c>
    </row>
    <row r="1288" spans="1:6" ht="16.95" customHeight="1" x14ac:dyDescent="0.25">
      <c r="A1288" s="1" t="s">
        <v>4068</v>
      </c>
      <c r="B1288" s="6" t="s">
        <v>4069</v>
      </c>
      <c r="C1288" s="6" t="s">
        <v>4027</v>
      </c>
      <c r="D1288" s="6" t="s">
        <v>4039</v>
      </c>
      <c r="E1288" s="6" t="s">
        <v>4029</v>
      </c>
      <c r="F1288" s="6" t="str">
        <f>HYPERLINK("http://www.ferradinibruno.it/","www.ferradinibruno.it")</f>
        <v>www.ferradinibruno.it</v>
      </c>
    </row>
    <row r="1289" spans="1:6" ht="16.95" customHeight="1" x14ac:dyDescent="0.25">
      <c r="A1289" s="5" t="s">
        <v>4070</v>
      </c>
      <c r="B1289" s="4" t="s">
        <v>4071</v>
      </c>
      <c r="C1289" s="4" t="s">
        <v>4027</v>
      </c>
      <c r="D1289" s="4" t="s">
        <v>4039</v>
      </c>
      <c r="E1289" s="4" t="s">
        <v>4029</v>
      </c>
      <c r="F1289" s="4" t="str">
        <f>HYPERLINK("http://www.ghepardo.it/","www.ghepardo.it")</f>
        <v>www.ghepardo.it</v>
      </c>
    </row>
    <row r="1290" spans="1:6" ht="16.95" customHeight="1" x14ac:dyDescent="0.25">
      <c r="A1290" s="1" t="s">
        <v>4081</v>
      </c>
      <c r="B1290" s="6" t="s">
        <v>4082</v>
      </c>
      <c r="C1290" s="6" t="s">
        <v>4072</v>
      </c>
      <c r="D1290" s="6" t="s">
        <v>4083</v>
      </c>
      <c r="E1290" s="6" t="s">
        <v>4084</v>
      </c>
      <c r="F1290" s="6" t="str">
        <f>HYPERLINK("http://www.conceriacerbiatto.it/","www.conceriacerbiatto.it")</f>
        <v>www.conceriacerbiatto.it</v>
      </c>
    </row>
    <row r="1291" spans="1:6" ht="16.95" customHeight="1" x14ac:dyDescent="0.25">
      <c r="A1291" s="1" t="s">
        <v>4086</v>
      </c>
      <c r="B1291" s="6" t="s">
        <v>4087</v>
      </c>
      <c r="C1291" s="6" t="s">
        <v>4076</v>
      </c>
      <c r="D1291" s="6" t="s">
        <v>4088</v>
      </c>
      <c r="E1291" s="6" t="s">
        <v>4077</v>
      </c>
      <c r="F1291" s="6" t="str">
        <f>HYPERLINK("http://www.zenitsrl2018.it/","www.zenitsrl2018.it")</f>
        <v>www.zenitsrl2018.it</v>
      </c>
    </row>
    <row r="1292" spans="1:6" ht="16.95" customHeight="1" x14ac:dyDescent="0.25">
      <c r="A1292" s="1" t="s">
        <v>4089</v>
      </c>
      <c r="B1292" s="6" t="s">
        <v>4090</v>
      </c>
      <c r="C1292" s="6" t="s">
        <v>4074</v>
      </c>
      <c r="D1292" s="6" t="s">
        <v>4078</v>
      </c>
      <c r="E1292" s="6" t="s">
        <v>4079</v>
      </c>
      <c r="F1292" s="6" t="str">
        <f>HYPERLINK("http://www.stebor.it/","www.stebor.it")</f>
        <v>www.stebor.it</v>
      </c>
    </row>
    <row r="1293" spans="1:6" ht="29.55" customHeight="1" x14ac:dyDescent="0.25">
      <c r="A1293" s="1" t="s">
        <v>4092</v>
      </c>
      <c r="B1293" s="6" t="s">
        <v>4093</v>
      </c>
      <c r="C1293" s="6" t="s">
        <v>4080</v>
      </c>
      <c r="D1293" s="6" t="s">
        <v>4094</v>
      </c>
      <c r="E1293" s="6" t="s">
        <v>4077</v>
      </c>
      <c r="F1293" s="6" t="str">
        <f>HYPERLINK("http://www.emanuelapasseri.it/","www.emanuelapasseri.it")</f>
        <v>www.emanuelapasseri.it</v>
      </c>
    </row>
    <row r="1294" spans="1:6" ht="16.95" customHeight="1" x14ac:dyDescent="0.25">
      <c r="A1294" s="5" t="s">
        <v>4095</v>
      </c>
      <c r="B1294" s="4" t="s">
        <v>4096</v>
      </c>
      <c r="C1294" s="4" t="s">
        <v>4074</v>
      </c>
      <c r="D1294" s="4" t="s">
        <v>4097</v>
      </c>
      <c r="E1294" s="4" t="s">
        <v>4098</v>
      </c>
      <c r="F1294" s="4" t="str">
        <f>HYPERLINK("http://marcomasi.it/","marcomasi.it")</f>
        <v>marcomasi.it</v>
      </c>
    </row>
    <row r="1295" spans="1:6" ht="16.95" customHeight="1" x14ac:dyDescent="0.25">
      <c r="A1295" s="1" t="s">
        <v>4099</v>
      </c>
      <c r="B1295" s="6" t="s">
        <v>4100</v>
      </c>
      <c r="C1295" s="6" t="s">
        <v>4101</v>
      </c>
      <c r="D1295" s="6" t="s">
        <v>4102</v>
      </c>
      <c r="E1295" s="6" t="s">
        <v>4098</v>
      </c>
      <c r="F1295" s="6" t="str">
        <f>HYPERLINK("http://www.racingtack.it/","www.racingtack.it")</f>
        <v>www.racingtack.it</v>
      </c>
    </row>
    <row r="1296" spans="1:6" ht="16.95" customHeight="1" x14ac:dyDescent="0.25">
      <c r="A1296" s="5" t="s">
        <v>4103</v>
      </c>
      <c r="B1296" s="4" t="s">
        <v>4104</v>
      </c>
      <c r="C1296" s="4" t="s">
        <v>4080</v>
      </c>
      <c r="D1296" s="4" t="s">
        <v>4088</v>
      </c>
      <c r="E1296" s="4" t="s">
        <v>4077</v>
      </c>
      <c r="F1296" s="4" t="str">
        <f>HYPERLINK("http://www.diamfondi.com/","www.diamfondi.com")</f>
        <v>www.diamfondi.com</v>
      </c>
    </row>
    <row r="1297" spans="1:6" ht="16.95" customHeight="1" x14ac:dyDescent="0.25">
      <c r="A1297" s="1" t="s">
        <v>4105</v>
      </c>
      <c r="B1297" s="6" t="s">
        <v>4106</v>
      </c>
      <c r="C1297" s="6" t="s">
        <v>4072</v>
      </c>
      <c r="D1297" s="6" t="s">
        <v>4078</v>
      </c>
      <c r="E1297" s="6" t="s">
        <v>4079</v>
      </c>
      <c r="F1297" s="6" t="str">
        <f>HYPERLINK("http://www.peleritalia.com/","www.peleritalia.com")</f>
        <v>www.peleritalia.com</v>
      </c>
    </row>
    <row r="1298" spans="1:6" ht="29.55" customHeight="1" x14ac:dyDescent="0.25">
      <c r="A1298" s="1" t="s">
        <v>4107</v>
      </c>
      <c r="B1298" s="6" t="s">
        <v>4108</v>
      </c>
      <c r="C1298" s="6" t="s">
        <v>4109</v>
      </c>
      <c r="D1298" s="6" t="s">
        <v>4091</v>
      </c>
      <c r="E1298" s="6" t="s">
        <v>4079</v>
      </c>
      <c r="F1298" s="6" t="str">
        <f>HYPERLINK("http://www.laudinocaccin.com/","www.laudinocaccin.com")</f>
        <v>www.laudinocaccin.com</v>
      </c>
    </row>
    <row r="1299" spans="1:6" ht="16.95" customHeight="1" x14ac:dyDescent="0.25">
      <c r="A1299" s="5" t="s">
        <v>4110</v>
      </c>
      <c r="B1299" s="4" t="s">
        <v>4111</v>
      </c>
      <c r="C1299" s="4" t="s">
        <v>4072</v>
      </c>
      <c r="D1299" s="4" t="s">
        <v>4112</v>
      </c>
      <c r="E1299" s="4" t="s">
        <v>4085</v>
      </c>
      <c r="F1299" s="4" t="str">
        <f>HYPERLINK("http://startupgroupsrls.it/","startupgroupsrls.it")</f>
        <v>startupgroupsrls.it</v>
      </c>
    </row>
    <row r="1300" spans="1:6" ht="16.95" customHeight="1" x14ac:dyDescent="0.25">
      <c r="A1300" s="5" t="s">
        <v>4113</v>
      </c>
      <c r="B1300" s="4" t="s">
        <v>4114</v>
      </c>
      <c r="C1300" s="4" t="s">
        <v>4074</v>
      </c>
      <c r="D1300" s="4" t="s">
        <v>4075</v>
      </c>
      <c r="E1300" s="4" t="s">
        <v>4073</v>
      </c>
      <c r="F1300" s="4" t="str">
        <f>HYPERLINK("http://lineasartoriale.it/","lineasartoriale.it")</f>
        <v>lineasartoriale.it</v>
      </c>
    </row>
    <row r="1301" spans="1:6" ht="16.95" customHeight="1" x14ac:dyDescent="0.25">
      <c r="A1301" s="1" t="s">
        <v>4118</v>
      </c>
      <c r="B1301" s="6" t="s">
        <v>4119</v>
      </c>
      <c r="C1301" s="6" t="s">
        <v>4120</v>
      </c>
      <c r="D1301" s="6" t="s">
        <v>4121</v>
      </c>
      <c r="E1301" s="6" t="s">
        <v>4122</v>
      </c>
      <c r="F1301" s="6" t="str">
        <f>HYPERLINK("http://www.ghizzanpelli.com/","www.ghizzanpelli.com")</f>
        <v>www.ghizzanpelli.com</v>
      </c>
    </row>
    <row r="1302" spans="1:6" ht="16.95" customHeight="1" x14ac:dyDescent="0.25">
      <c r="A1302" s="1" t="s">
        <v>4123</v>
      </c>
      <c r="B1302" s="6" t="s">
        <v>4124</v>
      </c>
      <c r="C1302" s="6" t="s">
        <v>4115</v>
      </c>
      <c r="D1302" s="6" t="s">
        <v>4125</v>
      </c>
      <c r="E1302" s="6" t="s">
        <v>4126</v>
      </c>
      <c r="F1302" s="6" t="str">
        <f>HYPERLINK("http://www.calzaturificiocaf.it/","www.calzaturificiocaf.it")</f>
        <v>www.calzaturificiocaf.it</v>
      </c>
    </row>
    <row r="1303" spans="1:6" ht="16.95" customHeight="1" x14ac:dyDescent="0.25">
      <c r="A1303" s="5" t="s">
        <v>4127</v>
      </c>
      <c r="B1303" s="4" t="s">
        <v>4128</v>
      </c>
      <c r="C1303" s="4" t="s">
        <v>4129</v>
      </c>
      <c r="D1303" s="4" t="s">
        <v>4130</v>
      </c>
      <c r="E1303" s="4" t="s">
        <v>4131</v>
      </c>
      <c r="F1303" s="4" t="str">
        <f>HYPERLINK("http://www.leselleitaliane.com/","www.leselleitaliane.com")</f>
        <v>www.leselleitaliane.com</v>
      </c>
    </row>
    <row r="1304" spans="1:6" ht="16.95" customHeight="1" x14ac:dyDescent="0.25">
      <c r="A1304" s="1" t="s">
        <v>4132</v>
      </c>
      <c r="B1304" s="6" t="s">
        <v>4133</v>
      </c>
      <c r="C1304" s="6" t="s">
        <v>4120</v>
      </c>
      <c r="D1304" s="6" t="s">
        <v>4121</v>
      </c>
      <c r="E1304" s="6" t="s">
        <v>4122</v>
      </c>
      <c r="F1304" s="6" t="str">
        <f>HYPERLINK("http://www.expoleathers.com/","www.expoleathers.com")</f>
        <v>www.expoleathers.com</v>
      </c>
    </row>
    <row r="1305" spans="1:6" ht="16.95" customHeight="1" x14ac:dyDescent="0.25">
      <c r="A1305" s="1" t="s">
        <v>4138</v>
      </c>
      <c r="B1305" s="6" t="s">
        <v>4139</v>
      </c>
      <c r="C1305" s="6" t="s">
        <v>4117</v>
      </c>
      <c r="D1305" s="6" t="s">
        <v>4134</v>
      </c>
      <c r="E1305" s="6" t="s">
        <v>4135</v>
      </c>
      <c r="F1305" s="6" t="str">
        <f>HYPERLINK("http://www.barattolorappresentanze.it/","www.barattolorappresentanze.it")</f>
        <v>www.barattolorappresentanze.it</v>
      </c>
    </row>
    <row r="1306" spans="1:6" ht="16.95" customHeight="1" x14ac:dyDescent="0.25">
      <c r="A1306" s="1" t="s">
        <v>4141</v>
      </c>
      <c r="B1306" s="6" t="s">
        <v>4142</v>
      </c>
      <c r="C1306" s="6" t="s">
        <v>4115</v>
      </c>
      <c r="D1306" s="6" t="s">
        <v>4143</v>
      </c>
      <c r="E1306" s="6" t="s">
        <v>4122</v>
      </c>
      <c r="F1306" s="6" t="str">
        <f>HYPERLINK("http://cristinamillotti.it/","cristinamillotti.it")</f>
        <v>cristinamillotti.it</v>
      </c>
    </row>
    <row r="1307" spans="1:6" ht="29.55" customHeight="1" x14ac:dyDescent="0.25">
      <c r="A1307" s="5" t="s">
        <v>4144</v>
      </c>
      <c r="B1307" s="4" t="s">
        <v>4145</v>
      </c>
      <c r="C1307" s="4" t="s">
        <v>4115</v>
      </c>
      <c r="D1307" s="4" t="s">
        <v>4146</v>
      </c>
      <c r="E1307" s="4" t="s">
        <v>4116</v>
      </c>
      <c r="F1307" s="4" t="str">
        <f>HYPERLINK("http://www.lamontelliana.it/","www.lamontelliana.it")</f>
        <v>www.lamontelliana.it</v>
      </c>
    </row>
    <row r="1308" spans="1:6" ht="16.95" customHeight="1" x14ac:dyDescent="0.25">
      <c r="A1308" s="1" t="s">
        <v>4147</v>
      </c>
      <c r="B1308" s="6" t="s">
        <v>4148</v>
      </c>
      <c r="C1308" s="6" t="s">
        <v>4117</v>
      </c>
      <c r="D1308" s="6" t="s">
        <v>4137</v>
      </c>
      <c r="E1308" s="6" t="s">
        <v>4116</v>
      </c>
      <c r="F1308" s="6" t="str">
        <f>HYPERLINK("http://duegipelletterie.it/","duegipelletterie.it")</f>
        <v>duegipelletterie.it</v>
      </c>
    </row>
    <row r="1309" spans="1:6" ht="16.95" customHeight="1" x14ac:dyDescent="0.25">
      <c r="A1309" s="5" t="s">
        <v>4149</v>
      </c>
      <c r="B1309" s="4" t="s">
        <v>4150</v>
      </c>
      <c r="C1309" s="4" t="s">
        <v>4115</v>
      </c>
      <c r="D1309" s="4" t="s">
        <v>4140</v>
      </c>
      <c r="E1309" s="4" t="s">
        <v>4126</v>
      </c>
      <c r="F1309" s="4" t="str">
        <f>HYPERLINK("http://www.myaclara.it/","www.myaclara.it")</f>
        <v>www.myaclara.it</v>
      </c>
    </row>
    <row r="1310" spans="1:6" ht="16.95" customHeight="1" x14ac:dyDescent="0.25">
      <c r="A1310" s="1" t="s">
        <v>4151</v>
      </c>
      <c r="B1310" s="6" t="s">
        <v>4152</v>
      </c>
      <c r="C1310" s="6" t="s">
        <v>4153</v>
      </c>
      <c r="D1310" s="6" t="s">
        <v>4154</v>
      </c>
      <c r="E1310" s="6" t="s">
        <v>4131</v>
      </c>
      <c r="F1310" s="6" t="str">
        <f>HYPERLINK("http://www.valentinabags.it/","www.valentinabags.it")</f>
        <v>www.valentinabags.it</v>
      </c>
    </row>
    <row r="1311" spans="1:6" ht="29.55" customHeight="1" x14ac:dyDescent="0.25">
      <c r="A1311" s="5" t="s">
        <v>4155</v>
      </c>
      <c r="B1311" s="4" t="s">
        <v>4156</v>
      </c>
      <c r="C1311" s="4" t="s">
        <v>4120</v>
      </c>
      <c r="D1311" s="4" t="s">
        <v>4137</v>
      </c>
      <c r="E1311" s="4" t="s">
        <v>4116</v>
      </c>
      <c r="F1311" s="4" t="str">
        <f>HYPERLINK("http://tregipell.it/","tregipell.it")</f>
        <v>tregipell.it</v>
      </c>
    </row>
    <row r="1312" spans="1:6" ht="16.95" customHeight="1" x14ac:dyDescent="0.25">
      <c r="A1312" s="5" t="s">
        <v>4157</v>
      </c>
      <c r="B1312" s="4" t="s">
        <v>4158</v>
      </c>
      <c r="C1312" s="4" t="s">
        <v>4136</v>
      </c>
      <c r="D1312" s="4" t="s">
        <v>4140</v>
      </c>
      <c r="E1312" s="4" t="s">
        <v>4126</v>
      </c>
      <c r="F1312" s="4" t="str">
        <f>HYPERLINK("http://www.suolificiotreesse.it/","www.suolificiotreesse.it")</f>
        <v>www.suolificiotreesse.it</v>
      </c>
    </row>
    <row r="1313" spans="1:6" ht="16.95" customHeight="1" x14ac:dyDescent="0.25">
      <c r="A1313" s="5" t="s">
        <v>4159</v>
      </c>
      <c r="B1313" s="4" t="s">
        <v>4160</v>
      </c>
      <c r="C1313" s="4" t="s">
        <v>4117</v>
      </c>
      <c r="D1313" s="4" t="s">
        <v>4140</v>
      </c>
      <c r="E1313" s="4" t="s">
        <v>4126</v>
      </c>
      <c r="F1313" s="4" t="str">
        <f>HYPERLINK("http://saraburglar.com/","saraburglar.com")</f>
        <v>saraburglar.com</v>
      </c>
    </row>
    <row r="1314" spans="1:6" ht="16.95" customHeight="1" x14ac:dyDescent="0.25">
      <c r="A1314" s="1" t="s">
        <v>4161</v>
      </c>
      <c r="B1314" s="6" t="s">
        <v>4162</v>
      </c>
      <c r="C1314" s="6" t="s">
        <v>4120</v>
      </c>
      <c r="D1314" s="6" t="s">
        <v>4154</v>
      </c>
      <c r="E1314" s="6" t="s">
        <v>4131</v>
      </c>
      <c r="F1314" s="6" t="str">
        <f>HYPERLINK("http://www.conceriaturbighese.it/","http://www.conceriaturbighese.it")</f>
        <v>http://www.conceriaturbighese.it</v>
      </c>
    </row>
    <row r="1315" spans="1:6" ht="16.95" customHeight="1" x14ac:dyDescent="0.25">
      <c r="A1315" s="5" t="s">
        <v>4163</v>
      </c>
      <c r="B1315" s="4" t="s">
        <v>4164</v>
      </c>
      <c r="C1315" s="4" t="s">
        <v>4115</v>
      </c>
      <c r="D1315" s="4" t="s">
        <v>4125</v>
      </c>
      <c r="E1315" s="4" t="s">
        <v>4126</v>
      </c>
      <c r="F1315" s="4" t="str">
        <f>HYPERLINK("http://www.lorenapaggi.it/","www.lorenapaggi.it")</f>
        <v>www.lorenapaggi.it</v>
      </c>
    </row>
    <row r="1316" spans="1:6" ht="16.95" customHeight="1" x14ac:dyDescent="0.25">
      <c r="A1316" s="1" t="s">
        <v>4165</v>
      </c>
      <c r="B1316" s="6" t="s">
        <v>4166</v>
      </c>
      <c r="C1316" s="6" t="s">
        <v>4167</v>
      </c>
      <c r="D1316" s="6" t="s">
        <v>4168</v>
      </c>
      <c r="E1316" s="6" t="s">
        <v>4169</v>
      </c>
      <c r="F1316" s="6" t="str">
        <f>HYPERLINK("http://www.teox.it/","www.teox.it")</f>
        <v>www.teox.it</v>
      </c>
    </row>
    <row r="1317" spans="1:6" ht="16.95" customHeight="1" x14ac:dyDescent="0.25">
      <c r="A1317" s="5" t="s">
        <v>4170</v>
      </c>
      <c r="B1317" s="4" t="s">
        <v>4171</v>
      </c>
      <c r="C1317" s="4" t="s">
        <v>4172</v>
      </c>
      <c r="D1317" s="4" t="s">
        <v>4173</v>
      </c>
      <c r="E1317" s="4" t="s">
        <v>4174</v>
      </c>
      <c r="F1317" s="4" t="str">
        <f>HYPERLINK("http://www.abbonebbone.com/","www.abbonebbone.com")</f>
        <v>www.abbonebbone.com</v>
      </c>
    </row>
    <row r="1318" spans="1:6" ht="16.95" customHeight="1" x14ac:dyDescent="0.25">
      <c r="A1318" s="5" t="s">
        <v>4177</v>
      </c>
      <c r="B1318" s="4" t="s">
        <v>4178</v>
      </c>
      <c r="C1318" s="4" t="s">
        <v>4179</v>
      </c>
      <c r="D1318" s="4" t="s">
        <v>4180</v>
      </c>
      <c r="E1318" s="4" t="s">
        <v>4176</v>
      </c>
      <c r="F1318" s="4" t="str">
        <f>HYPERLINK("http://cobripelletterie.it/","cobripelletterie.it")</f>
        <v>cobripelletterie.it</v>
      </c>
    </row>
    <row r="1319" spans="1:6" ht="29.55" customHeight="1" x14ac:dyDescent="0.25">
      <c r="A1319" s="1" t="s">
        <v>4182</v>
      </c>
      <c r="B1319" s="6" t="s">
        <v>4183</v>
      </c>
      <c r="C1319" s="6" t="s">
        <v>4172</v>
      </c>
      <c r="D1319" s="6" t="s">
        <v>4168</v>
      </c>
      <c r="E1319" s="6" t="s">
        <v>4169</v>
      </c>
      <c r="F1319" s="6" t="str">
        <f>HYPERLINK("http://www.italianamanifatture.eu/","www.italianamanifatture.eu")</f>
        <v>www.italianamanifatture.eu</v>
      </c>
    </row>
    <row r="1320" spans="1:6" ht="16.95" customHeight="1" x14ac:dyDescent="0.25">
      <c r="A1320" s="5" t="s">
        <v>4184</v>
      </c>
      <c r="B1320" s="4" t="s">
        <v>4185</v>
      </c>
      <c r="C1320" s="4" t="s">
        <v>4179</v>
      </c>
      <c r="D1320" s="4" t="s">
        <v>4175</v>
      </c>
      <c r="E1320" s="4" t="s">
        <v>4176</v>
      </c>
      <c r="F1320" s="4" t="str">
        <f>HYPERLINK("http://www.butipelletterie.com/","www.butipelletterie.com")</f>
        <v>www.butipelletterie.com</v>
      </c>
    </row>
    <row r="1321" spans="1:6" ht="16.95" customHeight="1" x14ac:dyDescent="0.25">
      <c r="A1321" s="5" t="s">
        <v>4186</v>
      </c>
      <c r="B1321" s="4" t="s">
        <v>4187</v>
      </c>
      <c r="C1321" s="4" t="s">
        <v>4167</v>
      </c>
      <c r="D1321" s="4" t="s">
        <v>4188</v>
      </c>
      <c r="E1321" s="4" t="s">
        <v>4189</v>
      </c>
      <c r="F1321" s="4" t="str">
        <f>HYPERLINK("http://tomaificiotarga.it/","tomaificiotarga.it")</f>
        <v>tomaificiotarga.it</v>
      </c>
    </row>
    <row r="1322" spans="1:6" ht="16.95" customHeight="1" x14ac:dyDescent="0.25">
      <c r="A1322" s="1" t="s">
        <v>4190</v>
      </c>
      <c r="B1322" s="6" t="s">
        <v>4191</v>
      </c>
      <c r="C1322" s="6" t="s">
        <v>4167</v>
      </c>
      <c r="D1322" s="6" t="s">
        <v>4168</v>
      </c>
      <c r="E1322" s="6" t="s">
        <v>4169</v>
      </c>
      <c r="F1322" s="6" t="str">
        <f>HYPERLINK("http://www.tranceriagiori.it/","www.tranceriagiori.it")</f>
        <v>www.tranceriagiori.it</v>
      </c>
    </row>
    <row r="1323" spans="1:6" ht="29.55" customHeight="1" x14ac:dyDescent="0.25">
      <c r="A1323" s="1" t="s">
        <v>4192</v>
      </c>
      <c r="B1323" s="6" t="s">
        <v>4193</v>
      </c>
      <c r="C1323" s="6" t="s">
        <v>4181</v>
      </c>
      <c r="D1323" s="6" t="s">
        <v>4194</v>
      </c>
      <c r="E1323" s="6" t="s">
        <v>4195</v>
      </c>
      <c r="F1323" s="6" t="str">
        <f>HYPERLINK("http://www.vicodebramo.it/","www.vicodebramo.it")</f>
        <v>www.vicodebramo.it</v>
      </c>
    </row>
    <row r="1324" spans="1:6" ht="29.55" customHeight="1" x14ac:dyDescent="0.25">
      <c r="A1324" s="1" t="s">
        <v>4196</v>
      </c>
      <c r="B1324" s="6" t="s">
        <v>4197</v>
      </c>
      <c r="C1324" s="6" t="s">
        <v>4167</v>
      </c>
      <c r="D1324" s="6" t="s">
        <v>4198</v>
      </c>
      <c r="E1324" s="6" t="s">
        <v>4169</v>
      </c>
      <c r="F1324" s="6" t="str">
        <f>HYPERLINK("http://www.toplinesrl.it/","www.toplinesrl.it")</f>
        <v>www.toplinesrl.it</v>
      </c>
    </row>
    <row r="1325" spans="1:6" ht="16.95" customHeight="1" x14ac:dyDescent="0.25">
      <c r="A1325" s="5" t="s">
        <v>4199</v>
      </c>
      <c r="B1325" s="4" t="s">
        <v>4200</v>
      </c>
      <c r="C1325" s="4" t="s">
        <v>4172</v>
      </c>
      <c r="D1325" s="4" t="s">
        <v>4201</v>
      </c>
      <c r="E1325" s="4" t="s">
        <v>4176</v>
      </c>
      <c r="F1325" s="4" t="str">
        <f>HYPERLINK("http://www.toropelletterie.it/","www.toropelletterie.it")</f>
        <v>www.toropelletterie.it</v>
      </c>
    </row>
    <row r="1326" spans="1:6" ht="29.55" customHeight="1" x14ac:dyDescent="0.25">
      <c r="A1326" s="5" t="s">
        <v>4204</v>
      </c>
      <c r="B1326" s="4" t="s">
        <v>4205</v>
      </c>
      <c r="C1326" s="4" t="s">
        <v>4181</v>
      </c>
      <c r="D1326" s="4" t="s">
        <v>4202</v>
      </c>
      <c r="E1326" s="4" t="s">
        <v>4203</v>
      </c>
      <c r="F1326" s="4" t="str">
        <f>HYPERLINK("http://www.paolafiorenza.com/","www.paolafiorenza.com")</f>
        <v>www.paolafiorenza.com</v>
      </c>
    </row>
    <row r="1327" spans="1:6" ht="29.55" customHeight="1" x14ac:dyDescent="0.25">
      <c r="A1327" s="5" t="s">
        <v>4206</v>
      </c>
      <c r="B1327" s="4" t="s">
        <v>4207</v>
      </c>
      <c r="C1327" s="4" t="s">
        <v>4181</v>
      </c>
      <c r="D1327" s="4" t="s">
        <v>4208</v>
      </c>
      <c r="E1327" s="4" t="s">
        <v>4176</v>
      </c>
      <c r="F1327" s="4" t="str">
        <f>HYPERLINK("http://dtdesign.it/","dtdesign.it")</f>
        <v>dtdesign.it</v>
      </c>
    </row>
    <row r="1328" spans="1:6" ht="29.55" customHeight="1" x14ac:dyDescent="0.25">
      <c r="A1328" s="5" t="s">
        <v>4209</v>
      </c>
      <c r="B1328" s="4" t="s">
        <v>4210</v>
      </c>
      <c r="C1328" s="4" t="s">
        <v>4181</v>
      </c>
      <c r="D1328" s="4" t="s">
        <v>4198</v>
      </c>
      <c r="E1328" s="4" t="s">
        <v>4169</v>
      </c>
      <c r="F1328" s="4" t="str">
        <f>HYPERLINK("http://www.openclosedshoes.com/","www.openclosedshoes.com")</f>
        <v>www.openclosedshoes.com</v>
      </c>
    </row>
    <row r="1329" spans="1:6" ht="16.95" customHeight="1" x14ac:dyDescent="0.25">
      <c r="A1329" s="1" t="s">
        <v>4211</v>
      </c>
      <c r="B1329" s="6" t="s">
        <v>4212</v>
      </c>
      <c r="C1329" s="6" t="s">
        <v>4167</v>
      </c>
      <c r="D1329" s="6" t="s">
        <v>4168</v>
      </c>
      <c r="E1329" s="6" t="s">
        <v>4169</v>
      </c>
      <c r="F1329" s="6" t="str">
        <f>HYPERLINK("http://www.dettaglisrl.it/","www.dettaglisrl.it")</f>
        <v>www.dettaglisrl.it</v>
      </c>
    </row>
    <row r="1330" spans="1:6" ht="16.95" customHeight="1" x14ac:dyDescent="0.25">
      <c r="A1330" s="5" t="s">
        <v>4213</v>
      </c>
      <c r="B1330" s="4" t="s">
        <v>4214</v>
      </c>
      <c r="C1330" s="4" t="s">
        <v>4172</v>
      </c>
      <c r="D1330" s="4" t="s">
        <v>4215</v>
      </c>
      <c r="E1330" s="4" t="s">
        <v>4195</v>
      </c>
      <c r="F1330" s="4" t="str">
        <f>HYPERLINK("http://davidsrl.com/","davidsrl.com")</f>
        <v>davidsrl.com</v>
      </c>
    </row>
    <row r="1331" spans="1:6" ht="16.95" customHeight="1" x14ac:dyDescent="0.25">
      <c r="A1331" s="1" t="s">
        <v>4216</v>
      </c>
      <c r="B1331" s="6" t="s">
        <v>4217</v>
      </c>
      <c r="C1331" s="6" t="s">
        <v>4172</v>
      </c>
      <c r="D1331" s="6" t="s">
        <v>4218</v>
      </c>
      <c r="E1331" s="6" t="s">
        <v>4203</v>
      </c>
      <c r="F1331" s="6" t="str">
        <f>HYPERLINK("http://www.namenu.it/","www.namenu.it")</f>
        <v>www.namenu.it</v>
      </c>
    </row>
    <row r="1332" spans="1:6" ht="16.95" customHeight="1" x14ac:dyDescent="0.25">
      <c r="A1332" s="1" t="s">
        <v>4224</v>
      </c>
      <c r="B1332" s="6" t="s">
        <v>4225</v>
      </c>
      <c r="C1332" s="6" t="s">
        <v>4226</v>
      </c>
      <c r="D1332" s="6" t="s">
        <v>4227</v>
      </c>
      <c r="E1332" s="6" t="s">
        <v>4228</v>
      </c>
      <c r="F1332" s="6" t="str">
        <f>HYPERLINK("http://westernbull.com/","westernbull.com")</f>
        <v>westernbull.com</v>
      </c>
    </row>
    <row r="1333" spans="1:6" ht="16.95" customHeight="1" x14ac:dyDescent="0.25">
      <c r="A1333" s="5" t="s">
        <v>4229</v>
      </c>
      <c r="B1333" s="4" t="s">
        <v>4230</v>
      </c>
      <c r="C1333" s="4" t="s">
        <v>4231</v>
      </c>
      <c r="D1333" s="4" t="s">
        <v>4232</v>
      </c>
      <c r="E1333" s="4" t="s">
        <v>4233</v>
      </c>
      <c r="F1333" s="4" t="str">
        <f>HYPERLINK("http://beltramipelletteria.it/","beltramipelletteria.it")</f>
        <v>beltramipelletteria.it</v>
      </c>
    </row>
    <row r="1334" spans="1:6" ht="29.55" customHeight="1" x14ac:dyDescent="0.25">
      <c r="A1334" s="1" t="s">
        <v>4234</v>
      </c>
      <c r="B1334" s="6" t="s">
        <v>4235</v>
      </c>
      <c r="C1334" s="6" t="s">
        <v>4221</v>
      </c>
      <c r="D1334" s="6" t="s">
        <v>4236</v>
      </c>
      <c r="E1334" s="6" t="s">
        <v>4237</v>
      </c>
      <c r="F1334" s="6" t="str">
        <f>HYPERLINK("http://www.maliziosa.net/","www.maliziosa.net")</f>
        <v>www.maliziosa.net</v>
      </c>
    </row>
    <row r="1335" spans="1:6" ht="16.95" customHeight="1" x14ac:dyDescent="0.25">
      <c r="A1335" s="5" t="s">
        <v>4238</v>
      </c>
      <c r="B1335" s="4" t="s">
        <v>4239</v>
      </c>
      <c r="C1335" s="4" t="s">
        <v>4226</v>
      </c>
      <c r="D1335" s="4" t="s">
        <v>4240</v>
      </c>
      <c r="E1335" s="4" t="s">
        <v>4228</v>
      </c>
      <c r="F1335" s="4" t="str">
        <f>HYPERLINK("http://www.corium-creazioni.it/","www.corium-creazioni.it")</f>
        <v>www.corium-creazioni.it</v>
      </c>
    </row>
    <row r="1336" spans="1:6" ht="16.95" customHeight="1" x14ac:dyDescent="0.25">
      <c r="A1336" s="1" t="s">
        <v>4241</v>
      </c>
      <c r="B1336" s="6" t="s">
        <v>4242</v>
      </c>
      <c r="C1336" s="6" t="s">
        <v>4243</v>
      </c>
      <c r="D1336" s="6" t="s">
        <v>4244</v>
      </c>
      <c r="E1336" s="6" t="s">
        <v>4228</v>
      </c>
      <c r="F1336" s="6" t="str">
        <f>HYPERLINK("http://www.etruriatacchi.com/","www.etruriatacchi.com")</f>
        <v>www.etruriatacchi.com</v>
      </c>
    </row>
    <row r="1337" spans="1:6" ht="16.95" customHeight="1" x14ac:dyDescent="0.25">
      <c r="A1337" s="5" t="s">
        <v>4245</v>
      </c>
      <c r="B1337" s="4" t="s">
        <v>4246</v>
      </c>
      <c r="C1337" s="4" t="s">
        <v>4221</v>
      </c>
      <c r="D1337" s="4" t="s">
        <v>4247</v>
      </c>
      <c r="E1337" s="4" t="s">
        <v>4223</v>
      </c>
      <c r="F1337" s="4" t="str">
        <f>HYPERLINK("http://www.ebegroup.it/","www.ebegroup.it")</f>
        <v>www.ebegroup.it</v>
      </c>
    </row>
    <row r="1338" spans="1:6" ht="16.95" customHeight="1" x14ac:dyDescent="0.25">
      <c r="A1338" s="1" t="s">
        <v>4248</v>
      </c>
      <c r="B1338" s="6" t="s">
        <v>4249</v>
      </c>
      <c r="C1338" s="6" t="s">
        <v>4226</v>
      </c>
      <c r="D1338" s="6" t="s">
        <v>4219</v>
      </c>
      <c r="E1338" s="6" t="s">
        <v>4220</v>
      </c>
      <c r="F1338" s="6" t="str">
        <f>HYPERLINK("http://www.sintess.it/","http://www.sintess.it")</f>
        <v>http://www.sintess.it</v>
      </c>
    </row>
    <row r="1339" spans="1:6" ht="29.55" customHeight="1" x14ac:dyDescent="0.25">
      <c r="A1339" s="5" t="s">
        <v>4250</v>
      </c>
      <c r="B1339" s="4" t="s">
        <v>4251</v>
      </c>
      <c r="C1339" s="4" t="s">
        <v>4221</v>
      </c>
      <c r="D1339" s="4" t="s">
        <v>4227</v>
      </c>
      <c r="E1339" s="4" t="s">
        <v>4228</v>
      </c>
      <c r="F1339" s="4" t="str">
        <f>HYPERLINK("http://www.pegasoshoes.com/","www.pegasoshoes.com")</f>
        <v>www.pegasoshoes.com</v>
      </c>
    </row>
    <row r="1340" spans="1:6" ht="16.95" customHeight="1" x14ac:dyDescent="0.25">
      <c r="A1340" s="1" t="s">
        <v>4252</v>
      </c>
      <c r="B1340" s="6" t="s">
        <v>4253</v>
      </c>
      <c r="C1340" s="6" t="s">
        <v>4243</v>
      </c>
      <c r="D1340" s="6" t="s">
        <v>4254</v>
      </c>
      <c r="E1340" s="6" t="s">
        <v>4237</v>
      </c>
      <c r="F1340" s="6" t="str">
        <f>HYPERLINK("http://www.arpecitalia.com/","www.arpecitalia.com")</f>
        <v>www.arpecitalia.com</v>
      </c>
    </row>
    <row r="1341" spans="1:6" ht="16.95" customHeight="1" x14ac:dyDescent="0.25">
      <c r="A1341" s="5" t="s">
        <v>4255</v>
      </c>
      <c r="B1341" s="4" t="s">
        <v>4256</v>
      </c>
      <c r="C1341" s="4" t="s">
        <v>4221</v>
      </c>
      <c r="D1341" s="4" t="s">
        <v>4227</v>
      </c>
      <c r="E1341" s="4" t="s">
        <v>4228</v>
      </c>
      <c r="F1341" s="4" t="str">
        <f>HYPERLINK("http://www.scarpedarte.it/","www.scarpedarte.it")</f>
        <v>www.scarpedarte.it</v>
      </c>
    </row>
    <row r="1342" spans="1:6" ht="16.95" customHeight="1" x14ac:dyDescent="0.25">
      <c r="A1342" s="1" t="s">
        <v>4257</v>
      </c>
      <c r="B1342" s="6" t="s">
        <v>4258</v>
      </c>
      <c r="C1342" s="6" t="s">
        <v>4221</v>
      </c>
      <c r="D1342" s="6" t="s">
        <v>4222</v>
      </c>
      <c r="E1342" s="6" t="s">
        <v>4223</v>
      </c>
      <c r="F1342" s="6" t="str">
        <f>HYPERLINK("http://www.liadiva.com/","www.liadiva.com")</f>
        <v>www.liadiva.com</v>
      </c>
    </row>
    <row r="1343" spans="1:6" ht="16.95" customHeight="1" x14ac:dyDescent="0.25">
      <c r="A1343" s="5" t="s">
        <v>4259</v>
      </c>
      <c r="B1343" s="4" t="s">
        <v>4260</v>
      </c>
      <c r="C1343" s="4" t="s">
        <v>4226</v>
      </c>
      <c r="D1343" s="4" t="s">
        <v>4261</v>
      </c>
      <c r="E1343" s="4" t="s">
        <v>4262</v>
      </c>
      <c r="F1343" s="4" t="str">
        <f>HYPERLINK("http://www.slimitalia.com/","www.slimitalia.com")</f>
        <v>www.slimitalia.com</v>
      </c>
    </row>
    <row r="1344" spans="1:6" ht="29.55" customHeight="1" x14ac:dyDescent="0.25">
      <c r="A1344" s="5" t="s">
        <v>4263</v>
      </c>
      <c r="B1344" s="4" t="s">
        <v>4264</v>
      </c>
      <c r="C1344" s="4" t="s">
        <v>4243</v>
      </c>
      <c r="D1344" s="4" t="s">
        <v>4222</v>
      </c>
      <c r="E1344" s="4" t="s">
        <v>4223</v>
      </c>
      <c r="F1344" s="4" t="str">
        <f>HYPERLINK("http://www.laneapolissotterrata.it/","www.laneapolissotterrata.it")</f>
        <v>www.laneapolissotterrata.it</v>
      </c>
    </row>
    <row r="1345" spans="1:6" ht="16.95" customHeight="1" x14ac:dyDescent="0.25">
      <c r="A1345" s="5" t="s">
        <v>4265</v>
      </c>
      <c r="B1345" s="4" t="s">
        <v>4266</v>
      </c>
      <c r="C1345" s="4" t="s">
        <v>4226</v>
      </c>
      <c r="D1345" s="4" t="s">
        <v>4267</v>
      </c>
      <c r="E1345" s="4" t="s">
        <v>4233</v>
      </c>
      <c r="F1345" s="4" t="str">
        <f>HYPERLINK("http://www.ballodasola.com/","www.ballodasola.com")</f>
        <v>www.ballodasola.com</v>
      </c>
    </row>
    <row r="1346" spans="1:6" ht="16.95" customHeight="1" x14ac:dyDescent="0.25">
      <c r="A1346" s="1" t="s">
        <v>4268</v>
      </c>
      <c r="B1346" s="6" t="s">
        <v>4269</v>
      </c>
      <c r="C1346" s="6" t="s">
        <v>4270</v>
      </c>
      <c r="D1346" s="6" t="s">
        <v>4271</v>
      </c>
      <c r="E1346" s="6" t="s">
        <v>4272</v>
      </c>
      <c r="F1346" s="6" t="str">
        <f>HYPERLINK("http://www.pieropan-bauce.it/","www.pieropan-bauce.it")</f>
        <v>www.pieropan-bauce.it</v>
      </c>
    </row>
    <row r="1347" spans="1:6" ht="16.95" customHeight="1" x14ac:dyDescent="0.25">
      <c r="A1347" s="1" t="s">
        <v>4277</v>
      </c>
      <c r="B1347" s="6" t="s">
        <v>4278</v>
      </c>
      <c r="C1347" s="6" t="s">
        <v>4273</v>
      </c>
      <c r="D1347" s="6" t="s">
        <v>4279</v>
      </c>
      <c r="E1347" s="6" t="s">
        <v>4272</v>
      </c>
      <c r="F1347" s="6" t="str">
        <f>HYPERLINK("http://www.pat-anatomici.com/","www.pat-anatomici.com")</f>
        <v>www.pat-anatomici.com</v>
      </c>
    </row>
    <row r="1348" spans="1:6" ht="16.95" customHeight="1" x14ac:dyDescent="0.25">
      <c r="A1348" s="1" t="s">
        <v>4280</v>
      </c>
      <c r="B1348" s="6" t="s">
        <v>4281</v>
      </c>
      <c r="C1348" s="6" t="s">
        <v>4282</v>
      </c>
      <c r="D1348" s="6" t="s">
        <v>4271</v>
      </c>
      <c r="E1348" s="6" t="s">
        <v>4272</v>
      </c>
      <c r="F1348" s="6" t="str">
        <f>HYPERLINK("http://www.bonettocinturini.it/","http://www.bonettocinturini.it")</f>
        <v>http://www.bonettocinturini.it</v>
      </c>
    </row>
    <row r="1349" spans="1:6" ht="16.95" customHeight="1" x14ac:dyDescent="0.25">
      <c r="A1349" s="1" t="s">
        <v>4283</v>
      </c>
      <c r="B1349" s="6" t="s">
        <v>4284</v>
      </c>
      <c r="C1349" s="6" t="s">
        <v>4270</v>
      </c>
      <c r="D1349" s="6" t="s">
        <v>4271</v>
      </c>
      <c r="E1349" s="6" t="s">
        <v>4272</v>
      </c>
      <c r="F1349" s="6" t="str">
        <f>HYPERLINK("http://www.melapell.it/","www.melapell.it")</f>
        <v>www.melapell.it</v>
      </c>
    </row>
    <row r="1350" spans="1:6" ht="16.95" customHeight="1" x14ac:dyDescent="0.25">
      <c r="A1350" s="1" t="s">
        <v>4287</v>
      </c>
      <c r="B1350" s="6" t="s">
        <v>4288</v>
      </c>
      <c r="C1350" s="6" t="s">
        <v>4276</v>
      </c>
      <c r="D1350" s="6" t="s">
        <v>4289</v>
      </c>
      <c r="E1350" s="6" t="s">
        <v>4290</v>
      </c>
      <c r="F1350" s="6" t="str">
        <f>HYPERLINK("http://www.vittoria-shoes.com/","www.vittoria-shoes.com")</f>
        <v>www.vittoria-shoes.com</v>
      </c>
    </row>
    <row r="1351" spans="1:6" ht="16.95" customHeight="1" x14ac:dyDescent="0.25">
      <c r="A1351" s="5" t="s">
        <v>4291</v>
      </c>
      <c r="B1351" s="4" t="s">
        <v>4292</v>
      </c>
      <c r="C1351" s="4" t="s">
        <v>4276</v>
      </c>
      <c r="D1351" s="4" t="s">
        <v>4274</v>
      </c>
      <c r="E1351" s="4" t="s">
        <v>4275</v>
      </c>
      <c r="F1351" s="4" t="str">
        <f>HYPERLINK("http://www.fenicesrlmadeinitaly.com/","www.fenicesrlmadeinitaly.com")</f>
        <v>www.fenicesrlmadeinitaly.com</v>
      </c>
    </row>
    <row r="1352" spans="1:6" ht="16.95" customHeight="1" x14ac:dyDescent="0.25">
      <c r="A1352" s="1" t="s">
        <v>4293</v>
      </c>
      <c r="B1352" s="6" t="s">
        <v>4294</v>
      </c>
      <c r="C1352" s="6" t="s">
        <v>4276</v>
      </c>
      <c r="D1352" s="6" t="s">
        <v>4285</v>
      </c>
      <c r="E1352" s="6" t="s">
        <v>4286</v>
      </c>
      <c r="F1352" s="6" t="str">
        <f>HYPERLINK("http://www.carim.it/","www.carim.it")</f>
        <v>www.carim.it</v>
      </c>
    </row>
    <row r="1353" spans="1:6" ht="16.95" customHeight="1" x14ac:dyDescent="0.25">
      <c r="A1353" s="1" t="s">
        <v>4295</v>
      </c>
      <c r="B1353" s="6" t="s">
        <v>4296</v>
      </c>
      <c r="C1353" s="6" t="s">
        <v>4297</v>
      </c>
      <c r="D1353" s="6" t="s">
        <v>4298</v>
      </c>
      <c r="E1353" s="6" t="s">
        <v>4299</v>
      </c>
      <c r="F1353" s="6" t="str">
        <f>HYPERLINK("http://www.due-effe.it/","www.due-effe.it")</f>
        <v>www.due-effe.it</v>
      </c>
    </row>
    <row r="1354" spans="1:6" ht="16.95" customHeight="1" x14ac:dyDescent="0.25">
      <c r="A1354" s="5" t="s">
        <v>4300</v>
      </c>
      <c r="B1354" s="4" t="s">
        <v>4301</v>
      </c>
      <c r="C1354" s="4" t="s">
        <v>4302</v>
      </c>
      <c r="D1354" s="4" t="s">
        <v>4303</v>
      </c>
      <c r="E1354" s="4" t="s">
        <v>4304</v>
      </c>
      <c r="F1354" s="4" t="str">
        <f>HYPERLINK("http://www.nuovaflex.it/","www.nuovaflex.it")</f>
        <v>www.nuovaflex.it</v>
      </c>
    </row>
    <row r="1355" spans="1:6" ht="16.95" customHeight="1" x14ac:dyDescent="0.25">
      <c r="A1355" s="1" t="s">
        <v>4305</v>
      </c>
      <c r="B1355" s="6" t="s">
        <v>4306</v>
      </c>
      <c r="C1355" s="6" t="s">
        <v>4307</v>
      </c>
      <c r="D1355" s="6" t="s">
        <v>4308</v>
      </c>
      <c r="E1355" s="6" t="s">
        <v>4309</v>
      </c>
      <c r="F1355" s="6" t="str">
        <f>HYPERLINK("http://www.zanchetti.eu/","www.zanchetti.eu")</f>
        <v>www.zanchetti.eu</v>
      </c>
    </row>
    <row r="1356" spans="1:6" ht="16.95" customHeight="1" x14ac:dyDescent="0.25">
      <c r="A1356" s="5" t="s">
        <v>4313</v>
      </c>
      <c r="B1356" s="4" t="s">
        <v>4314</v>
      </c>
      <c r="C1356" s="4" t="s">
        <v>4315</v>
      </c>
      <c r="D1356" s="4" t="s">
        <v>4316</v>
      </c>
      <c r="E1356" s="4" t="s">
        <v>4309</v>
      </c>
      <c r="F1356" s="4" t="str">
        <f>HYPERLINK("http://www.recordbags.it/","www.recordbags.it")</f>
        <v>www.recordbags.it</v>
      </c>
    </row>
    <row r="1357" spans="1:6" ht="16.95" customHeight="1" x14ac:dyDescent="0.25">
      <c r="A1357" s="1" t="s">
        <v>4317</v>
      </c>
      <c r="B1357" s="6" t="s">
        <v>4318</v>
      </c>
      <c r="C1357" s="6" t="s">
        <v>4307</v>
      </c>
      <c r="D1357" s="6" t="s">
        <v>4319</v>
      </c>
      <c r="E1357" s="6" t="s">
        <v>4309</v>
      </c>
      <c r="F1357" s="6" t="str">
        <f>HYPERLINK("http://www.stefyline.com/","www.stefyline.com")</f>
        <v>www.stefyline.com</v>
      </c>
    </row>
    <row r="1358" spans="1:6" ht="16.95" customHeight="1" x14ac:dyDescent="0.25">
      <c r="A1358" s="5" t="s">
        <v>4320</v>
      </c>
      <c r="B1358" s="4" t="s">
        <v>4321</v>
      </c>
      <c r="C1358" s="4" t="s">
        <v>4322</v>
      </c>
      <c r="D1358" s="4" t="s">
        <v>4319</v>
      </c>
      <c r="E1358" s="4" t="s">
        <v>4309</v>
      </c>
      <c r="F1358" s="4" t="str">
        <f>HYPERLINK("http://www.ricamificioferrara.it/","www.ricamificioferrara.it")</f>
        <v>www.ricamificioferrara.it</v>
      </c>
    </row>
    <row r="1359" spans="1:6" ht="16.95" customHeight="1" x14ac:dyDescent="0.25">
      <c r="A1359" s="1" t="s">
        <v>4323</v>
      </c>
      <c r="B1359" s="6" t="s">
        <v>4324</v>
      </c>
      <c r="C1359" s="6" t="s">
        <v>4310</v>
      </c>
      <c r="D1359" s="6" t="s">
        <v>4311</v>
      </c>
      <c r="E1359" s="6" t="s">
        <v>4312</v>
      </c>
      <c r="F1359" s="6" t="str">
        <f>HYPERLINK("http://www.martoncalzature.it/","www.martoncalzature.it")</f>
        <v>www.martoncalzature.it</v>
      </c>
    </row>
    <row r="1360" spans="1:6" ht="16.95" customHeight="1" x14ac:dyDescent="0.25">
      <c r="A1360" s="5" t="s">
        <v>4325</v>
      </c>
      <c r="B1360" s="4" t="s">
        <v>4326</v>
      </c>
      <c r="C1360" s="4" t="s">
        <v>4307</v>
      </c>
      <c r="D1360" s="4" t="s">
        <v>4327</v>
      </c>
      <c r="E1360" s="4" t="s">
        <v>4304</v>
      </c>
      <c r="F1360" s="4" t="str">
        <f>HYPERLINK("http://www.fondo9.it/","www.fondo9.it")</f>
        <v>www.fondo9.it</v>
      </c>
    </row>
    <row r="1361" spans="1:6" ht="16.95" customHeight="1" x14ac:dyDescent="0.25">
      <c r="A1361" s="1" t="s">
        <v>4329</v>
      </c>
      <c r="B1361" s="6" t="s">
        <v>4330</v>
      </c>
      <c r="C1361" s="6" t="s">
        <v>4302</v>
      </c>
      <c r="D1361" s="6" t="s">
        <v>4303</v>
      </c>
      <c r="E1361" s="6" t="s">
        <v>4304</v>
      </c>
      <c r="F1361" s="6" t="str">
        <f>HYPERLINK("http://www.conceriaprima.com/","www.conceriaprima.com")</f>
        <v>www.conceriaprima.com</v>
      </c>
    </row>
    <row r="1362" spans="1:6" ht="16.95" customHeight="1" x14ac:dyDescent="0.25">
      <c r="A1362" s="1" t="s">
        <v>4331</v>
      </c>
      <c r="B1362" s="6" t="s">
        <v>4332</v>
      </c>
      <c r="C1362" s="6" t="s">
        <v>4315</v>
      </c>
      <c r="D1362" s="6" t="s">
        <v>4333</v>
      </c>
      <c r="E1362" s="6" t="s">
        <v>4299</v>
      </c>
      <c r="F1362" s="6" t="str">
        <f>HYPERLINK("http://www.leulocati.com/","www.leulocati.com")</f>
        <v>www.leulocati.com</v>
      </c>
    </row>
    <row r="1363" spans="1:6" ht="16.95" customHeight="1" x14ac:dyDescent="0.25">
      <c r="A1363" s="5" t="s">
        <v>4334</v>
      </c>
      <c r="B1363" s="4" t="s">
        <v>4335</v>
      </c>
      <c r="C1363" s="4" t="s">
        <v>4310</v>
      </c>
      <c r="D1363" s="4" t="s">
        <v>4336</v>
      </c>
      <c r="E1363" s="4" t="s">
        <v>4337</v>
      </c>
      <c r="F1363" s="4" t="str">
        <f>HYPERLINK("http://www.pavi.it/","www.pavi.it")</f>
        <v>www.pavi.it</v>
      </c>
    </row>
    <row r="1364" spans="1:6" ht="43.05" customHeight="1" x14ac:dyDescent="0.25">
      <c r="A1364" s="1" t="s">
        <v>4338</v>
      </c>
      <c r="B1364" s="6" t="s">
        <v>4339</v>
      </c>
      <c r="C1364" s="6" t="s">
        <v>4322</v>
      </c>
      <c r="D1364" s="6" t="s">
        <v>4328</v>
      </c>
      <c r="E1364" s="6" t="s">
        <v>4312</v>
      </c>
      <c r="F1364" s="6" t="str">
        <f>HYPERLINK("http://www.pecontrafforti.it/","www.pecontrafforti.it")</f>
        <v>www.pecontrafforti.it</v>
      </c>
    </row>
    <row r="1365" spans="1:6" ht="16.95" customHeight="1" x14ac:dyDescent="0.25">
      <c r="A1365" s="5" t="s">
        <v>4340</v>
      </c>
      <c r="B1365" s="4" t="s">
        <v>4341</v>
      </c>
      <c r="C1365" s="4" t="s">
        <v>4310</v>
      </c>
      <c r="D1365" s="4" t="s">
        <v>4342</v>
      </c>
      <c r="E1365" s="4" t="s">
        <v>4299</v>
      </c>
      <c r="F1365" s="4" t="str">
        <f>HYPERLINK("http://www.l4k3.it/","www.l4k3.it")</f>
        <v>www.l4k3.it</v>
      </c>
    </row>
    <row r="1366" spans="1:6" ht="16.95" customHeight="1" x14ac:dyDescent="0.25">
      <c r="A1366" s="1" t="s">
        <v>4343</v>
      </c>
      <c r="B1366" s="6" t="s">
        <v>4344</v>
      </c>
      <c r="C1366" s="6" t="s">
        <v>4322</v>
      </c>
      <c r="D1366" s="6" t="s">
        <v>4345</v>
      </c>
      <c r="E1366" s="6" t="s">
        <v>4309</v>
      </c>
      <c r="F1366" s="6" t="str">
        <f>HYPERLINK("http://www.bernardinisnc.com/","www.bernardinisnc.com")</f>
        <v>www.bernardinisnc.com</v>
      </c>
    </row>
    <row r="1367" spans="1:6" ht="29.55" customHeight="1" x14ac:dyDescent="0.25">
      <c r="A1367" s="1" t="s">
        <v>4346</v>
      </c>
      <c r="B1367" s="6" t="s">
        <v>4347</v>
      </c>
      <c r="C1367" s="6" t="s">
        <v>4348</v>
      </c>
      <c r="D1367" s="6" t="s">
        <v>4349</v>
      </c>
      <c r="E1367" s="6" t="s">
        <v>4350</v>
      </c>
      <c r="F1367" s="6" t="str">
        <f>HYPERLINK("http://www.jeanpaulmenicucci.com/","www.jeanpaulmenicucci.com")</f>
        <v>www.jeanpaulmenicucci.com</v>
      </c>
    </row>
    <row r="1368" spans="1:6" ht="29.55" customHeight="1" x14ac:dyDescent="0.25">
      <c r="A1368" s="1" t="s">
        <v>4353</v>
      </c>
      <c r="B1368" s="6" t="s">
        <v>4354</v>
      </c>
      <c r="C1368" s="6" t="s">
        <v>4351</v>
      </c>
      <c r="D1368" s="6" t="s">
        <v>4355</v>
      </c>
      <c r="E1368" s="6" t="s">
        <v>4356</v>
      </c>
      <c r="F1368" s="6" t="str">
        <f>HYPERLINK("http://fauzian.it/","fauzian.it")</f>
        <v>fauzian.it</v>
      </c>
    </row>
    <row r="1369" spans="1:6" ht="16.95" customHeight="1" x14ac:dyDescent="0.25">
      <c r="A1369" s="5" t="s">
        <v>4357</v>
      </c>
      <c r="B1369" s="4" t="s">
        <v>4358</v>
      </c>
      <c r="C1369" s="4" t="s">
        <v>4348</v>
      </c>
      <c r="D1369" s="4" t="s">
        <v>4359</v>
      </c>
      <c r="E1369" s="4" t="s">
        <v>4352</v>
      </c>
      <c r="F1369" s="4" t="str">
        <f>HYPERLINK("http://www.riserva.it/","www.riserva.it")</f>
        <v>www.riserva.it</v>
      </c>
    </row>
    <row r="1370" spans="1:6" ht="29.55" customHeight="1" x14ac:dyDescent="0.25">
      <c r="A1370" s="1" t="s">
        <v>4360</v>
      </c>
      <c r="B1370" s="6" t="s">
        <v>4361</v>
      </c>
      <c r="C1370" s="6" t="s">
        <v>4362</v>
      </c>
      <c r="D1370" s="6" t="s">
        <v>4363</v>
      </c>
      <c r="E1370" s="6" t="s">
        <v>4364</v>
      </c>
      <c r="F1370" s="6" t="str">
        <f>HYPERLINK("http://www.vareserettili.it/","www.vareserettili.it")</f>
        <v>www.vareserettili.it</v>
      </c>
    </row>
    <row r="1371" spans="1:6" ht="16.95" customHeight="1" x14ac:dyDescent="0.25">
      <c r="A1371" s="1" t="s">
        <v>4367</v>
      </c>
      <c r="B1371" s="6" t="s">
        <v>4368</v>
      </c>
      <c r="C1371" s="6" t="s">
        <v>4369</v>
      </c>
      <c r="D1371" s="6" t="s">
        <v>4370</v>
      </c>
      <c r="E1371" s="6" t="s">
        <v>4364</v>
      </c>
      <c r="F1371" s="6" t="str">
        <f>HYPERLINK("http://www.longinodurso.it/","www.longinodurso.it")</f>
        <v>www.longinodurso.it</v>
      </c>
    </row>
    <row r="1372" spans="1:6" ht="16.95" customHeight="1" x14ac:dyDescent="0.25">
      <c r="A1372" s="5" t="s">
        <v>4371</v>
      </c>
      <c r="B1372" s="4" t="s">
        <v>4372</v>
      </c>
      <c r="C1372" s="4" t="s">
        <v>4351</v>
      </c>
      <c r="D1372" s="4" t="s">
        <v>4373</v>
      </c>
      <c r="E1372" s="4" t="s">
        <v>4374</v>
      </c>
      <c r="F1372" s="4" t="str">
        <f>HYPERLINK("http://www.greenlifecalzature.it/","www.greenlifecalzature.it")</f>
        <v>www.greenlifecalzature.it</v>
      </c>
    </row>
    <row r="1373" spans="1:6" ht="16.95" customHeight="1" x14ac:dyDescent="0.25">
      <c r="A1373" s="1" t="s">
        <v>4375</v>
      </c>
      <c r="B1373" s="6" t="s">
        <v>4376</v>
      </c>
      <c r="C1373" s="6" t="s">
        <v>4351</v>
      </c>
      <c r="D1373" s="6" t="s">
        <v>4355</v>
      </c>
      <c r="E1373" s="6" t="s">
        <v>4356</v>
      </c>
      <c r="F1373" s="6" t="str">
        <f>HYPERLINK("http://www.gianricomori.com/","www.gianricomori.com")</f>
        <v>www.gianricomori.com</v>
      </c>
    </row>
    <row r="1374" spans="1:6" ht="29.55" customHeight="1" x14ac:dyDescent="0.25">
      <c r="A1374" s="5" t="s">
        <v>4377</v>
      </c>
      <c r="B1374" s="4" t="s">
        <v>4378</v>
      </c>
      <c r="C1374" s="4" t="s">
        <v>4379</v>
      </c>
      <c r="D1374" s="4" t="s">
        <v>4380</v>
      </c>
      <c r="E1374" s="4" t="s">
        <v>4381</v>
      </c>
      <c r="F1374" s="4" t="str">
        <f>HYPERLINK("http://www.newgisab.it/","www.newgisab.it")</f>
        <v>www.newgisab.it</v>
      </c>
    </row>
    <row r="1375" spans="1:6" ht="16.95" customHeight="1" x14ac:dyDescent="0.25">
      <c r="A1375" s="1" t="s">
        <v>4382</v>
      </c>
      <c r="B1375" s="6" t="s">
        <v>4383</v>
      </c>
      <c r="C1375" s="6" t="s">
        <v>4362</v>
      </c>
      <c r="D1375" s="6" t="s">
        <v>4384</v>
      </c>
      <c r="E1375" s="6" t="s">
        <v>4352</v>
      </c>
      <c r="F1375" s="6" t="str">
        <f>HYPERLINK("http://www.velaitaly.com/","www.velaitaly.com")</f>
        <v>www.velaitaly.com</v>
      </c>
    </row>
    <row r="1376" spans="1:6" ht="16.95" customHeight="1" x14ac:dyDescent="0.25">
      <c r="A1376" s="5" t="s">
        <v>4385</v>
      </c>
      <c r="B1376" s="4" t="s">
        <v>4386</v>
      </c>
      <c r="C1376" s="4" t="s">
        <v>4369</v>
      </c>
      <c r="D1376" s="4" t="s">
        <v>4366</v>
      </c>
      <c r="E1376" s="4" t="s">
        <v>4350</v>
      </c>
      <c r="F1376" s="4" t="str">
        <f>HYPERLINK("http://www.eurofur.it/","www.eurofur.it")</f>
        <v>www.eurofur.it</v>
      </c>
    </row>
    <row r="1377" spans="1:6" ht="16.95" customHeight="1" x14ac:dyDescent="0.25">
      <c r="A1377" s="1" t="s">
        <v>4387</v>
      </c>
      <c r="B1377" s="6" t="s">
        <v>4388</v>
      </c>
      <c r="C1377" s="6" t="s">
        <v>4369</v>
      </c>
      <c r="D1377" s="6" t="s">
        <v>4389</v>
      </c>
      <c r="E1377" s="6" t="s">
        <v>4352</v>
      </c>
      <c r="F1377" s="6" t="str">
        <f>HYPERLINK("http://www.bemastyle.com/","www.bemastyle.com")</f>
        <v>www.bemastyle.com</v>
      </c>
    </row>
    <row r="1378" spans="1:6" ht="16.95" customHeight="1" x14ac:dyDescent="0.25">
      <c r="A1378" s="1" t="s">
        <v>4390</v>
      </c>
      <c r="B1378" s="6" t="s">
        <v>4391</v>
      </c>
      <c r="C1378" s="6" t="s">
        <v>4362</v>
      </c>
      <c r="D1378" s="6" t="s">
        <v>4363</v>
      </c>
      <c r="E1378" s="6" t="s">
        <v>4364</v>
      </c>
      <c r="F1378" s="6" t="str">
        <f>HYPERLINK("http://www.apex-srl.com/","www.apex-srl.com")</f>
        <v>www.apex-srl.com</v>
      </c>
    </row>
    <row r="1379" spans="1:6" ht="29.55" customHeight="1" x14ac:dyDescent="0.25">
      <c r="A1379" s="1" t="s">
        <v>4392</v>
      </c>
      <c r="B1379" s="6" t="s">
        <v>4393</v>
      </c>
      <c r="C1379" s="6" t="s">
        <v>4369</v>
      </c>
      <c r="D1379" s="6" t="s">
        <v>4394</v>
      </c>
      <c r="E1379" s="6" t="s">
        <v>4365</v>
      </c>
      <c r="F1379" s="6" t="str">
        <f>HYPERLINK("http://www.ncleather.net/","www.ncleather.net")</f>
        <v>www.ncleather.net</v>
      </c>
    </row>
    <row r="1380" spans="1:6" ht="16.95" customHeight="1" x14ac:dyDescent="0.25">
      <c r="A1380" s="1" t="s">
        <v>4395</v>
      </c>
      <c r="B1380" s="6" t="s">
        <v>4396</v>
      </c>
      <c r="C1380" s="6" t="s">
        <v>4397</v>
      </c>
      <c r="D1380" s="6" t="s">
        <v>4398</v>
      </c>
      <c r="E1380" s="6" t="s">
        <v>4399</v>
      </c>
      <c r="F1380" s="6" t="str">
        <f>HYPERLINK("http://www.enzimaservice.com/","www.enzimaservice.com")</f>
        <v>www.enzimaservice.com</v>
      </c>
    </row>
    <row r="1381" spans="1:6" ht="29.55" customHeight="1" x14ac:dyDescent="0.25">
      <c r="A1381" s="5" t="s">
        <v>4403</v>
      </c>
      <c r="B1381" s="4" t="s">
        <v>4404</v>
      </c>
      <c r="C1381" s="4" t="s">
        <v>4397</v>
      </c>
      <c r="D1381" s="4" t="s">
        <v>4405</v>
      </c>
      <c r="E1381" s="4" t="s">
        <v>4399</v>
      </c>
      <c r="F1381" s="4" t="str">
        <f>HYPERLINK("http://www.calzaturificiocappellisrl.it/","www.calzaturificiocappellisrl.it")</f>
        <v>www.calzaturificiocappellisrl.it</v>
      </c>
    </row>
    <row r="1382" spans="1:6" ht="16.95" customHeight="1" x14ac:dyDescent="0.25">
      <c r="A1382" s="1" t="s">
        <v>4409</v>
      </c>
      <c r="B1382" s="6" t="s">
        <v>4410</v>
      </c>
      <c r="C1382" s="6" t="s">
        <v>4400</v>
      </c>
      <c r="D1382" s="6" t="s">
        <v>4411</v>
      </c>
      <c r="E1382" s="6" t="s">
        <v>4412</v>
      </c>
      <c r="F1382" s="6" t="str">
        <f>HYPERLINK("http://www.tomaificiorm.it/","www.tomaificiorm.it")</f>
        <v>www.tomaificiorm.it</v>
      </c>
    </row>
    <row r="1383" spans="1:6" ht="29.55" customHeight="1" x14ac:dyDescent="0.25">
      <c r="A1383" s="5" t="s">
        <v>4413</v>
      </c>
      <c r="B1383" s="4" t="s">
        <v>4414</v>
      </c>
      <c r="C1383" s="4" t="s">
        <v>4408</v>
      </c>
      <c r="D1383" s="4" t="s">
        <v>4415</v>
      </c>
      <c r="E1383" s="4" t="s">
        <v>4416</v>
      </c>
      <c r="F1383" s="4" t="str">
        <f>HYPERLINK("http://www.santagostino-milano.it/","www.santagostino-milano.it")</f>
        <v>www.santagostino-milano.it</v>
      </c>
    </row>
    <row r="1384" spans="1:6" ht="16.95" customHeight="1" x14ac:dyDescent="0.25">
      <c r="A1384" s="1" t="s">
        <v>4417</v>
      </c>
      <c r="B1384" s="6" t="s">
        <v>4418</v>
      </c>
      <c r="C1384" s="6" t="s">
        <v>4400</v>
      </c>
      <c r="D1384" s="6" t="s">
        <v>4411</v>
      </c>
      <c r="E1384" s="6" t="s">
        <v>4412</v>
      </c>
      <c r="F1384" s="6" t="str">
        <f>HYPERLINK("http://www.angelettigroup.eu/","www.angelettigroup.eu")</f>
        <v>www.angelettigroup.eu</v>
      </c>
    </row>
    <row r="1385" spans="1:6" ht="55.65" customHeight="1" x14ac:dyDescent="0.25">
      <c r="A1385" s="1" t="s">
        <v>4419</v>
      </c>
      <c r="B1385" s="6" t="s">
        <v>4420</v>
      </c>
      <c r="C1385" s="6" t="s">
        <v>4397</v>
      </c>
      <c r="D1385" s="6" t="s">
        <v>4405</v>
      </c>
      <c r="E1385" s="6" t="s">
        <v>4399</v>
      </c>
      <c r="F1385" s="6" t="str">
        <f>HYPERLINK("http://www.calzaturificiopamar.it/","www.calzaturificiopamar.it")</f>
        <v>www.calzaturificiopamar.it</v>
      </c>
    </row>
    <row r="1386" spans="1:6" ht="16.95" customHeight="1" x14ac:dyDescent="0.25">
      <c r="A1386" s="5" t="s">
        <v>4421</v>
      </c>
      <c r="B1386" s="4" t="s">
        <v>4422</v>
      </c>
      <c r="C1386" s="4" t="s">
        <v>4408</v>
      </c>
      <c r="D1386" s="4" t="s">
        <v>4423</v>
      </c>
      <c r="E1386" s="4" t="s">
        <v>4424</v>
      </c>
      <c r="F1386" s="4" t="str">
        <f>HYPERLINK("http://www.danielandbob.it/","www.danielandbob.it")</f>
        <v>www.danielandbob.it</v>
      </c>
    </row>
    <row r="1387" spans="1:6" ht="16.95" customHeight="1" x14ac:dyDescent="0.25">
      <c r="A1387" s="5" t="s">
        <v>4425</v>
      </c>
      <c r="B1387" s="4" t="s">
        <v>4426</v>
      </c>
      <c r="C1387" s="4" t="s">
        <v>4408</v>
      </c>
      <c r="D1387" s="4" t="s">
        <v>4398</v>
      </c>
      <c r="E1387" s="4" t="s">
        <v>4399</v>
      </c>
      <c r="F1387" s="4" t="str">
        <f>HYPERLINK("http://www.niccolibags.com/","www.niccolibags.com")</f>
        <v>www.niccolibags.com</v>
      </c>
    </row>
    <row r="1388" spans="1:6" ht="29.55" customHeight="1" x14ac:dyDescent="0.25">
      <c r="A1388" s="1" t="s">
        <v>4427</v>
      </c>
      <c r="B1388" s="6" t="s">
        <v>4428</v>
      </c>
      <c r="C1388" s="6" t="s">
        <v>4408</v>
      </c>
      <c r="D1388" s="6" t="s">
        <v>4429</v>
      </c>
      <c r="E1388" s="6" t="s">
        <v>4416</v>
      </c>
      <c r="F1388" s="6" t="str">
        <f>HYPERLINK("http://cinturificiobresciano.it/","cinturificiobresciano.it")</f>
        <v>cinturificiobresciano.it</v>
      </c>
    </row>
    <row r="1389" spans="1:6" ht="43.05" customHeight="1" x14ac:dyDescent="0.25">
      <c r="A1389" s="5" t="s">
        <v>4430</v>
      </c>
      <c r="B1389" s="4" t="s">
        <v>4431</v>
      </c>
      <c r="C1389" s="4" t="s">
        <v>4397</v>
      </c>
      <c r="D1389" s="4" t="s">
        <v>4411</v>
      </c>
      <c r="E1389" s="4" t="s">
        <v>4412</v>
      </c>
      <c r="F1389" s="4" t="str">
        <f>HYPERLINK("http://www.giancarlopaoli.com/","www.giancarlopaoli.com")</f>
        <v>www.giancarlopaoli.com</v>
      </c>
    </row>
    <row r="1390" spans="1:6" ht="16.95" customHeight="1" x14ac:dyDescent="0.25">
      <c r="A1390" s="5" t="s">
        <v>4432</v>
      </c>
      <c r="B1390" s="4" t="s">
        <v>4433</v>
      </c>
      <c r="C1390" s="4" t="s">
        <v>4406</v>
      </c>
      <c r="D1390" s="4" t="s">
        <v>4407</v>
      </c>
      <c r="E1390" s="4" t="s">
        <v>4399</v>
      </c>
      <c r="F1390" s="4" t="str">
        <f>HYPERLINK("http://www.violarasaturapelli.it/","www.violarasaturapelli.it")</f>
        <v>www.violarasaturapelli.it</v>
      </c>
    </row>
    <row r="1391" spans="1:6" ht="16.95" customHeight="1" x14ac:dyDescent="0.25">
      <c r="A1391" s="5" t="s">
        <v>4434</v>
      </c>
      <c r="B1391" s="4" t="s">
        <v>4435</v>
      </c>
      <c r="C1391" s="4" t="s">
        <v>4400</v>
      </c>
      <c r="D1391" s="4" t="s">
        <v>4401</v>
      </c>
      <c r="E1391" s="4" t="s">
        <v>4402</v>
      </c>
      <c r="F1391" s="4" t="str">
        <f>HYPERLINK("http://www.gifralsrl.it/","www.gifralsrl.it")</f>
        <v>www.gifralsrl.it</v>
      </c>
    </row>
    <row r="1392" spans="1:6" ht="16.95" customHeight="1" x14ac:dyDescent="0.25">
      <c r="A1392" s="5" t="s">
        <v>4436</v>
      </c>
      <c r="B1392" s="4" t="s">
        <v>4437</v>
      </c>
      <c r="C1392" s="4" t="s">
        <v>4408</v>
      </c>
      <c r="D1392" s="4" t="s">
        <v>4438</v>
      </c>
      <c r="E1392" s="4" t="s">
        <v>4424</v>
      </c>
      <c r="F1392" s="4" t="str">
        <f>HYPERLINK("http://www.opencouture.it/","www.opencouture.it")</f>
        <v>www.opencouture.it</v>
      </c>
    </row>
    <row r="1393" spans="1:6" ht="16.95" customHeight="1" x14ac:dyDescent="0.25">
      <c r="A1393" s="5" t="s">
        <v>4442</v>
      </c>
      <c r="B1393" s="4" t="s">
        <v>4443</v>
      </c>
      <c r="C1393" s="4" t="s">
        <v>4444</v>
      </c>
      <c r="D1393" s="4" t="s">
        <v>4445</v>
      </c>
      <c r="E1393" s="4" t="s">
        <v>4446</v>
      </c>
      <c r="F1393" s="4" t="str">
        <f>HYPERLINK("http://www.tacchificioberdini.it/","www.tacchificioberdini.it")</f>
        <v>www.tacchificioberdini.it</v>
      </c>
    </row>
    <row r="1394" spans="1:6" ht="16.95" customHeight="1" x14ac:dyDescent="0.25">
      <c r="A1394" s="5" t="s">
        <v>4447</v>
      </c>
      <c r="B1394" s="4" t="s">
        <v>4448</v>
      </c>
      <c r="C1394" s="4" t="s">
        <v>4449</v>
      </c>
      <c r="D1394" s="4" t="s">
        <v>4440</v>
      </c>
      <c r="E1394" s="4" t="s">
        <v>4441</v>
      </c>
      <c r="F1394" s="4" t="str">
        <f>HYPERLINK("http://laboratoriotoscano.it/","laboratoriotoscano.it")</f>
        <v>laboratoriotoscano.it</v>
      </c>
    </row>
    <row r="1395" spans="1:6" ht="16.95" customHeight="1" x14ac:dyDescent="0.25">
      <c r="A1395" s="1" t="s">
        <v>4450</v>
      </c>
      <c r="B1395" s="6" t="s">
        <v>4451</v>
      </c>
      <c r="C1395" s="6" t="s">
        <v>4439</v>
      </c>
      <c r="D1395" s="6" t="s">
        <v>4452</v>
      </c>
      <c r="E1395" s="6" t="s">
        <v>4453</v>
      </c>
      <c r="F1395" s="6" t="str">
        <f>HYPERLINK("http://www.prontopelli.it/","www.prontopelli.it")</f>
        <v>www.prontopelli.it</v>
      </c>
    </row>
    <row r="1396" spans="1:6" ht="29.55" customHeight="1" x14ac:dyDescent="0.25">
      <c r="A1396" s="5" t="s">
        <v>4454</v>
      </c>
      <c r="B1396" s="4" t="s">
        <v>4455</v>
      </c>
      <c r="C1396" s="4" t="s">
        <v>4439</v>
      </c>
      <c r="D1396" s="4" t="s">
        <v>4456</v>
      </c>
      <c r="E1396" s="4" t="s">
        <v>4441</v>
      </c>
      <c r="F1396" s="4" t="str">
        <f>HYPERLINK("http://www.tregazzelle.it/","www.tregazzelle.it")</f>
        <v>www.tregazzelle.it</v>
      </c>
    </row>
    <row r="1397" spans="1:6" ht="29.55" customHeight="1" x14ac:dyDescent="0.25">
      <c r="A1397" s="1" t="s">
        <v>4459</v>
      </c>
      <c r="B1397" s="6" t="s">
        <v>4460</v>
      </c>
      <c r="C1397" s="6" t="s">
        <v>4457</v>
      </c>
      <c r="D1397" s="6" t="s">
        <v>4461</v>
      </c>
      <c r="E1397" s="6" t="s">
        <v>4453</v>
      </c>
      <c r="F1397" s="6" t="str">
        <f>HYPERLINK("http://www.bricconi.com/","www.bricconi.com")</f>
        <v>www.bricconi.com</v>
      </c>
    </row>
    <row r="1398" spans="1:6" ht="16.95" customHeight="1" x14ac:dyDescent="0.25">
      <c r="A1398" s="5" t="s">
        <v>4462</v>
      </c>
      <c r="B1398" s="4" t="s">
        <v>4463</v>
      </c>
      <c r="C1398" s="4" t="s">
        <v>4444</v>
      </c>
      <c r="D1398" s="4" t="s">
        <v>4458</v>
      </c>
      <c r="E1398" s="4" t="s">
        <v>4446</v>
      </c>
      <c r="F1398" s="4" t="str">
        <f>HYPERLINK("http://www.tartabinienasini.it/","www.tartabinienasini.it")</f>
        <v>www.tartabinienasini.it</v>
      </c>
    </row>
    <row r="1399" spans="1:6" ht="16.95" customHeight="1" x14ac:dyDescent="0.25">
      <c r="A1399" s="1" t="s">
        <v>4464</v>
      </c>
      <c r="B1399" s="6" t="s">
        <v>4465</v>
      </c>
      <c r="C1399" s="6" t="s">
        <v>4439</v>
      </c>
      <c r="D1399" s="6" t="s">
        <v>4456</v>
      </c>
      <c r="E1399" s="6" t="s">
        <v>4441</v>
      </c>
      <c r="F1399" s="6" t="str">
        <f>HYPERLINK("http://www.lapec.it/","www.lapec.it")</f>
        <v>www.lapec.it</v>
      </c>
    </row>
    <row r="1400" spans="1:6" ht="16.95" customHeight="1" x14ac:dyDescent="0.25">
      <c r="A1400" s="5" t="s">
        <v>4468</v>
      </c>
      <c r="B1400" s="4" t="s">
        <v>4469</v>
      </c>
      <c r="C1400" s="4" t="s">
        <v>4470</v>
      </c>
      <c r="D1400" s="4" t="s">
        <v>4471</v>
      </c>
      <c r="E1400" s="4" t="s">
        <v>4472</v>
      </c>
      <c r="F1400" s="4" t="str">
        <f>HYPERLINK("http://www.rossovenezia.it/","www.rossovenezia.it")</f>
        <v>www.rossovenezia.it</v>
      </c>
    </row>
    <row r="1401" spans="1:6" ht="16.95" customHeight="1" x14ac:dyDescent="0.25">
      <c r="A1401" s="1" t="s">
        <v>4473</v>
      </c>
      <c r="B1401" s="6" t="s">
        <v>4474</v>
      </c>
      <c r="C1401" s="6" t="s">
        <v>4475</v>
      </c>
      <c r="D1401" s="6" t="s">
        <v>4476</v>
      </c>
      <c r="E1401" s="6" t="s">
        <v>4467</v>
      </c>
      <c r="F1401" s="6" t="str">
        <f>HYPERLINK("http://www.kostyle.it/","www.kostyle.it")</f>
        <v>www.kostyle.it</v>
      </c>
    </row>
    <row r="1402" spans="1:6" ht="16.95" customHeight="1" x14ac:dyDescent="0.25">
      <c r="A1402" s="1" t="s">
        <v>4477</v>
      </c>
      <c r="B1402" s="6" t="s">
        <v>4478</v>
      </c>
      <c r="C1402" s="6" t="s">
        <v>4466</v>
      </c>
      <c r="D1402" s="6" t="s">
        <v>4479</v>
      </c>
      <c r="E1402" s="6" t="s">
        <v>4480</v>
      </c>
      <c r="F1402" s="6" t="str">
        <f>HYPERLINK("http://www.palmpel.it/","www.palmpel.it")</f>
        <v>www.palmpel.it</v>
      </c>
    </row>
    <row r="1403" spans="1:6" ht="16.95" customHeight="1" x14ac:dyDescent="0.25">
      <c r="A1403" s="5" t="s">
        <v>4485</v>
      </c>
      <c r="B1403" s="4" t="s">
        <v>4486</v>
      </c>
      <c r="C1403" s="4" t="s">
        <v>4475</v>
      </c>
      <c r="D1403" s="4" t="s">
        <v>4484</v>
      </c>
      <c r="E1403" s="4" t="s">
        <v>4483</v>
      </c>
      <c r="F1403" s="4" t="str">
        <f>HYPERLINK("http://calzaturificiorodi.it/","calzaturificiorodi.it")</f>
        <v>calzaturificiorodi.it</v>
      </c>
    </row>
    <row r="1404" spans="1:6" ht="29.55" customHeight="1" x14ac:dyDescent="0.25">
      <c r="A1404" s="1" t="s">
        <v>4488</v>
      </c>
      <c r="B1404" s="6" t="s">
        <v>4489</v>
      </c>
      <c r="C1404" s="6" t="s">
        <v>4475</v>
      </c>
      <c r="D1404" s="6" t="s">
        <v>4490</v>
      </c>
      <c r="E1404" s="6" t="s">
        <v>4480</v>
      </c>
      <c r="F1404" s="6" t="str">
        <f>HYPERLINK("http://melany-vy-srl-04016400618.quantofattura.com/","melany-vy-srl-04016400618.quantofattura.com")</f>
        <v>melany-vy-srl-04016400618.quantofattura.com</v>
      </c>
    </row>
    <row r="1405" spans="1:6" ht="16.95" customHeight="1" x14ac:dyDescent="0.25">
      <c r="A1405" s="5" t="s">
        <v>4491</v>
      </c>
      <c r="B1405" s="4" t="s">
        <v>4492</v>
      </c>
      <c r="C1405" s="4" t="s">
        <v>4466</v>
      </c>
      <c r="D1405" s="4" t="s">
        <v>4481</v>
      </c>
      <c r="E1405" s="4" t="s">
        <v>4472</v>
      </c>
      <c r="F1405" s="4" t="str">
        <f>HYPERLINK("http://www.kleathers.it/","www.kleathers.it")</f>
        <v>www.kleathers.it</v>
      </c>
    </row>
    <row r="1406" spans="1:6" ht="16.95" customHeight="1" x14ac:dyDescent="0.25">
      <c r="A1406" s="5" t="s">
        <v>4493</v>
      </c>
      <c r="B1406" s="4" t="s">
        <v>4494</v>
      </c>
      <c r="C1406" s="4" t="s">
        <v>4475</v>
      </c>
      <c r="D1406" s="4" t="s">
        <v>4495</v>
      </c>
      <c r="E1406" s="4" t="s">
        <v>4483</v>
      </c>
      <c r="F1406" s="4" t="str">
        <f>HYPERLINK("http://www.farfalla.it/","www.farfalla.it")</f>
        <v>www.farfalla.it</v>
      </c>
    </row>
    <row r="1407" spans="1:6" ht="16.95" customHeight="1" x14ac:dyDescent="0.25">
      <c r="A1407" s="1" t="s">
        <v>4496</v>
      </c>
      <c r="B1407" s="6" t="s">
        <v>4497</v>
      </c>
      <c r="C1407" s="6" t="s">
        <v>4475</v>
      </c>
      <c r="D1407" s="6" t="s">
        <v>4498</v>
      </c>
      <c r="E1407" s="6" t="s">
        <v>4472</v>
      </c>
      <c r="F1407" s="6" t="str">
        <f>HYPERLINK("http://www.errepisrl.it/","www.errepisrl.it")</f>
        <v>www.errepisrl.it</v>
      </c>
    </row>
    <row r="1408" spans="1:6" ht="29.55" customHeight="1" x14ac:dyDescent="0.25">
      <c r="A1408" s="1" t="s">
        <v>4499</v>
      </c>
      <c r="B1408" s="6" t="s">
        <v>4500</v>
      </c>
      <c r="C1408" s="6" t="s">
        <v>4487</v>
      </c>
      <c r="D1408" s="6" t="s">
        <v>4479</v>
      </c>
      <c r="E1408" s="6" t="s">
        <v>4480</v>
      </c>
      <c r="F1408" s="6" t="str">
        <f>HYPERLINK("http://www.davidenada.it/","www.davidenada.it")</f>
        <v>www.davidenada.it</v>
      </c>
    </row>
    <row r="1409" spans="1:6" ht="16.95" customHeight="1" x14ac:dyDescent="0.25">
      <c r="A1409" s="1" t="s">
        <v>4502</v>
      </c>
      <c r="B1409" s="6" t="s">
        <v>4503</v>
      </c>
      <c r="C1409" s="6" t="s">
        <v>4470</v>
      </c>
      <c r="D1409" s="6" t="s">
        <v>4501</v>
      </c>
      <c r="E1409" s="6" t="s">
        <v>4467</v>
      </c>
      <c r="F1409" s="6" t="str">
        <f>HYPERLINK("http://www.mattshoes.it/","www.mattshoes.it")</f>
        <v>www.mattshoes.it</v>
      </c>
    </row>
    <row r="1410" spans="1:6" ht="16.95" customHeight="1" x14ac:dyDescent="0.25">
      <c r="A1410" s="5" t="s">
        <v>4504</v>
      </c>
      <c r="B1410" s="4" t="s">
        <v>4505</v>
      </c>
      <c r="C1410" s="4" t="s">
        <v>4475</v>
      </c>
      <c r="D1410" s="4" t="s">
        <v>4482</v>
      </c>
      <c r="E1410" s="4" t="s">
        <v>4483</v>
      </c>
      <c r="F1410" s="4" t="str">
        <f>HYPERLINK("http://www.timarshoes.it/","www.timarshoes.it")</f>
        <v>www.timarshoes.it</v>
      </c>
    </row>
    <row r="1411" spans="1:6" ht="16.95" customHeight="1" x14ac:dyDescent="0.25">
      <c r="A1411" s="1" t="s">
        <v>4506</v>
      </c>
      <c r="B1411" s="6" t="s">
        <v>4507</v>
      </c>
      <c r="C1411" s="6" t="s">
        <v>4475</v>
      </c>
      <c r="D1411" s="6" t="s">
        <v>4482</v>
      </c>
      <c r="E1411" s="6" t="s">
        <v>4483</v>
      </c>
      <c r="F1411" s="6" t="str">
        <f>HYPERLINK("http://www.greatbear.it/","www.greatbear.it")</f>
        <v>www.greatbear.it</v>
      </c>
    </row>
    <row r="1412" spans="1:6" ht="16.95" customHeight="1" x14ac:dyDescent="0.25">
      <c r="A1412" s="5" t="s">
        <v>4508</v>
      </c>
      <c r="B1412" s="4" t="s">
        <v>4509</v>
      </c>
      <c r="C1412" s="4" t="s">
        <v>4475</v>
      </c>
      <c r="D1412" s="4" t="s">
        <v>4501</v>
      </c>
      <c r="E1412" s="4" t="s">
        <v>4467</v>
      </c>
      <c r="F1412" s="4" t="str">
        <f>HYPERLINK("http://peterflowers.it/","peterflowers.it")</f>
        <v>peterflowers.it</v>
      </c>
    </row>
    <row r="1413" spans="1:6" ht="16.95" customHeight="1" x14ac:dyDescent="0.25">
      <c r="A1413" s="5" t="s">
        <v>4517</v>
      </c>
      <c r="B1413" s="4" t="s">
        <v>4518</v>
      </c>
      <c r="C1413" s="4" t="s">
        <v>4510</v>
      </c>
      <c r="D1413" s="4" t="s">
        <v>4519</v>
      </c>
      <c r="E1413" s="4" t="s">
        <v>4520</v>
      </c>
      <c r="F1413" s="4" t="str">
        <f>HYPERLINK("http://www.fratellicucco.it/","www.fratellicucco.it")</f>
        <v>www.fratellicucco.it</v>
      </c>
    </row>
    <row r="1414" spans="1:6" ht="16.95" customHeight="1" x14ac:dyDescent="0.25">
      <c r="A1414" s="5" t="s">
        <v>4522</v>
      </c>
      <c r="B1414" s="4" t="s">
        <v>4523</v>
      </c>
      <c r="C1414" s="4" t="s">
        <v>4521</v>
      </c>
      <c r="D1414" s="4" t="s">
        <v>4524</v>
      </c>
      <c r="E1414" s="4" t="s">
        <v>4525</v>
      </c>
      <c r="F1414" s="4" t="str">
        <f>HYPERLINK("http://www.lip-srl.it/","www.lip-srl.it")</f>
        <v>www.lip-srl.it</v>
      </c>
    </row>
    <row r="1415" spans="1:6" ht="43.05" customHeight="1" x14ac:dyDescent="0.25">
      <c r="A1415" s="1" t="s">
        <v>4526</v>
      </c>
      <c r="B1415" s="6" t="s">
        <v>4527</v>
      </c>
      <c r="C1415" s="6" t="s">
        <v>4513</v>
      </c>
      <c r="D1415" s="6" t="s">
        <v>4528</v>
      </c>
      <c r="E1415" s="6" t="s">
        <v>4520</v>
      </c>
      <c r="F1415" s="6" t="str">
        <f>HYPERLINK("http://formulashoes.com/","formulashoes.com")</f>
        <v>formulashoes.com</v>
      </c>
    </row>
    <row r="1416" spans="1:6" ht="16.95" customHeight="1" x14ac:dyDescent="0.25">
      <c r="A1416" s="1" t="s">
        <v>4529</v>
      </c>
      <c r="B1416" s="6" t="s">
        <v>4530</v>
      </c>
      <c r="C1416" s="6" t="s">
        <v>4510</v>
      </c>
      <c r="D1416" s="6" t="s">
        <v>4528</v>
      </c>
      <c r="E1416" s="6" t="s">
        <v>4520</v>
      </c>
      <c r="F1416" s="6" t="str">
        <f>HYPERLINK("http://www.sandagroup.it/","http://www.sandagroup.it/")</f>
        <v>http://www.sandagroup.it/</v>
      </c>
    </row>
    <row r="1417" spans="1:6" ht="16.95" customHeight="1" x14ac:dyDescent="0.25">
      <c r="A1417" s="5" t="s">
        <v>4533</v>
      </c>
      <c r="B1417" s="4" t="s">
        <v>4534</v>
      </c>
      <c r="C1417" s="4" t="s">
        <v>4514</v>
      </c>
      <c r="D1417" s="4" t="s">
        <v>4531</v>
      </c>
      <c r="E1417" s="4" t="s">
        <v>4532</v>
      </c>
      <c r="F1417" s="4" t="str">
        <f>HYPERLINK("http://www.robertagandolfi.com/","www.robertagandolfi.com")</f>
        <v>www.robertagandolfi.com</v>
      </c>
    </row>
    <row r="1418" spans="1:6" ht="29.55" customHeight="1" x14ac:dyDescent="0.25">
      <c r="A1418" s="5" t="s">
        <v>4535</v>
      </c>
      <c r="B1418" s="4" t="s">
        <v>4536</v>
      </c>
      <c r="C1418" s="4" t="s">
        <v>4514</v>
      </c>
      <c r="D1418" s="4" t="s">
        <v>4515</v>
      </c>
      <c r="E1418" s="4" t="s">
        <v>4516</v>
      </c>
      <c r="F1418" s="4" t="str">
        <f>HYPERLINK("http://www.partenope.it/","www.partenope.it")</f>
        <v>www.partenope.it</v>
      </c>
    </row>
    <row r="1419" spans="1:6" ht="29.55" customHeight="1" x14ac:dyDescent="0.25">
      <c r="A1419" s="1" t="s">
        <v>4537</v>
      </c>
      <c r="B1419" s="6" t="s">
        <v>4538</v>
      </c>
      <c r="C1419" s="6" t="s">
        <v>4514</v>
      </c>
      <c r="D1419" s="6" t="s">
        <v>4539</v>
      </c>
      <c r="E1419" s="6" t="s">
        <v>4532</v>
      </c>
      <c r="F1419" s="6" t="str">
        <f>HYPERLINK("http://www.jessycinturificio.it/","www.jessycinturificio.it")</f>
        <v>www.jessycinturificio.it</v>
      </c>
    </row>
    <row r="1420" spans="1:6" ht="43.05" customHeight="1" x14ac:dyDescent="0.25">
      <c r="A1420" s="5" t="s">
        <v>4540</v>
      </c>
      <c r="B1420" s="4" t="s">
        <v>4541</v>
      </c>
      <c r="C1420" s="4" t="s">
        <v>4513</v>
      </c>
      <c r="D1420" s="4" t="s">
        <v>4528</v>
      </c>
      <c r="E1420" s="4" t="s">
        <v>4520</v>
      </c>
      <c r="F1420" s="4" t="str">
        <f>HYPERLINK("http://newswing.it/","newswing.it")</f>
        <v>newswing.it</v>
      </c>
    </row>
    <row r="1421" spans="1:6" ht="16.95" customHeight="1" x14ac:dyDescent="0.25">
      <c r="A1421" s="5" t="s">
        <v>4542</v>
      </c>
      <c r="B1421" s="4" t="s">
        <v>4543</v>
      </c>
      <c r="C1421" s="4" t="s">
        <v>4510</v>
      </c>
      <c r="D1421" s="4" t="s">
        <v>4511</v>
      </c>
      <c r="E1421" s="4" t="s">
        <v>4512</v>
      </c>
      <c r="F1421" s="4" t="str">
        <f>HYPERLINK("http://www.tagliopellirimar.com/","www.tagliopellirimar.com")</f>
        <v>www.tagliopellirimar.com</v>
      </c>
    </row>
    <row r="1422" spans="1:6" ht="16.95" customHeight="1" x14ac:dyDescent="0.25">
      <c r="A1422" s="1" t="s">
        <v>4548</v>
      </c>
      <c r="B1422" s="6" t="s">
        <v>4549</v>
      </c>
      <c r="C1422" s="6" t="s">
        <v>4547</v>
      </c>
      <c r="D1422" s="6" t="s">
        <v>4550</v>
      </c>
      <c r="E1422" s="6" t="s">
        <v>4551</v>
      </c>
      <c r="F1422" s="6" t="str">
        <f>HYPERLINK("http://www.ortopediakasucci.it/","www.ortopediakasucci.it")</f>
        <v>www.ortopediakasucci.it</v>
      </c>
    </row>
    <row r="1423" spans="1:6" ht="16.95" customHeight="1" x14ac:dyDescent="0.25">
      <c r="A1423" s="5" t="s">
        <v>4552</v>
      </c>
      <c r="B1423" s="4" t="s">
        <v>4553</v>
      </c>
      <c r="C1423" s="4" t="s">
        <v>4544</v>
      </c>
      <c r="D1423" s="4" t="s">
        <v>4545</v>
      </c>
      <c r="E1423" s="4" t="s">
        <v>4546</v>
      </c>
      <c r="F1423" s="4" t="str">
        <f>HYPERLINK("http://anaconda.it/","anaconda.it/")</f>
        <v>anaconda.it/</v>
      </c>
    </row>
    <row r="1424" spans="1:6" ht="16.95" customHeight="1" x14ac:dyDescent="0.25">
      <c r="A1424" s="5" t="s">
        <v>4556</v>
      </c>
      <c r="B1424" s="4" t="s">
        <v>4557</v>
      </c>
      <c r="C1424" s="4" t="s">
        <v>4547</v>
      </c>
      <c r="D1424" s="4" t="s">
        <v>4558</v>
      </c>
      <c r="E1424" s="4" t="s">
        <v>4559</v>
      </c>
      <c r="F1424" s="4" t="str">
        <f>HYPERLINK("http://www.marenz.it/","www.marenz.it")</f>
        <v>www.marenz.it</v>
      </c>
    </row>
    <row r="1425" spans="1:6" ht="16.95" customHeight="1" x14ac:dyDescent="0.25">
      <c r="A1425" s="5" t="s">
        <v>4560</v>
      </c>
      <c r="B1425" s="4" t="s">
        <v>4561</v>
      </c>
      <c r="C1425" s="4" t="s">
        <v>4547</v>
      </c>
      <c r="D1425" s="4" t="s">
        <v>4562</v>
      </c>
      <c r="E1425" s="4" t="s">
        <v>4555</v>
      </c>
      <c r="F1425" s="4" t="str">
        <f>HYPERLINK("http://lea-gu.com/","lea-gu.com")</f>
        <v>lea-gu.com</v>
      </c>
    </row>
    <row r="1426" spans="1:6" ht="29.55" customHeight="1" x14ac:dyDescent="0.25">
      <c r="A1426" s="1" t="s">
        <v>4563</v>
      </c>
      <c r="B1426" s="6" t="s">
        <v>4564</v>
      </c>
      <c r="C1426" s="6" t="s">
        <v>4547</v>
      </c>
      <c r="D1426" s="6" t="s">
        <v>4565</v>
      </c>
      <c r="E1426" s="6" t="s">
        <v>4546</v>
      </c>
      <c r="F1426" s="6" t="str">
        <f>HYPERLINK("http://www.rugiati.com/","www.rugiati.com")</f>
        <v>www.rugiati.com</v>
      </c>
    </row>
    <row r="1427" spans="1:6" ht="16.95" customHeight="1" x14ac:dyDescent="0.25">
      <c r="A1427" s="1" t="s">
        <v>4566</v>
      </c>
      <c r="B1427" s="6" t="s">
        <v>4567</v>
      </c>
      <c r="C1427" s="6" t="s">
        <v>4547</v>
      </c>
      <c r="D1427" s="6" t="s">
        <v>4565</v>
      </c>
      <c r="E1427" s="6" t="s">
        <v>4546</v>
      </c>
      <c r="F1427" s="6" t="str">
        <f>HYPERLINK("http://stefanobemer.com/","stefanobemer.com")</f>
        <v>stefanobemer.com</v>
      </c>
    </row>
    <row r="1428" spans="1:6" ht="16.95" customHeight="1" x14ac:dyDescent="0.25">
      <c r="A1428" s="5" t="s">
        <v>4568</v>
      </c>
      <c r="B1428" s="4" t="s">
        <v>4569</v>
      </c>
      <c r="C1428" s="4" t="s">
        <v>4547</v>
      </c>
      <c r="D1428" s="4" t="s">
        <v>4554</v>
      </c>
      <c r="E1428" s="4" t="s">
        <v>4555</v>
      </c>
      <c r="F1428" s="4" t="str">
        <f>HYPERLINK("http://www.tranceriaitalyshoes.it/","www.tranceriaitalyshoes.it")</f>
        <v>www.tranceriaitalyshoes.it</v>
      </c>
    </row>
    <row r="1429" spans="1:6" ht="16.95" customHeight="1" x14ac:dyDescent="0.25">
      <c r="A1429" s="5" t="s">
        <v>4570</v>
      </c>
      <c r="B1429" s="4" t="s">
        <v>4571</v>
      </c>
      <c r="C1429" s="4" t="s">
        <v>4547</v>
      </c>
      <c r="D1429" s="4" t="s">
        <v>4572</v>
      </c>
      <c r="E1429" s="4" t="s">
        <v>4573</v>
      </c>
      <c r="F1429" s="4" t="str">
        <f>HYPERLINK("http://www.francesco.it/","www.francesco.it")</f>
        <v>www.francesco.it</v>
      </c>
    </row>
    <row r="1430" spans="1:6" ht="16.95" customHeight="1" x14ac:dyDescent="0.25">
      <c r="A1430" s="5" t="s">
        <v>4574</v>
      </c>
      <c r="B1430" s="4" t="s">
        <v>4575</v>
      </c>
      <c r="C1430" s="4" t="s">
        <v>4547</v>
      </c>
      <c r="D1430" s="4" t="s">
        <v>4576</v>
      </c>
      <c r="E1430" s="4" t="s">
        <v>4555</v>
      </c>
      <c r="F1430" s="4" t="str">
        <f>HYPERLINK("http://www.perronecalzature.it/","www.perronecalzature.it")</f>
        <v>www.perronecalzature.it</v>
      </c>
    </row>
    <row r="1431" spans="1:6" ht="16.95" customHeight="1" x14ac:dyDescent="0.25">
      <c r="A1431" s="1" t="s">
        <v>4577</v>
      </c>
      <c r="B1431" s="6" t="s">
        <v>4578</v>
      </c>
      <c r="C1431" s="6" t="s">
        <v>4579</v>
      </c>
      <c r="D1431" s="6" t="s">
        <v>4580</v>
      </c>
      <c r="E1431" s="6" t="s">
        <v>4581</v>
      </c>
      <c r="F1431" s="6" t="str">
        <f>HYPERLINK("http://www.cesarebaroli.it/","www.cesarebaroli.it")</f>
        <v>www.cesarebaroli.it</v>
      </c>
    </row>
    <row r="1432" spans="1:6" ht="16.95" customHeight="1" x14ac:dyDescent="0.25">
      <c r="A1432" s="5" t="s">
        <v>4585</v>
      </c>
      <c r="B1432" s="4" t="s">
        <v>4586</v>
      </c>
      <c r="C1432" s="4" t="s">
        <v>4587</v>
      </c>
      <c r="D1432" s="4" t="s">
        <v>4588</v>
      </c>
      <c r="E1432" s="4" t="s">
        <v>4589</v>
      </c>
      <c r="F1432" s="4" t="str">
        <f>HYPERLINK("http://www.suolificiogalmsrl.it/","www.suolificiogalmsrl.it")</f>
        <v>www.suolificiogalmsrl.it</v>
      </c>
    </row>
    <row r="1433" spans="1:6" ht="16.95" customHeight="1" x14ac:dyDescent="0.25">
      <c r="A1433" s="1" t="s">
        <v>4590</v>
      </c>
      <c r="B1433" s="6" t="s">
        <v>4591</v>
      </c>
      <c r="C1433" s="6" t="s">
        <v>4579</v>
      </c>
      <c r="D1433" s="6" t="s">
        <v>4588</v>
      </c>
      <c r="E1433" s="6" t="s">
        <v>4589</v>
      </c>
      <c r="F1433" s="6" t="str">
        <f>HYPERLINK("http://www.acciarrinazzareno.it/","www.acciarrinazzareno.it")</f>
        <v>www.acciarrinazzareno.it</v>
      </c>
    </row>
    <row r="1434" spans="1:6" ht="16.95" customHeight="1" x14ac:dyDescent="0.25">
      <c r="A1434" s="1" t="s">
        <v>4594</v>
      </c>
      <c r="B1434" s="6" t="s">
        <v>4595</v>
      </c>
      <c r="C1434" s="6" t="s">
        <v>4596</v>
      </c>
      <c r="D1434" s="6" t="s">
        <v>4597</v>
      </c>
      <c r="E1434" s="6" t="s">
        <v>4598</v>
      </c>
      <c r="F1434" s="6" t="str">
        <f>HYPERLINK("http://www.gallipelletterie.it/","www.gallipelletterie.it")</f>
        <v>www.gallipelletterie.it</v>
      </c>
    </row>
    <row r="1435" spans="1:6" ht="16.95" customHeight="1" x14ac:dyDescent="0.25">
      <c r="A1435" s="5" t="s">
        <v>4599</v>
      </c>
      <c r="B1435" s="4" t="s">
        <v>4600</v>
      </c>
      <c r="C1435" s="4" t="s">
        <v>4596</v>
      </c>
      <c r="D1435" s="4" t="s">
        <v>4601</v>
      </c>
      <c r="E1435" s="4" t="s">
        <v>4593</v>
      </c>
      <c r="F1435" s="4" t="str">
        <f>HYPERLINK("http://www.rossidavinci.it/","www.rossidavinci.it")</f>
        <v>www.rossidavinci.it</v>
      </c>
    </row>
    <row r="1436" spans="1:6" ht="29.55" customHeight="1" x14ac:dyDescent="0.25">
      <c r="A1436" s="5" t="s">
        <v>4602</v>
      </c>
      <c r="B1436" s="4" t="s">
        <v>4603</v>
      </c>
      <c r="C1436" s="4" t="s">
        <v>4584</v>
      </c>
      <c r="D1436" s="4" t="s">
        <v>4604</v>
      </c>
      <c r="E1436" s="4" t="s">
        <v>4581</v>
      </c>
      <c r="F1436" s="4" t="str">
        <f>HYPERLINK("http://www.conceriapieroni.com/","www.conceriapieroni.com")</f>
        <v>www.conceriapieroni.com</v>
      </c>
    </row>
    <row r="1437" spans="1:6" ht="16.95" customHeight="1" x14ac:dyDescent="0.25">
      <c r="A1437" s="5" t="s">
        <v>4605</v>
      </c>
      <c r="B1437" s="4" t="s">
        <v>4606</v>
      </c>
      <c r="C1437" s="4" t="s">
        <v>4587</v>
      </c>
      <c r="D1437" s="4" t="s">
        <v>4607</v>
      </c>
      <c r="E1437" s="4" t="s">
        <v>4608</v>
      </c>
      <c r="F1437" s="4" t="str">
        <f>HYPERLINK("http://www.corkline.net/","www.corkline.net")</f>
        <v>www.corkline.net</v>
      </c>
    </row>
    <row r="1438" spans="1:6" ht="16.95" customHeight="1" x14ac:dyDescent="0.25">
      <c r="A1438" s="1" t="s">
        <v>4609</v>
      </c>
      <c r="B1438" s="6" t="s">
        <v>4610</v>
      </c>
      <c r="C1438" s="6" t="s">
        <v>4584</v>
      </c>
      <c r="D1438" s="6" t="s">
        <v>4611</v>
      </c>
      <c r="E1438" s="6" t="s">
        <v>4583</v>
      </c>
      <c r="F1438" s="6" t="str">
        <f>HYPERLINK("http://euronarpell.com/","euronarpell.com")</f>
        <v>euronarpell.com</v>
      </c>
    </row>
    <row r="1439" spans="1:6" ht="16.95" customHeight="1" x14ac:dyDescent="0.25">
      <c r="A1439" s="5" t="s">
        <v>4612</v>
      </c>
      <c r="B1439" s="4" t="s">
        <v>4613</v>
      </c>
      <c r="C1439" s="4" t="s">
        <v>4582</v>
      </c>
      <c r="D1439" s="4" t="s">
        <v>4614</v>
      </c>
      <c r="E1439" s="4" t="s">
        <v>4583</v>
      </c>
      <c r="F1439" s="4" t="str">
        <f>HYPERLINK("http://www.piheritalia.it/","www.piheritalia.it")</f>
        <v>www.piheritalia.it</v>
      </c>
    </row>
    <row r="1440" spans="1:6" ht="16.95" customHeight="1" x14ac:dyDescent="0.25">
      <c r="A1440" s="1" t="s">
        <v>4615</v>
      </c>
      <c r="B1440" s="6" t="s">
        <v>4616</v>
      </c>
      <c r="C1440" s="6" t="s">
        <v>4582</v>
      </c>
      <c r="D1440" s="6" t="s">
        <v>4592</v>
      </c>
      <c r="E1440" s="6" t="s">
        <v>4593</v>
      </c>
      <c r="F1440" s="6" t="str">
        <f>HYPERLINK("http://www.carastyle.it/","www.carastyle.it")</f>
        <v>www.carastyle.it</v>
      </c>
    </row>
    <row r="1441" spans="1:6" ht="16.95" customHeight="1" x14ac:dyDescent="0.25">
      <c r="A1441" s="5" t="s">
        <v>4617</v>
      </c>
      <c r="B1441" s="4" t="s">
        <v>4618</v>
      </c>
      <c r="C1441" s="4" t="s">
        <v>4579</v>
      </c>
      <c r="D1441" s="4" t="s">
        <v>4619</v>
      </c>
      <c r="E1441" s="4" t="s">
        <v>4589</v>
      </c>
      <c r="F1441" s="4" t="str">
        <f>HYPERLINK("http://www.bottega23.it/","www.bottega23.it")</f>
        <v>www.bottega23.it</v>
      </c>
    </row>
    <row r="1442" spans="1:6" ht="16.95" customHeight="1" x14ac:dyDescent="0.25">
      <c r="A1442" s="1" t="s">
        <v>4620</v>
      </c>
      <c r="B1442" s="6" t="s">
        <v>4621</v>
      </c>
      <c r="C1442" s="6" t="s">
        <v>4622</v>
      </c>
      <c r="D1442" s="6" t="s">
        <v>4623</v>
      </c>
      <c r="E1442" s="6" t="s">
        <v>4624</v>
      </c>
      <c r="F1442" s="6" t="str">
        <f>HYPERLINK("http://www.lathuilecalzature.it/","www.lathuilecalzature.it")</f>
        <v>www.lathuilecalzature.it</v>
      </c>
    </row>
    <row r="1443" spans="1:6" ht="16.95" customHeight="1" x14ac:dyDescent="0.25">
      <c r="A1443" s="5" t="s">
        <v>4631</v>
      </c>
      <c r="B1443" s="4" t="s">
        <v>4632</v>
      </c>
      <c r="C1443" s="4" t="s">
        <v>4625</v>
      </c>
      <c r="D1443" s="4" t="s">
        <v>4633</v>
      </c>
      <c r="E1443" s="4" t="s">
        <v>4627</v>
      </c>
      <c r="F1443" s="4" t="str">
        <f>HYPERLINK("http://www.duepax.com/","www.duepax.com")</f>
        <v>www.duepax.com</v>
      </c>
    </row>
    <row r="1444" spans="1:6" ht="29.55" customHeight="1" x14ac:dyDescent="0.25">
      <c r="A1444" s="1" t="s">
        <v>4634</v>
      </c>
      <c r="B1444" s="6" t="s">
        <v>4635</v>
      </c>
      <c r="C1444" s="6" t="s">
        <v>4630</v>
      </c>
      <c r="D1444" s="6" t="s">
        <v>4626</v>
      </c>
      <c r="E1444" s="6" t="s">
        <v>4627</v>
      </c>
      <c r="F1444" s="6" t="str">
        <f>HYPERLINK("http://www.solettificioguerrieri.com/","www.solettificioguerrieri.com")</f>
        <v>www.solettificioguerrieri.com</v>
      </c>
    </row>
    <row r="1445" spans="1:6" ht="16.95" customHeight="1" x14ac:dyDescent="0.25">
      <c r="A1445" s="1" t="s">
        <v>4636</v>
      </c>
      <c r="B1445" s="6" t="s">
        <v>4637</v>
      </c>
      <c r="C1445" s="6" t="s">
        <v>4625</v>
      </c>
      <c r="D1445" s="6" t="s">
        <v>4628</v>
      </c>
      <c r="E1445" s="6" t="s">
        <v>4629</v>
      </c>
      <c r="F1445" s="6" t="str">
        <f>HYPERLINK("http://www.carlosalvatelli.com/","www.carlosalvatelli.com")</f>
        <v>www.carlosalvatelli.com</v>
      </c>
    </row>
    <row r="1446" spans="1:6" ht="16.95" customHeight="1" x14ac:dyDescent="0.25">
      <c r="A1446" s="1" t="s">
        <v>4638</v>
      </c>
      <c r="B1446" s="6" t="s">
        <v>4639</v>
      </c>
      <c r="C1446" s="6" t="s">
        <v>4625</v>
      </c>
      <c r="D1446" s="6" t="s">
        <v>4626</v>
      </c>
      <c r="E1446" s="6" t="s">
        <v>4627</v>
      </c>
      <c r="F1446" s="6" t="str">
        <f>HYPERLINK("http://www.re-artu.it/","www.re-artu.it")</f>
        <v>www.re-artu.it</v>
      </c>
    </row>
    <row r="1447" spans="1:6" ht="29.55" customHeight="1" x14ac:dyDescent="0.25">
      <c r="A1447" s="1" t="s">
        <v>4645</v>
      </c>
      <c r="B1447" s="6" t="s">
        <v>4646</v>
      </c>
      <c r="C1447" s="6" t="s">
        <v>4647</v>
      </c>
      <c r="D1447" s="6" t="s">
        <v>4648</v>
      </c>
      <c r="E1447" s="6" t="s">
        <v>4649</v>
      </c>
      <c r="F1447" s="6" t="str">
        <f>HYPERLINK("http://nicam.it/","nicam.it")</f>
        <v>nicam.it</v>
      </c>
    </row>
    <row r="1448" spans="1:6" ht="43.05" customHeight="1" x14ac:dyDescent="0.25">
      <c r="A1448" s="5" t="s">
        <v>4650</v>
      </c>
      <c r="B1448" s="4" t="s">
        <v>4651</v>
      </c>
      <c r="C1448" s="4" t="s">
        <v>4647</v>
      </c>
      <c r="D1448" s="4" t="s">
        <v>4652</v>
      </c>
      <c r="E1448" s="4" t="s">
        <v>4649</v>
      </c>
      <c r="F1448" s="4" t="str">
        <f>HYPERLINK("http://www.lesalentine.eu/","www.lesalentine.eu")</f>
        <v>www.lesalentine.eu</v>
      </c>
    </row>
    <row r="1449" spans="1:6" ht="16.95" customHeight="1" x14ac:dyDescent="0.25">
      <c r="A1449" s="1" t="s">
        <v>4653</v>
      </c>
      <c r="B1449" s="6" t="s">
        <v>4654</v>
      </c>
      <c r="C1449" s="6" t="s">
        <v>4647</v>
      </c>
      <c r="D1449" s="6" t="s">
        <v>4643</v>
      </c>
      <c r="E1449" s="6" t="s">
        <v>4642</v>
      </c>
      <c r="F1449" s="6" t="str">
        <f>HYPERLINK("http://shop.lidmag.it/","shop.lidmag.it")</f>
        <v>shop.lidmag.it</v>
      </c>
    </row>
    <row r="1450" spans="1:6" ht="16.95" customHeight="1" x14ac:dyDescent="0.25">
      <c r="A1450" s="5" t="s">
        <v>4656</v>
      </c>
      <c r="B1450" s="4" t="s">
        <v>4657</v>
      </c>
      <c r="C1450" s="4" t="s">
        <v>4640</v>
      </c>
      <c r="D1450" s="4" t="s">
        <v>4643</v>
      </c>
      <c r="E1450" s="4" t="s">
        <v>4642</v>
      </c>
      <c r="F1450" s="4" t="str">
        <f>HYPERLINK("http://www.cinturificiogian.it/","www.cinturificiogian.it")</f>
        <v>www.cinturificiogian.it</v>
      </c>
    </row>
    <row r="1451" spans="1:6" ht="16.95" customHeight="1" x14ac:dyDescent="0.25">
      <c r="A1451" s="1" t="s">
        <v>4658</v>
      </c>
      <c r="B1451" s="6" t="s">
        <v>4659</v>
      </c>
      <c r="C1451" s="6" t="s">
        <v>4640</v>
      </c>
      <c r="D1451" s="6" t="s">
        <v>4660</v>
      </c>
      <c r="E1451" s="6" t="s">
        <v>4661</v>
      </c>
      <c r="F1451" s="6" t="str">
        <f>HYPERLINK("http://www.rbdiffusionemoda.it/","www.rbdiffusionemoda.it")</f>
        <v>www.rbdiffusionemoda.it</v>
      </c>
    </row>
    <row r="1452" spans="1:6" ht="16.95" customHeight="1" x14ac:dyDescent="0.25">
      <c r="A1452" s="5" t="s">
        <v>4662</v>
      </c>
      <c r="B1452" s="4" t="s">
        <v>4663</v>
      </c>
      <c r="C1452" s="4" t="s">
        <v>4641</v>
      </c>
      <c r="D1452" s="4" t="s">
        <v>4664</v>
      </c>
      <c r="E1452" s="4" t="s">
        <v>4665</v>
      </c>
      <c r="F1452" s="4" t="str">
        <f>HYPERLINK("http://www.marraffamarcosrl.it/","www.marraffamarcosrl.it")</f>
        <v>www.marraffamarcosrl.it</v>
      </c>
    </row>
    <row r="1453" spans="1:6" ht="29.55" customHeight="1" x14ac:dyDescent="0.25">
      <c r="A1453" s="1" t="s">
        <v>4666</v>
      </c>
      <c r="B1453" s="6" t="s">
        <v>4667</v>
      </c>
      <c r="C1453" s="6" t="s">
        <v>4640</v>
      </c>
      <c r="D1453" s="6" t="s">
        <v>4668</v>
      </c>
      <c r="E1453" s="6" t="s">
        <v>4669</v>
      </c>
      <c r="F1453" s="6" t="str">
        <f>HYPERLINK("http://shop.daripel.com/","shop.daripel.com")</f>
        <v>shop.daripel.com</v>
      </c>
    </row>
    <row r="1454" spans="1:6" ht="16.95" customHeight="1" x14ac:dyDescent="0.25">
      <c r="A1454" s="1" t="s">
        <v>4671</v>
      </c>
      <c r="B1454" s="6" t="s">
        <v>4672</v>
      </c>
      <c r="C1454" s="6" t="s">
        <v>4641</v>
      </c>
      <c r="D1454" s="6" t="s">
        <v>4643</v>
      </c>
      <c r="E1454" s="6" t="s">
        <v>4642</v>
      </c>
      <c r="F1454" s="6" t="str">
        <f>HYPERLINK("http://www.lillio.it/","www.lillio.it")</f>
        <v>www.lillio.it</v>
      </c>
    </row>
    <row r="1455" spans="1:6" ht="16.95" customHeight="1" x14ac:dyDescent="0.25">
      <c r="A1455" s="5" t="s">
        <v>4673</v>
      </c>
      <c r="B1455" s="4" t="s">
        <v>4674</v>
      </c>
      <c r="C1455" s="4" t="s">
        <v>4644</v>
      </c>
      <c r="D1455" s="4" t="s">
        <v>4675</v>
      </c>
      <c r="E1455" s="4" t="s">
        <v>4655</v>
      </c>
      <c r="F1455" s="4" t="str">
        <f>HYPERLINK("http://www.modapelsnc.it/","www.modapelsnc.it")</f>
        <v>www.modapelsnc.it</v>
      </c>
    </row>
    <row r="1456" spans="1:6" ht="16.95" customHeight="1" x14ac:dyDescent="0.25">
      <c r="A1456" s="1" t="s">
        <v>4676</v>
      </c>
      <c r="B1456" s="6" t="s">
        <v>4677</v>
      </c>
      <c r="C1456" s="6" t="s">
        <v>4678</v>
      </c>
      <c r="D1456" s="6" t="s">
        <v>4679</v>
      </c>
      <c r="E1456" s="6" t="s">
        <v>4680</v>
      </c>
      <c r="F1456" s="6" t="str">
        <f>HYPERLINK("http://www.lafabriquemaison.com/","www.lafabriquemaison.com")</f>
        <v>www.lafabriquemaison.com</v>
      </c>
    </row>
    <row r="1457" spans="1:6" ht="16.95" customHeight="1" x14ac:dyDescent="0.25">
      <c r="A1457" s="1" t="s">
        <v>4681</v>
      </c>
      <c r="B1457" s="6" t="s">
        <v>4682</v>
      </c>
      <c r="C1457" s="6" t="s">
        <v>4647</v>
      </c>
      <c r="D1457" s="6" t="s">
        <v>4683</v>
      </c>
      <c r="E1457" s="6" t="s">
        <v>4670</v>
      </c>
      <c r="F1457" s="6" t="str">
        <f>HYPERLINK("http://www.destrosrl.com/","www.destrosrl.com")</f>
        <v>www.destrosrl.com</v>
      </c>
    </row>
    <row r="1458" spans="1:6" ht="16.95" customHeight="1" x14ac:dyDescent="0.25">
      <c r="A1458" s="5" t="s">
        <v>4684</v>
      </c>
      <c r="B1458" s="4" t="s">
        <v>4685</v>
      </c>
      <c r="C1458" s="4" t="s">
        <v>4647</v>
      </c>
      <c r="D1458" s="4" t="s">
        <v>4686</v>
      </c>
      <c r="E1458" s="4" t="s">
        <v>4687</v>
      </c>
      <c r="F1458" s="4" t="str">
        <f>HYPERLINK("http://www.ortopedialocci.it/","www.ortopedialocci.it")</f>
        <v>www.ortopedialocci.it</v>
      </c>
    </row>
    <row r="1459" spans="1:6" ht="16.95" customHeight="1" x14ac:dyDescent="0.25">
      <c r="A1459" s="1" t="s">
        <v>4693</v>
      </c>
      <c r="B1459" s="6" t="s">
        <v>4694</v>
      </c>
      <c r="C1459" s="6" t="s">
        <v>4688</v>
      </c>
      <c r="D1459" s="6" t="s">
        <v>4695</v>
      </c>
      <c r="E1459" s="6" t="s">
        <v>4696</v>
      </c>
      <c r="F1459" s="6" t="str">
        <f>HYPERLINK("http://www.weballerina.it/","www.weballerina.it")</f>
        <v>www.weballerina.it</v>
      </c>
    </row>
    <row r="1460" spans="1:6" ht="16.95" customHeight="1" x14ac:dyDescent="0.25">
      <c r="A1460" s="1" t="s">
        <v>4699</v>
      </c>
      <c r="B1460" s="6" t="s">
        <v>4700</v>
      </c>
      <c r="C1460" s="6" t="s">
        <v>4691</v>
      </c>
      <c r="D1460" s="6" t="s">
        <v>4701</v>
      </c>
      <c r="E1460" s="6" t="s">
        <v>4692</v>
      </c>
      <c r="F1460" s="6" t="str">
        <f>HYPERLINK("http://www.marianosrl.it/","www.marianosrl.it")</f>
        <v>www.marianosrl.it</v>
      </c>
    </row>
    <row r="1461" spans="1:6" ht="16.95" customHeight="1" x14ac:dyDescent="0.25">
      <c r="A1461" s="5" t="s">
        <v>4702</v>
      </c>
      <c r="B1461" s="4" t="s">
        <v>4703</v>
      </c>
      <c r="C1461" s="4" t="s">
        <v>4704</v>
      </c>
      <c r="D1461" s="4" t="s">
        <v>4705</v>
      </c>
      <c r="E1461" s="4" t="s">
        <v>4696</v>
      </c>
      <c r="F1461" s="4" t="str">
        <f>HYPERLINK("http://www.faustocolato.it/","www.faustocolato.it")</f>
        <v>www.faustocolato.it</v>
      </c>
    </row>
    <row r="1462" spans="1:6" ht="29.55" customHeight="1" x14ac:dyDescent="0.25">
      <c r="A1462" s="1" t="s">
        <v>4706</v>
      </c>
      <c r="B1462" s="6" t="s">
        <v>4707</v>
      </c>
      <c r="C1462" s="6" t="s">
        <v>4688</v>
      </c>
      <c r="D1462" s="6" t="s">
        <v>4689</v>
      </c>
      <c r="E1462" s="6" t="s">
        <v>4690</v>
      </c>
      <c r="F1462" s="6" t="str">
        <f>HYPERLINK("http://www.violafonti.it/","www.violafonti.it")</f>
        <v>www.violafonti.it</v>
      </c>
    </row>
    <row r="1463" spans="1:6" ht="16.95" customHeight="1" x14ac:dyDescent="0.25">
      <c r="A1463" s="5" t="s">
        <v>4708</v>
      </c>
      <c r="B1463" s="4" t="s">
        <v>4709</v>
      </c>
      <c r="C1463" s="4" t="s">
        <v>4691</v>
      </c>
      <c r="D1463" s="4" t="s">
        <v>4689</v>
      </c>
      <c r="E1463" s="4" t="s">
        <v>4690</v>
      </c>
      <c r="F1463" s="4" t="str">
        <f>HYPERLINK("http://www.solettificiomarco.it/","www.solettificiomarco.it")</f>
        <v>www.solettificiomarco.it</v>
      </c>
    </row>
    <row r="1464" spans="1:6" ht="16.95" customHeight="1" x14ac:dyDescent="0.25">
      <c r="A1464" s="1" t="s">
        <v>4710</v>
      </c>
      <c r="B1464" s="6" t="s">
        <v>4711</v>
      </c>
      <c r="C1464" s="6" t="s">
        <v>4697</v>
      </c>
      <c r="D1464" s="6" t="s">
        <v>4712</v>
      </c>
      <c r="E1464" s="6" t="s">
        <v>4713</v>
      </c>
      <c r="F1464" s="6" t="str">
        <f>HYPERLINK("http://www.scamosceriacuneese.it/","www.scamosceriacuneese.it")</f>
        <v>www.scamosceriacuneese.it</v>
      </c>
    </row>
    <row r="1465" spans="1:6" ht="16.95" customHeight="1" x14ac:dyDescent="0.25">
      <c r="A1465" s="1" t="s">
        <v>4714</v>
      </c>
      <c r="B1465" s="6" t="s">
        <v>4715</v>
      </c>
      <c r="C1465" s="6" t="s">
        <v>4688</v>
      </c>
      <c r="D1465" s="6" t="s">
        <v>4716</v>
      </c>
      <c r="E1465" s="6" t="s">
        <v>4698</v>
      </c>
      <c r="F1465" s="6" t="str">
        <f>HYPERLINK("http://www.carrarovenezia.com/","www.carrarovenezia.com")</f>
        <v>www.carrarovenezia.com</v>
      </c>
    </row>
    <row r="1466" spans="1:6" ht="16.95" customHeight="1" x14ac:dyDescent="0.25">
      <c r="A1466" s="1" t="s">
        <v>4717</v>
      </c>
      <c r="B1466" s="6" t="s">
        <v>4718</v>
      </c>
      <c r="C1466" s="6" t="s">
        <v>4719</v>
      </c>
      <c r="D1466" s="6" t="s">
        <v>4720</v>
      </c>
      <c r="E1466" s="6" t="s">
        <v>4721</v>
      </c>
      <c r="F1466" s="6" t="str">
        <f>HYPERLINK("http://www.maratac.it/","www.maratac.it")</f>
        <v>www.maratac.it</v>
      </c>
    </row>
    <row r="1467" spans="1:6" ht="16.95" customHeight="1" x14ac:dyDescent="0.25">
      <c r="A1467" s="5" t="s">
        <v>4722</v>
      </c>
      <c r="B1467" s="4" t="s">
        <v>4723</v>
      </c>
      <c r="C1467" s="4" t="s">
        <v>4724</v>
      </c>
      <c r="D1467" s="4" t="s">
        <v>4725</v>
      </c>
      <c r="E1467" s="4" t="s">
        <v>4726</v>
      </c>
      <c r="F1467" s="4" t="str">
        <f>HYPERLINK("http://bombata.it/","bombata.it")</f>
        <v>bombata.it</v>
      </c>
    </row>
    <row r="1468" spans="1:6" ht="43.05" customHeight="1" x14ac:dyDescent="0.25">
      <c r="A1468" s="5" t="s">
        <v>4732</v>
      </c>
      <c r="B1468" s="4" t="s">
        <v>4733</v>
      </c>
      <c r="C1468" s="4" t="s">
        <v>4719</v>
      </c>
      <c r="D1468" s="4" t="s">
        <v>4720</v>
      </c>
      <c r="E1468" s="4" t="s">
        <v>4721</v>
      </c>
      <c r="F1468" s="4" t="str">
        <f>HYPERLINK("http://www.dmproject.net/","www.dmproject.net")</f>
        <v>www.dmproject.net</v>
      </c>
    </row>
    <row r="1469" spans="1:6" ht="29.55" customHeight="1" x14ac:dyDescent="0.25">
      <c r="A1469" s="5" t="s">
        <v>4735</v>
      </c>
      <c r="B1469" s="4" t="s">
        <v>4736</v>
      </c>
      <c r="C1469" s="4" t="s">
        <v>4731</v>
      </c>
      <c r="D1469" s="4" t="s">
        <v>4734</v>
      </c>
      <c r="E1469" s="4" t="s">
        <v>4726</v>
      </c>
      <c r="F1469" s="4" t="str">
        <f>HYPERLINK("http://www.calzaturificiopiacentino.it/","www.calzaturificiopiacentino.it")</f>
        <v>www.calzaturificiopiacentino.it</v>
      </c>
    </row>
    <row r="1470" spans="1:6" ht="16.95" customHeight="1" x14ac:dyDescent="0.25">
      <c r="A1470" s="1" t="s">
        <v>4737</v>
      </c>
      <c r="B1470" s="6" t="s">
        <v>4738</v>
      </c>
      <c r="C1470" s="6" t="s">
        <v>4731</v>
      </c>
      <c r="D1470" s="6" t="s">
        <v>4720</v>
      </c>
      <c r="E1470" s="6" t="s">
        <v>4721</v>
      </c>
      <c r="F1470" s="6" t="str">
        <f>HYPERLINK("http://www.scolaro1890.it/","http://www.scolaro1890.it")</f>
        <v>http://www.scolaro1890.it</v>
      </c>
    </row>
    <row r="1471" spans="1:6" ht="16.95" customHeight="1" x14ac:dyDescent="0.25">
      <c r="A1471" s="1" t="s">
        <v>4739</v>
      </c>
      <c r="B1471" s="6" t="s">
        <v>4740</v>
      </c>
      <c r="C1471" s="6" t="s">
        <v>4731</v>
      </c>
      <c r="D1471" s="6" t="s">
        <v>4741</v>
      </c>
      <c r="E1471" s="6" t="s">
        <v>4742</v>
      </c>
      <c r="F1471" s="6" t="str">
        <f>HYPERLINK("http://lenora.shoes/collections/outlet","lenora.shoes/collections/outlet")</f>
        <v>lenora.shoes/collections/outlet</v>
      </c>
    </row>
    <row r="1472" spans="1:6" ht="16.95" customHeight="1" x14ac:dyDescent="0.25">
      <c r="A1472" s="5" t="s">
        <v>4744</v>
      </c>
      <c r="B1472" s="4" t="s">
        <v>4745</v>
      </c>
      <c r="C1472" s="4" t="s">
        <v>4746</v>
      </c>
      <c r="D1472" s="4" t="s">
        <v>4743</v>
      </c>
      <c r="E1472" s="4" t="s">
        <v>4726</v>
      </c>
      <c r="F1472" s="4" t="str">
        <f>HYPERLINK("http://www.guardolificio.eu/","www.guardolificio.eu")</f>
        <v>www.guardolificio.eu</v>
      </c>
    </row>
    <row r="1473" spans="1:6" ht="16.95" customHeight="1" x14ac:dyDescent="0.25">
      <c r="A1473" s="5" t="s">
        <v>4747</v>
      </c>
      <c r="B1473" s="4" t="s">
        <v>4748</v>
      </c>
      <c r="C1473" s="4" t="s">
        <v>4731</v>
      </c>
      <c r="D1473" s="4" t="s">
        <v>4727</v>
      </c>
      <c r="E1473" s="4" t="s">
        <v>4728</v>
      </c>
      <c r="F1473" s="4" t="str">
        <f>HYPERLINK("http://www.paoul.com/","www.paoul.com")</f>
        <v>www.paoul.com</v>
      </c>
    </row>
    <row r="1474" spans="1:6" ht="16.95" customHeight="1" x14ac:dyDescent="0.25">
      <c r="A1474" s="1" t="s">
        <v>4749</v>
      </c>
      <c r="B1474" s="6" t="s">
        <v>4750</v>
      </c>
      <c r="C1474" s="6" t="s">
        <v>4729</v>
      </c>
      <c r="D1474" s="6" t="s">
        <v>4730</v>
      </c>
      <c r="E1474" s="6" t="s">
        <v>4728</v>
      </c>
      <c r="F1474" s="6" t="str">
        <f>HYPERLINK("http://www.margisrl.mobi/","www.margisrl.mobi")</f>
        <v>www.margisrl.mobi</v>
      </c>
    </row>
    <row r="1475" spans="1:6" ht="29.55" customHeight="1" x14ac:dyDescent="0.25">
      <c r="A1475" s="5" t="s">
        <v>4751</v>
      </c>
      <c r="B1475" s="4" t="s">
        <v>4752</v>
      </c>
      <c r="C1475" s="4" t="s">
        <v>4724</v>
      </c>
      <c r="D1475" s="4" t="s">
        <v>4730</v>
      </c>
      <c r="E1475" s="4" t="s">
        <v>4728</v>
      </c>
      <c r="F1475" s="4" t="str">
        <f>HYPERLINK("http://amabilia.it/","amabilia.it")</f>
        <v>amabilia.it</v>
      </c>
    </row>
    <row r="1476" spans="1:6" ht="16.95" customHeight="1" x14ac:dyDescent="0.25">
      <c r="A1476" s="5" t="s">
        <v>4756</v>
      </c>
      <c r="B1476" s="4" t="s">
        <v>4757</v>
      </c>
      <c r="C1476" s="4" t="s">
        <v>4758</v>
      </c>
      <c r="D1476" s="4" t="s">
        <v>4759</v>
      </c>
      <c r="E1476" s="4" t="s">
        <v>4760</v>
      </c>
      <c r="F1476" s="4" t="str">
        <f>HYPERLINK("http://www.itakasrl.com/","www.itakasrl.com")</f>
        <v>www.itakasrl.com</v>
      </c>
    </row>
    <row r="1477" spans="1:6" ht="16.95" customHeight="1" x14ac:dyDescent="0.25">
      <c r="A1477" s="1" t="s">
        <v>4761</v>
      </c>
      <c r="B1477" s="6" t="s">
        <v>4762</v>
      </c>
      <c r="C1477" s="6" t="s">
        <v>4763</v>
      </c>
      <c r="D1477" s="6" t="s">
        <v>4764</v>
      </c>
      <c r="E1477" s="6" t="s">
        <v>4760</v>
      </c>
      <c r="F1477" s="6" t="str">
        <f>HYPERLINK("http://www.calzaturificiomepres.com/","www.calzaturificiomepres.com")</f>
        <v>www.calzaturificiomepres.com</v>
      </c>
    </row>
    <row r="1478" spans="1:6" ht="16.95" customHeight="1" x14ac:dyDescent="0.25">
      <c r="A1478" s="1" t="s">
        <v>4767</v>
      </c>
      <c r="B1478" s="6" t="s">
        <v>4768</v>
      </c>
      <c r="C1478" s="6" t="s">
        <v>4769</v>
      </c>
      <c r="D1478" s="6" t="s">
        <v>4770</v>
      </c>
      <c r="E1478" s="6" t="s">
        <v>4771</v>
      </c>
      <c r="F1478" s="6" t="str">
        <f>HYPERLINK("http://www.king.it/","www.king.it")</f>
        <v>www.king.it</v>
      </c>
    </row>
    <row r="1479" spans="1:6" ht="16.95" customHeight="1" x14ac:dyDescent="0.25">
      <c r="A1479" s="5" t="s">
        <v>4772</v>
      </c>
      <c r="B1479" s="4" t="s">
        <v>4773</v>
      </c>
      <c r="C1479" s="4" t="s">
        <v>4769</v>
      </c>
      <c r="D1479" s="4" t="s">
        <v>4770</v>
      </c>
      <c r="E1479" s="4" t="s">
        <v>4771</v>
      </c>
      <c r="F1479" s="4" t="str">
        <f>HYPERLINK("http://www.calzaturificioromitellishoes.com/","www.calzaturificioromitellishoes.com")</f>
        <v>www.calzaturificioromitellishoes.com</v>
      </c>
    </row>
    <row r="1480" spans="1:6" ht="16.95" customHeight="1" x14ac:dyDescent="0.25">
      <c r="A1480" s="1" t="s">
        <v>4774</v>
      </c>
      <c r="B1480" s="6" t="s">
        <v>4775</v>
      </c>
      <c r="C1480" s="6" t="s">
        <v>4758</v>
      </c>
      <c r="D1480" s="6" t="s">
        <v>4776</v>
      </c>
      <c r="E1480" s="6" t="s">
        <v>4755</v>
      </c>
      <c r="F1480" s="6" t="str">
        <f>HYPERLINK("http://www.traibecca.com/","www.traibecca.com")</f>
        <v>www.traibecca.com</v>
      </c>
    </row>
    <row r="1481" spans="1:6" ht="29.55" customHeight="1" x14ac:dyDescent="0.25">
      <c r="A1481" s="5" t="s">
        <v>4778</v>
      </c>
      <c r="B1481" s="4" t="s">
        <v>4779</v>
      </c>
      <c r="C1481" s="4" t="s">
        <v>4758</v>
      </c>
      <c r="D1481" s="4" t="s">
        <v>4780</v>
      </c>
      <c r="E1481" s="4" t="s">
        <v>4755</v>
      </c>
      <c r="F1481" s="4" t="str">
        <f>HYPERLINK("http://www.dooney.it/","www.dooney.it")</f>
        <v>www.dooney.it</v>
      </c>
    </row>
    <row r="1482" spans="1:6" ht="16.95" customHeight="1" x14ac:dyDescent="0.25">
      <c r="A1482" s="1" t="s">
        <v>4782</v>
      </c>
      <c r="B1482" s="6" t="s">
        <v>4783</v>
      </c>
      <c r="C1482" s="6" t="s">
        <v>4758</v>
      </c>
      <c r="D1482" s="6" t="s">
        <v>4777</v>
      </c>
      <c r="E1482" s="6" t="s">
        <v>4771</v>
      </c>
      <c r="F1482" s="6" t="str">
        <f>HYPERLINK("http://studioimmaginelab.it/","studioimmaginelab.it")</f>
        <v>studioimmaginelab.it</v>
      </c>
    </row>
    <row r="1483" spans="1:6" ht="16.95" customHeight="1" x14ac:dyDescent="0.25">
      <c r="A1483" s="5" t="s">
        <v>4784</v>
      </c>
      <c r="B1483" s="4" t="s">
        <v>4785</v>
      </c>
      <c r="C1483" s="4" t="s">
        <v>4753</v>
      </c>
      <c r="D1483" s="4" t="s">
        <v>4754</v>
      </c>
      <c r="E1483" s="4" t="s">
        <v>4755</v>
      </c>
      <c r="F1483" s="4" t="str">
        <f>HYPERLINK("http://www.marpellsrl.it/","www.marpellsrl.it")</f>
        <v>www.marpellsrl.it</v>
      </c>
    </row>
    <row r="1484" spans="1:6" ht="29.55" customHeight="1" x14ac:dyDescent="0.25">
      <c r="A1484" s="1" t="s">
        <v>4786</v>
      </c>
      <c r="B1484" s="6" t="s">
        <v>4787</v>
      </c>
      <c r="C1484" s="6" t="s">
        <v>4758</v>
      </c>
      <c r="D1484" s="6" t="s">
        <v>4781</v>
      </c>
      <c r="E1484" s="6" t="s">
        <v>4755</v>
      </c>
      <c r="F1484" s="6" t="str">
        <f>HYPERLINK("http://www.quadraro.it/","www.quadraro.it")</f>
        <v>www.quadraro.it</v>
      </c>
    </row>
    <row r="1485" spans="1:6" ht="16.95" customHeight="1" x14ac:dyDescent="0.25">
      <c r="A1485" s="1" t="s">
        <v>4788</v>
      </c>
      <c r="B1485" s="6" t="s">
        <v>4789</v>
      </c>
      <c r="C1485" s="6" t="s">
        <v>4769</v>
      </c>
      <c r="D1485" s="6" t="s">
        <v>4765</v>
      </c>
      <c r="E1485" s="6" t="s">
        <v>4766</v>
      </c>
      <c r="F1485" s="6" t="str">
        <f>HYPERLINK("http://www.altamodapositano.com/","www.altamodapositano.com")</f>
        <v>www.altamodapositano.com</v>
      </c>
    </row>
    <row r="1486" spans="1:6" ht="16.95" customHeight="1" x14ac:dyDescent="0.25">
      <c r="A1486" s="5" t="s">
        <v>4790</v>
      </c>
      <c r="B1486" s="4" t="s">
        <v>4791</v>
      </c>
      <c r="C1486" s="4" t="s">
        <v>4763</v>
      </c>
      <c r="D1486" s="4" t="s">
        <v>4792</v>
      </c>
      <c r="E1486" s="4" t="s">
        <v>4793</v>
      </c>
      <c r="F1486" s="4" t="str">
        <f>HYPERLINK("http://www.calzaturepoca.com/","www.calzaturepoca.com")</f>
        <v>www.calzaturepoca.com</v>
      </c>
    </row>
    <row r="1487" spans="1:6" ht="16.95" customHeight="1" x14ac:dyDescent="0.25">
      <c r="A1487" s="1" t="s">
        <v>4794</v>
      </c>
      <c r="B1487" s="6" t="s">
        <v>4795</v>
      </c>
      <c r="C1487" s="6" t="s">
        <v>4758</v>
      </c>
      <c r="D1487" s="6" t="s">
        <v>4776</v>
      </c>
      <c r="E1487" s="6" t="s">
        <v>4755</v>
      </c>
      <c r="F1487" s="6" t="str">
        <f>HYPERLINK("http://clairesrl.it/","clairesrl.it")</f>
        <v>clairesrl.it</v>
      </c>
    </row>
    <row r="1488" spans="1:6" ht="16.95" customHeight="1" x14ac:dyDescent="0.25">
      <c r="A1488" s="1" t="s">
        <v>4796</v>
      </c>
      <c r="B1488" s="6" t="s">
        <v>4797</v>
      </c>
      <c r="C1488" s="6" t="s">
        <v>4798</v>
      </c>
      <c r="D1488" s="6" t="s">
        <v>4799</v>
      </c>
      <c r="E1488" s="6" t="s">
        <v>4800</v>
      </c>
      <c r="F1488" s="6" t="str">
        <f>HYPERLINK("http://www.spaccatricedelmugnaio.it/","www.spaccatricedelmugnaio.it")</f>
        <v>www.spaccatricedelmugnaio.it</v>
      </c>
    </row>
    <row r="1489" spans="1:6" ht="16.95" customHeight="1" x14ac:dyDescent="0.25">
      <c r="A1489" s="1" t="s">
        <v>4804</v>
      </c>
      <c r="B1489" s="6" t="s">
        <v>4805</v>
      </c>
      <c r="C1489" s="6" t="s">
        <v>4803</v>
      </c>
      <c r="D1489" s="6" t="s">
        <v>4806</v>
      </c>
      <c r="E1489" s="6" t="s">
        <v>4807</v>
      </c>
      <c r="F1489" s="6" t="str">
        <f>HYPERLINK("http://www.trizioflightcase.com/","www.trizioflightcase.com")</f>
        <v>www.trizioflightcase.com</v>
      </c>
    </row>
    <row r="1490" spans="1:6" ht="29.55" customHeight="1" x14ac:dyDescent="0.25">
      <c r="A1490" s="5" t="s">
        <v>4809</v>
      </c>
      <c r="B1490" s="4" t="s">
        <v>4810</v>
      </c>
      <c r="C1490" s="4" t="s">
        <v>4811</v>
      </c>
      <c r="D1490" s="4" t="s">
        <v>4812</v>
      </c>
      <c r="E1490" s="4" t="s">
        <v>4813</v>
      </c>
      <c r="F1490" s="4" t="str">
        <f>HYPERLINK("http://www.morisshoes.it/","www.morisshoes.it")</f>
        <v>www.morisshoes.it</v>
      </c>
    </row>
    <row r="1491" spans="1:6" ht="16.95" customHeight="1" x14ac:dyDescent="0.25">
      <c r="A1491" s="5" t="s">
        <v>4814</v>
      </c>
      <c r="B1491" s="4" t="s">
        <v>4815</v>
      </c>
      <c r="C1491" s="4" t="s">
        <v>4816</v>
      </c>
      <c r="D1491" s="4" t="s">
        <v>4806</v>
      </c>
      <c r="E1491" s="4" t="s">
        <v>4807</v>
      </c>
      <c r="F1491" s="4" t="str">
        <f>HYPERLINK("http://www.elvicart.it/","www.elvicart.it")</f>
        <v>www.elvicart.it</v>
      </c>
    </row>
    <row r="1492" spans="1:6" ht="29.55" customHeight="1" x14ac:dyDescent="0.25">
      <c r="A1492" s="1" t="s">
        <v>4819</v>
      </c>
      <c r="B1492" s="6" t="s">
        <v>4820</v>
      </c>
      <c r="C1492" s="6" t="s">
        <v>4801</v>
      </c>
      <c r="D1492" s="6" t="s">
        <v>4821</v>
      </c>
      <c r="E1492" s="6" t="s">
        <v>4807</v>
      </c>
      <c r="F1492" s="6" t="str">
        <f>HYPERLINK("http://suolificiopalazzo.it/","suolificiopalazzo.it")</f>
        <v>suolificiopalazzo.it</v>
      </c>
    </row>
    <row r="1493" spans="1:6" ht="16.95" customHeight="1" x14ac:dyDescent="0.25">
      <c r="A1493" s="1" t="s">
        <v>4822</v>
      </c>
      <c r="B1493" s="6" t="s">
        <v>4823</v>
      </c>
      <c r="C1493" s="6" t="s">
        <v>4808</v>
      </c>
      <c r="D1493" s="6" t="s">
        <v>4817</v>
      </c>
      <c r="E1493" s="6" t="s">
        <v>4818</v>
      </c>
      <c r="F1493" s="6" t="str">
        <f>HYPERLINK("http://www.fontanashoes.it/","www.fontanashoes.it")</f>
        <v>www.fontanashoes.it</v>
      </c>
    </row>
    <row r="1494" spans="1:6" ht="16.95" customHeight="1" x14ac:dyDescent="0.25">
      <c r="A1494" s="5" t="s">
        <v>4824</v>
      </c>
      <c r="B1494" s="4" t="s">
        <v>4825</v>
      </c>
      <c r="C1494" s="4" t="s">
        <v>4798</v>
      </c>
      <c r="D1494" s="4" t="s">
        <v>4826</v>
      </c>
      <c r="E1494" s="4" t="s">
        <v>4827</v>
      </c>
      <c r="F1494" s="4" t="str">
        <f>HYPERLINK("http://equitime.it/","equitime.it")</f>
        <v>equitime.it</v>
      </c>
    </row>
    <row r="1495" spans="1:6" ht="16.95" customHeight="1" x14ac:dyDescent="0.25">
      <c r="A1495" s="1" t="s">
        <v>4828</v>
      </c>
      <c r="B1495" s="6" t="s">
        <v>4829</v>
      </c>
      <c r="C1495" s="6" t="s">
        <v>4803</v>
      </c>
      <c r="D1495" s="6" t="s">
        <v>4830</v>
      </c>
      <c r="E1495" s="6" t="s">
        <v>4802</v>
      </c>
      <c r="F1495" s="6" t="str">
        <f>HYPERLINK("http://www.angivenezia.it/","www.angivenezia.it")</f>
        <v>www.angivenezia.it</v>
      </c>
    </row>
    <row r="1496" spans="1:6" ht="16.95" customHeight="1" x14ac:dyDescent="0.25">
      <c r="A1496" s="5" t="s">
        <v>4831</v>
      </c>
      <c r="B1496" s="4" t="s">
        <v>4832</v>
      </c>
      <c r="C1496" s="4" t="s">
        <v>4798</v>
      </c>
      <c r="D1496" s="4" t="s">
        <v>4830</v>
      </c>
      <c r="E1496" s="4" t="s">
        <v>4802</v>
      </c>
      <c r="F1496" s="4" t="str">
        <f>HYPERLINK("http://www.stamperiamast.it/","www.stamperiamast.it")</f>
        <v>www.stamperiamast.it</v>
      </c>
    </row>
    <row r="1497" spans="1:6" ht="29.55" customHeight="1" x14ac:dyDescent="0.25">
      <c r="A1497" s="5" t="s">
        <v>4833</v>
      </c>
      <c r="B1497" s="4" t="s">
        <v>4834</v>
      </c>
      <c r="C1497" s="4" t="s">
        <v>4798</v>
      </c>
      <c r="D1497" s="4" t="s">
        <v>4830</v>
      </c>
      <c r="E1497" s="4" t="s">
        <v>4802</v>
      </c>
      <c r="F1497" s="4" t="str">
        <f>HYPERLINK("http://www.cmforatura.it/","www.cmforatura.it")</f>
        <v>www.cmforatura.it</v>
      </c>
    </row>
    <row r="1498" spans="1:6" ht="16.95" customHeight="1" x14ac:dyDescent="0.25">
      <c r="A1498" s="5" t="s">
        <v>4836</v>
      </c>
      <c r="B1498" s="4" t="s">
        <v>4837</v>
      </c>
      <c r="C1498" s="4" t="s">
        <v>4808</v>
      </c>
      <c r="D1498" s="4" t="s">
        <v>4835</v>
      </c>
      <c r="E1498" s="4" t="s">
        <v>4818</v>
      </c>
      <c r="F1498" s="4" t="str">
        <f>HYPERLINK("http://www.scenzasrl.com/","www.scenzasrl.com")</f>
        <v>www.scenzasrl.com</v>
      </c>
    </row>
    <row r="1499" spans="1:6" ht="29.55" customHeight="1" x14ac:dyDescent="0.25">
      <c r="A1499" s="1" t="s">
        <v>4838</v>
      </c>
      <c r="B1499" s="6" t="s">
        <v>4839</v>
      </c>
      <c r="C1499" s="6" t="s">
        <v>4840</v>
      </c>
      <c r="D1499" s="6" t="s">
        <v>4841</v>
      </c>
      <c r="E1499" s="6" t="s">
        <v>4842</v>
      </c>
      <c r="F1499" s="6" t="str">
        <f>HYPERLINK("http://conceriadelchienti.com/","conceriadelchienti.com")</f>
        <v>conceriadelchienti.com</v>
      </c>
    </row>
    <row r="1500" spans="1:6" ht="16.95" customHeight="1" x14ac:dyDescent="0.25">
      <c r="A1500" s="1" t="s">
        <v>4845</v>
      </c>
      <c r="B1500" s="6" t="s">
        <v>4846</v>
      </c>
      <c r="C1500" s="6" t="s">
        <v>4847</v>
      </c>
      <c r="D1500" s="6" t="s">
        <v>4848</v>
      </c>
      <c r="E1500" s="6" t="s">
        <v>4844</v>
      </c>
      <c r="F1500" s="6" t="str">
        <f>HYPERLINK("http://www.acstudio.it/","www.acstudio.it")</f>
        <v>www.acstudio.it</v>
      </c>
    </row>
    <row r="1501" spans="1:6" ht="16.95" customHeight="1" x14ac:dyDescent="0.25">
      <c r="A1501" s="1" t="s">
        <v>4850</v>
      </c>
      <c r="B1501" s="6" t="s">
        <v>4851</v>
      </c>
      <c r="C1501" s="6" t="s">
        <v>4840</v>
      </c>
      <c r="D1501" s="6" t="s">
        <v>4852</v>
      </c>
      <c r="E1501" s="6" t="s">
        <v>4844</v>
      </c>
      <c r="F1501" s="6" t="str">
        <f>HYPERLINK("http://www.elenpell.it/","www.elenpell.it")</f>
        <v>www.elenpell.it</v>
      </c>
    </row>
    <row r="1502" spans="1:6" ht="16.95" customHeight="1" x14ac:dyDescent="0.25">
      <c r="A1502" s="5" t="s">
        <v>4853</v>
      </c>
      <c r="B1502" s="4" t="s">
        <v>4854</v>
      </c>
      <c r="C1502" s="4" t="s">
        <v>4855</v>
      </c>
      <c r="D1502" s="4" t="s">
        <v>4856</v>
      </c>
      <c r="E1502" s="4" t="s">
        <v>4857</v>
      </c>
      <c r="F1502" s="4" t="str">
        <f>HYPERLINK("http://www.alest-pelletterie.com/","www.alest-pelletterie.com")</f>
        <v>www.alest-pelletterie.com</v>
      </c>
    </row>
    <row r="1503" spans="1:6" ht="16.95" customHeight="1" x14ac:dyDescent="0.25">
      <c r="A1503" s="1" t="s">
        <v>4858</v>
      </c>
      <c r="B1503" s="6" t="s">
        <v>4859</v>
      </c>
      <c r="C1503" s="6" t="s">
        <v>4849</v>
      </c>
      <c r="D1503" s="6" t="s">
        <v>4860</v>
      </c>
      <c r="E1503" s="6" t="s">
        <v>4861</v>
      </c>
      <c r="F1503" s="6" t="str">
        <f>HYPERLINK("http://www.quadernando.it/","www.quadernando.it")</f>
        <v>www.quadernando.it</v>
      </c>
    </row>
    <row r="1504" spans="1:6" ht="16.95" customHeight="1" x14ac:dyDescent="0.25">
      <c r="A1504" s="5" t="s">
        <v>4862</v>
      </c>
      <c r="B1504" s="4" t="s">
        <v>4863</v>
      </c>
      <c r="C1504" s="4" t="s">
        <v>4847</v>
      </c>
      <c r="D1504" s="4" t="s">
        <v>4864</v>
      </c>
      <c r="E1504" s="4" t="s">
        <v>4842</v>
      </c>
      <c r="F1504" s="4" t="str">
        <f>HYPERLINK("http://www.gianfrancobutteri.com/","www.gianfrancobutteri.com")</f>
        <v>www.gianfrancobutteri.com</v>
      </c>
    </row>
    <row r="1505" spans="1:6" ht="43.05" customHeight="1" x14ac:dyDescent="0.25">
      <c r="A1505" s="5" t="s">
        <v>4865</v>
      </c>
      <c r="B1505" s="4" t="s">
        <v>4866</v>
      </c>
      <c r="C1505" s="4" t="s">
        <v>4849</v>
      </c>
      <c r="D1505" s="4" t="s">
        <v>4867</v>
      </c>
      <c r="E1505" s="4" t="s">
        <v>4868</v>
      </c>
      <c r="F1505" s="4" t="str">
        <f>HYPERLINK("http://www.delcomm.it/","www.delcomm.it")</f>
        <v>www.delcomm.it</v>
      </c>
    </row>
    <row r="1506" spans="1:6" ht="16.95" customHeight="1" x14ac:dyDescent="0.25">
      <c r="A1506" s="1" t="s">
        <v>4869</v>
      </c>
      <c r="B1506" s="6" t="s">
        <v>4870</v>
      </c>
      <c r="C1506" s="6" t="s">
        <v>4847</v>
      </c>
      <c r="D1506" s="6" t="s">
        <v>4852</v>
      </c>
      <c r="E1506" s="6" t="s">
        <v>4844</v>
      </c>
      <c r="F1506" s="6" t="str">
        <f>HYPERLINK("http://gianfort.it/","gianfort.it")</f>
        <v>gianfort.it</v>
      </c>
    </row>
    <row r="1507" spans="1:6" ht="16.95" customHeight="1" x14ac:dyDescent="0.25">
      <c r="A1507" s="5" t="s">
        <v>4871</v>
      </c>
      <c r="B1507" s="4" t="s">
        <v>4872</v>
      </c>
      <c r="C1507" s="4" t="s">
        <v>4840</v>
      </c>
      <c r="D1507" s="4" t="s">
        <v>4852</v>
      </c>
      <c r="E1507" s="4" t="s">
        <v>4844</v>
      </c>
      <c r="F1507" s="4" t="str">
        <f>HYPERLINK("http://www.virtuspellami.it/","www.virtuspellami.it")</f>
        <v>www.virtuspellami.it</v>
      </c>
    </row>
    <row r="1508" spans="1:6" ht="16.95" customHeight="1" x14ac:dyDescent="0.25">
      <c r="A1508" s="5" t="s">
        <v>4873</v>
      </c>
      <c r="B1508" s="4" t="s">
        <v>4874</v>
      </c>
      <c r="C1508" s="4" t="s">
        <v>4840</v>
      </c>
      <c r="D1508" s="4" t="s">
        <v>4875</v>
      </c>
      <c r="E1508" s="4" t="s">
        <v>4876</v>
      </c>
      <c r="F1508" s="4" t="str">
        <f>HYPERLINK("http://www.amiciperlapellesrl.it/","www.amiciperlapellesrl.it")</f>
        <v>www.amiciperlapellesrl.it</v>
      </c>
    </row>
    <row r="1509" spans="1:6" ht="16.95" customHeight="1" x14ac:dyDescent="0.25">
      <c r="A1509" s="5" t="s">
        <v>4877</v>
      </c>
      <c r="B1509" s="4" t="s">
        <v>4878</v>
      </c>
      <c r="C1509" s="4" t="s">
        <v>4843</v>
      </c>
      <c r="D1509" s="4" t="s">
        <v>4856</v>
      </c>
      <c r="E1509" s="4" t="s">
        <v>4857</v>
      </c>
      <c r="F1509" s="4" t="str">
        <f>HYPERLINK("http://www.conceriasolaris.it/","www.conceriasolaris.it")</f>
        <v>www.conceriasolaris.it</v>
      </c>
    </row>
    <row r="1510" spans="1:6" ht="16.95" customHeight="1" x14ac:dyDescent="0.25">
      <c r="A1510" s="1" t="s">
        <v>4879</v>
      </c>
      <c r="B1510" s="6" t="s">
        <v>4880</v>
      </c>
      <c r="C1510" s="6" t="s">
        <v>4881</v>
      </c>
      <c r="D1510" s="6" t="s">
        <v>4882</v>
      </c>
      <c r="E1510" s="6" t="s">
        <v>4883</v>
      </c>
      <c r="F1510" s="6" t="str">
        <f>HYPERLINK("http://www.parmamadein.com/","www.parmamadein.com")</f>
        <v>www.parmamadein.com</v>
      </c>
    </row>
    <row r="1511" spans="1:6" ht="29.55" customHeight="1" x14ac:dyDescent="0.25">
      <c r="A1511" s="1" t="s">
        <v>4889</v>
      </c>
      <c r="B1511" s="6" t="s">
        <v>4890</v>
      </c>
      <c r="C1511" s="6" t="s">
        <v>4881</v>
      </c>
      <c r="D1511" s="6" t="s">
        <v>4891</v>
      </c>
      <c r="E1511" s="6" t="s">
        <v>4892</v>
      </c>
      <c r="F1511" s="6" t="str">
        <f>HYPERLINK("http://www.dimisport.it/","www.dimisport.it")</f>
        <v>www.dimisport.it</v>
      </c>
    </row>
    <row r="1512" spans="1:6" ht="16.95" customHeight="1" x14ac:dyDescent="0.25">
      <c r="A1512" s="1" t="s">
        <v>4895</v>
      </c>
      <c r="B1512" s="6" t="s">
        <v>4896</v>
      </c>
      <c r="C1512" s="6" t="s">
        <v>4885</v>
      </c>
      <c r="D1512" s="6" t="s">
        <v>4888</v>
      </c>
      <c r="E1512" s="6" t="s">
        <v>4884</v>
      </c>
      <c r="F1512" s="6" t="str">
        <f>HYPERLINK("http://www.guardolificioalex.net/","www.guardolificioalex.net")</f>
        <v>www.guardolificioalex.net</v>
      </c>
    </row>
    <row r="1513" spans="1:6" ht="16.95" customHeight="1" x14ac:dyDescent="0.25">
      <c r="A1513" s="5" t="s">
        <v>4898</v>
      </c>
      <c r="B1513" s="4" t="s">
        <v>4899</v>
      </c>
      <c r="C1513" s="4" t="s">
        <v>4881</v>
      </c>
      <c r="D1513" s="4" t="s">
        <v>4886</v>
      </c>
      <c r="E1513" s="4" t="s">
        <v>4887</v>
      </c>
      <c r="F1513" s="4" t="str">
        <f>HYPERLINK("http://lagoaworld.com/","lagoaworld.com")</f>
        <v>lagoaworld.com</v>
      </c>
    </row>
    <row r="1514" spans="1:6" ht="16.95" customHeight="1" x14ac:dyDescent="0.25">
      <c r="A1514" s="1" t="s">
        <v>4901</v>
      </c>
      <c r="B1514" s="6" t="s">
        <v>4902</v>
      </c>
      <c r="C1514" s="6" t="s">
        <v>4903</v>
      </c>
      <c r="D1514" s="6" t="s">
        <v>4904</v>
      </c>
      <c r="E1514" s="6" t="s">
        <v>4905</v>
      </c>
      <c r="F1514" s="6" t="str">
        <f>HYPERLINK("http://majolab.com/","majolab.com")</f>
        <v>majolab.com</v>
      </c>
    </row>
    <row r="1515" spans="1:6" ht="43.05" customHeight="1" x14ac:dyDescent="0.25">
      <c r="A1515" s="5" t="s">
        <v>4907</v>
      </c>
      <c r="B1515" s="4" t="s">
        <v>4908</v>
      </c>
      <c r="C1515" s="4" t="s">
        <v>4881</v>
      </c>
      <c r="D1515" s="4" t="s">
        <v>4909</v>
      </c>
      <c r="E1515" s="4" t="s">
        <v>4910</v>
      </c>
      <c r="F1515" s="4" t="str">
        <f>HYPERLINK("http://www.guidomaggi.com/","www.guidomaggi.com")</f>
        <v>www.guidomaggi.com</v>
      </c>
    </row>
    <row r="1516" spans="1:6" ht="16.95" customHeight="1" x14ac:dyDescent="0.25">
      <c r="A1516" s="1" t="s">
        <v>4911</v>
      </c>
      <c r="B1516" s="6" t="s">
        <v>4912</v>
      </c>
      <c r="C1516" s="6" t="s">
        <v>4881</v>
      </c>
      <c r="D1516" s="6" t="s">
        <v>4893</v>
      </c>
      <c r="E1516" s="6" t="s">
        <v>4894</v>
      </c>
      <c r="F1516" s="6" t="str">
        <f>HYPERLINK("http://www.mipiacishoes.com/","www.mipiacishoes.com")</f>
        <v>www.mipiacishoes.com</v>
      </c>
    </row>
    <row r="1517" spans="1:6" ht="16.95" customHeight="1" x14ac:dyDescent="0.25">
      <c r="A1517" s="5" t="s">
        <v>4913</v>
      </c>
      <c r="B1517" s="4" t="s">
        <v>4914</v>
      </c>
      <c r="C1517" s="4" t="s">
        <v>4881</v>
      </c>
      <c r="D1517" s="4" t="s">
        <v>4915</v>
      </c>
      <c r="E1517" s="4" t="s">
        <v>4897</v>
      </c>
      <c r="F1517" s="4" t="str">
        <f>HYPERLINK("http://www.montelloshop.com/","www.montelloshop.com")</f>
        <v>www.montelloshop.com</v>
      </c>
    </row>
    <row r="1518" spans="1:6" ht="16.95" customHeight="1" x14ac:dyDescent="0.25">
      <c r="A1518" s="1" t="s">
        <v>4916</v>
      </c>
      <c r="B1518" s="6" t="s">
        <v>4917</v>
      </c>
      <c r="C1518" s="6" t="s">
        <v>4881</v>
      </c>
      <c r="D1518" s="6" t="s">
        <v>4918</v>
      </c>
      <c r="E1518" s="6" t="s">
        <v>4910</v>
      </c>
      <c r="F1518" s="6" t="str">
        <f>HYPERLINK("http://ncub.it/","ncub.it")</f>
        <v>ncub.it</v>
      </c>
    </row>
    <row r="1519" spans="1:6" ht="16.95" customHeight="1" x14ac:dyDescent="0.25">
      <c r="A1519" s="1" t="s">
        <v>4919</v>
      </c>
      <c r="B1519" s="6" t="s">
        <v>4920</v>
      </c>
      <c r="C1519" s="6" t="s">
        <v>4906</v>
      </c>
      <c r="D1519" s="6" t="s">
        <v>4900</v>
      </c>
      <c r="E1519" s="6" t="s">
        <v>4884</v>
      </c>
      <c r="F1519" s="6" t="str">
        <f>HYPERLINK("http://www.fabianicinture.net/","www.fabianicinture.net")</f>
        <v>www.fabianicinture.net</v>
      </c>
    </row>
    <row r="1520" spans="1:6" ht="16.95" customHeight="1" x14ac:dyDescent="0.25">
      <c r="A1520" s="5" t="s">
        <v>4921</v>
      </c>
      <c r="B1520" s="4" t="s">
        <v>4922</v>
      </c>
      <c r="C1520" s="4" t="s">
        <v>4885</v>
      </c>
      <c r="D1520" s="4" t="s">
        <v>4886</v>
      </c>
      <c r="E1520" s="4" t="s">
        <v>4887</v>
      </c>
      <c r="F1520" s="4" t="str">
        <f>HYPERLINK("http://www.italianheels.it/","www.italianheels.it")</f>
        <v>www.italianheels.it</v>
      </c>
    </row>
    <row r="1521" spans="1:6" ht="16.95" customHeight="1" x14ac:dyDescent="0.25">
      <c r="A1521" s="1" t="s">
        <v>4928</v>
      </c>
      <c r="B1521" s="6" t="s">
        <v>4929</v>
      </c>
      <c r="C1521" s="6" t="s">
        <v>4930</v>
      </c>
      <c r="D1521" s="6" t="s">
        <v>4931</v>
      </c>
      <c r="E1521" s="6" t="s">
        <v>4924</v>
      </c>
      <c r="F1521" s="6" t="str">
        <f>HYPERLINK("http://www.tiffi.it/","www.tiffi.it")</f>
        <v>www.tiffi.it</v>
      </c>
    </row>
    <row r="1522" spans="1:6" ht="16.95" customHeight="1" x14ac:dyDescent="0.25">
      <c r="A1522" s="1" t="s">
        <v>4933</v>
      </c>
      <c r="B1522" s="6" t="s">
        <v>4934</v>
      </c>
      <c r="C1522" s="6" t="s">
        <v>4923</v>
      </c>
      <c r="D1522" s="6" t="s">
        <v>4935</v>
      </c>
      <c r="E1522" s="6" t="s">
        <v>4936</v>
      </c>
      <c r="F1522" s="6" t="str">
        <f>HYPERLINK("http://shop.nuovapr.it/","shop.nuovapr.it")</f>
        <v>shop.nuovapr.it</v>
      </c>
    </row>
    <row r="1523" spans="1:6" ht="29.55" customHeight="1" x14ac:dyDescent="0.25">
      <c r="A1523" s="5" t="s">
        <v>4938</v>
      </c>
      <c r="B1523" s="4" t="s">
        <v>4939</v>
      </c>
      <c r="C1523" s="4" t="s">
        <v>4925</v>
      </c>
      <c r="D1523" s="4" t="s">
        <v>4931</v>
      </c>
      <c r="E1523" s="4" t="s">
        <v>4924</v>
      </c>
      <c r="F1523" s="4" t="str">
        <f>HYPERLINK("http://www.officinabelts.com/","www.officinabelts.com")</f>
        <v>www.officinabelts.com</v>
      </c>
    </row>
    <row r="1524" spans="1:6" ht="16.95" customHeight="1" x14ac:dyDescent="0.25">
      <c r="A1524" s="5" t="s">
        <v>4940</v>
      </c>
      <c r="B1524" s="4" t="s">
        <v>4941</v>
      </c>
      <c r="C1524" s="4" t="s">
        <v>4932</v>
      </c>
      <c r="D1524" s="4" t="s">
        <v>4942</v>
      </c>
      <c r="E1524" s="4" t="s">
        <v>4943</v>
      </c>
      <c r="F1524" s="4" t="str">
        <f>HYPERLINK("http://www.runplast.it/","www.runplast.it")</f>
        <v>www.runplast.it</v>
      </c>
    </row>
    <row r="1525" spans="1:6" ht="16.95" customHeight="1" x14ac:dyDescent="0.25">
      <c r="A1525" s="1" t="s">
        <v>4947</v>
      </c>
      <c r="B1525" s="6" t="s">
        <v>4948</v>
      </c>
      <c r="C1525" s="6" t="s">
        <v>4930</v>
      </c>
      <c r="D1525" s="6" t="s">
        <v>4945</v>
      </c>
      <c r="E1525" s="6" t="s">
        <v>4943</v>
      </c>
      <c r="F1525" s="6" t="str">
        <f>HYPERLINK("http://www.ilgrecocalzaturificio.com/","www.ilgrecocalzaturificio.com")</f>
        <v>www.ilgrecocalzaturificio.com</v>
      </c>
    </row>
    <row r="1526" spans="1:6" ht="16.95" customHeight="1" x14ac:dyDescent="0.25">
      <c r="A1526" s="5" t="s">
        <v>4949</v>
      </c>
      <c r="B1526" s="4" t="s">
        <v>4950</v>
      </c>
      <c r="C1526" s="4" t="s">
        <v>4951</v>
      </c>
      <c r="D1526" s="4" t="s">
        <v>4926</v>
      </c>
      <c r="E1526" s="4" t="s">
        <v>4927</v>
      </c>
      <c r="F1526" s="4" t="str">
        <f>HYPERLINK("http://www.ghiblisrl.com/","www.ghiblisrl.com")</f>
        <v>www.ghiblisrl.com</v>
      </c>
    </row>
    <row r="1527" spans="1:6" ht="16.95" customHeight="1" x14ac:dyDescent="0.25">
      <c r="A1527" s="1" t="s">
        <v>4952</v>
      </c>
      <c r="B1527" s="6" t="s">
        <v>4953</v>
      </c>
      <c r="C1527" s="6" t="s">
        <v>4932</v>
      </c>
      <c r="D1527" s="6" t="s">
        <v>4954</v>
      </c>
      <c r="E1527" s="6" t="s">
        <v>4927</v>
      </c>
      <c r="F1527" s="6" t="str">
        <f>HYPERLINK("http://www.grossisrl.com/","www.grossisrl.com")</f>
        <v>www.grossisrl.com</v>
      </c>
    </row>
    <row r="1528" spans="1:6" ht="16.95" customHeight="1" x14ac:dyDescent="0.25">
      <c r="A1528" s="1" t="s">
        <v>4955</v>
      </c>
      <c r="B1528" s="6" t="s">
        <v>4956</v>
      </c>
      <c r="C1528" s="6" t="s">
        <v>4932</v>
      </c>
      <c r="D1528" s="6" t="s">
        <v>4946</v>
      </c>
      <c r="E1528" s="6" t="s">
        <v>4944</v>
      </c>
      <c r="F1528" s="6" t="str">
        <f>HYPERLINK("http://www.deltasuole.com/","www.deltasuole.com")</f>
        <v>www.deltasuole.com</v>
      </c>
    </row>
    <row r="1529" spans="1:6" ht="16.95" customHeight="1" x14ac:dyDescent="0.25">
      <c r="A1529" s="1" t="s">
        <v>4957</v>
      </c>
      <c r="B1529" s="6" t="s">
        <v>4958</v>
      </c>
      <c r="C1529" s="6" t="s">
        <v>4932</v>
      </c>
      <c r="D1529" s="6" t="s">
        <v>4945</v>
      </c>
      <c r="E1529" s="6" t="s">
        <v>4943</v>
      </c>
      <c r="F1529" s="6" t="str">
        <f>HYPERLINK("http://www.r79.it/","www.r79.it")</f>
        <v>www.r79.it</v>
      </c>
    </row>
    <row r="1530" spans="1:6" ht="16.95" customHeight="1" x14ac:dyDescent="0.25">
      <c r="A1530" s="1" t="s">
        <v>4959</v>
      </c>
      <c r="B1530" s="6" t="s">
        <v>4960</v>
      </c>
      <c r="C1530" s="6" t="s">
        <v>4930</v>
      </c>
      <c r="D1530" s="6" t="s">
        <v>4961</v>
      </c>
      <c r="E1530" s="6" t="s">
        <v>4962</v>
      </c>
      <c r="F1530" s="6" t="str">
        <f>HYPERLINK("http://henryandhenryshop.com/","henryandhenryshop.com")</f>
        <v>henryandhenryshop.com</v>
      </c>
    </row>
    <row r="1531" spans="1:6" ht="16.95" customHeight="1" x14ac:dyDescent="0.25">
      <c r="A1531" s="5" t="s">
        <v>4963</v>
      </c>
      <c r="B1531" s="4" t="s">
        <v>4964</v>
      </c>
      <c r="C1531" s="4" t="s">
        <v>4937</v>
      </c>
      <c r="D1531" s="4" t="s">
        <v>4945</v>
      </c>
      <c r="E1531" s="4" t="s">
        <v>4943</v>
      </c>
      <c r="F1531" s="4" t="str">
        <f>HYPERLINK("http://101meme.it/","101meme.it")</f>
        <v>101meme.it</v>
      </c>
    </row>
    <row r="1532" spans="1:6" ht="16.95" customHeight="1" x14ac:dyDescent="0.25">
      <c r="A1532" s="5" t="s">
        <v>4967</v>
      </c>
      <c r="B1532" s="4" t="s">
        <v>4968</v>
      </c>
      <c r="C1532" s="4" t="s">
        <v>4965</v>
      </c>
      <c r="D1532" s="4" t="s">
        <v>4969</v>
      </c>
      <c r="E1532" s="4" t="s">
        <v>4970</v>
      </c>
      <c r="F1532" s="4" t="str">
        <f>HYPERLINK("http://www.bgshoesdesign.com/","www.bgshoesdesign.com")</f>
        <v>www.bgshoesdesign.com</v>
      </c>
    </row>
    <row r="1533" spans="1:6" ht="16.95" customHeight="1" x14ac:dyDescent="0.25">
      <c r="A1533" s="1" t="s">
        <v>4971</v>
      </c>
      <c r="B1533" s="6" t="s">
        <v>4972</v>
      </c>
      <c r="C1533" s="6" t="s">
        <v>4973</v>
      </c>
      <c r="D1533" s="6" t="s">
        <v>4974</v>
      </c>
      <c r="E1533" s="6" t="s">
        <v>4975</v>
      </c>
      <c r="F1533" s="6" t="str">
        <f>HYPERLINK("http://nannimilano.it/","nannimilano.it")</f>
        <v>nannimilano.it</v>
      </c>
    </row>
    <row r="1534" spans="1:6" ht="29.55" customHeight="1" x14ac:dyDescent="0.25">
      <c r="A1534" s="5" t="s">
        <v>4982</v>
      </c>
      <c r="B1534" s="4" t="s">
        <v>4983</v>
      </c>
      <c r="C1534" s="4" t="s">
        <v>4977</v>
      </c>
      <c r="D1534" s="4" t="s">
        <v>4981</v>
      </c>
      <c r="E1534" s="4" t="s">
        <v>4979</v>
      </c>
      <c r="F1534" s="4" t="str">
        <f>HYPERLINK("http://cai-pelletteria-srl-06938300487.quantofattura.com/","cai-pelletteria-srl-06938300487.quantofattura.com")</f>
        <v>cai-pelletteria-srl-06938300487.quantofattura.com</v>
      </c>
    </row>
    <row r="1535" spans="1:6" ht="16.95" customHeight="1" x14ac:dyDescent="0.25">
      <c r="A1535" s="1" t="s">
        <v>4984</v>
      </c>
      <c r="B1535" s="6" t="s">
        <v>4985</v>
      </c>
      <c r="C1535" s="6" t="s">
        <v>4986</v>
      </c>
      <c r="D1535" s="6" t="s">
        <v>4987</v>
      </c>
      <c r="E1535" s="6" t="s">
        <v>4970</v>
      </c>
      <c r="F1535" s="6" t="str">
        <f>HYPERLINK("http://www.sglrossetto.com/","www.sglrossetto.com")</f>
        <v>www.sglrossetto.com</v>
      </c>
    </row>
    <row r="1536" spans="1:6" ht="16.95" customHeight="1" x14ac:dyDescent="0.25">
      <c r="A1536" s="1" t="s">
        <v>4989</v>
      </c>
      <c r="B1536" s="6" t="s">
        <v>4990</v>
      </c>
      <c r="C1536" s="6" t="s">
        <v>4977</v>
      </c>
      <c r="D1536" s="6" t="s">
        <v>4991</v>
      </c>
      <c r="E1536" s="6" t="s">
        <v>4975</v>
      </c>
      <c r="F1536" s="6" t="str">
        <f>HYPERLINK("http://sobekitalia.com/","sobekitalia.com")</f>
        <v>sobekitalia.com</v>
      </c>
    </row>
    <row r="1537" spans="1:6" ht="16.95" customHeight="1" x14ac:dyDescent="0.25">
      <c r="A1537" s="5" t="s">
        <v>4993</v>
      </c>
      <c r="B1537" s="4" t="s">
        <v>4994</v>
      </c>
      <c r="C1537" s="4" t="s">
        <v>4977</v>
      </c>
      <c r="D1537" s="4" t="s">
        <v>4995</v>
      </c>
      <c r="E1537" s="4" t="s">
        <v>4996</v>
      </c>
      <c r="F1537" s="4" t="str">
        <f>HYPERLINK("http://www.mamoi.it/","www.mamoi.it")</f>
        <v>www.mamoi.it</v>
      </c>
    </row>
    <row r="1538" spans="1:6" ht="16.95" customHeight="1" x14ac:dyDescent="0.25">
      <c r="A1538" s="1" t="s">
        <v>4997</v>
      </c>
      <c r="B1538" s="6" t="s">
        <v>4998</v>
      </c>
      <c r="C1538" s="6" t="s">
        <v>4976</v>
      </c>
      <c r="D1538" s="6" t="s">
        <v>4988</v>
      </c>
      <c r="E1538" s="6" t="s">
        <v>4966</v>
      </c>
      <c r="F1538" s="6" t="str">
        <f>HYPERLINK("http://www.cskacorridoniac5f.com/","www.cskacorridoniac5f.com")</f>
        <v>www.cskacorridoniac5f.com</v>
      </c>
    </row>
    <row r="1539" spans="1:6" ht="16.95" customHeight="1" x14ac:dyDescent="0.25">
      <c r="A1539" s="5" t="s">
        <v>4999</v>
      </c>
      <c r="B1539" s="4" t="s">
        <v>5000</v>
      </c>
      <c r="C1539" s="4" t="s">
        <v>4986</v>
      </c>
      <c r="D1539" s="4" t="s">
        <v>4978</v>
      </c>
      <c r="E1539" s="4" t="s">
        <v>4979</v>
      </c>
      <c r="F1539" s="4" t="str">
        <f>HYPERLINK("http://www.concerianettuno.it/","www.concerianettuno.it")</f>
        <v>www.concerianettuno.it</v>
      </c>
    </row>
    <row r="1540" spans="1:6" ht="16.95" customHeight="1" x14ac:dyDescent="0.25">
      <c r="A1540" s="5" t="s">
        <v>5001</v>
      </c>
      <c r="B1540" s="4" t="s">
        <v>5002</v>
      </c>
      <c r="C1540" s="4" t="s">
        <v>4976</v>
      </c>
      <c r="D1540" s="4" t="s">
        <v>4980</v>
      </c>
      <c r="E1540" s="4" t="s">
        <v>4970</v>
      </c>
      <c r="F1540" s="4" t="str">
        <f>HYPERLINK("http://www.caterinasrl.it/","www.caterinasrl.it")</f>
        <v>www.caterinasrl.it</v>
      </c>
    </row>
    <row r="1541" spans="1:6" ht="16.95" customHeight="1" x14ac:dyDescent="0.25">
      <c r="A1541" s="1" t="s">
        <v>5003</v>
      </c>
      <c r="B1541" s="6" t="s">
        <v>5004</v>
      </c>
      <c r="C1541" s="6" t="s">
        <v>4977</v>
      </c>
      <c r="D1541" s="6" t="s">
        <v>4992</v>
      </c>
      <c r="E1541" s="6" t="s">
        <v>4979</v>
      </c>
      <c r="F1541" s="6" t="str">
        <f>HYPERLINK("http://www.artepellesrl.it/","www.artepellesrl.it")</f>
        <v>www.artepellesrl.it</v>
      </c>
    </row>
    <row r="1542" spans="1:6" ht="16.95" customHeight="1" x14ac:dyDescent="0.25">
      <c r="A1542" s="5" t="s">
        <v>5015</v>
      </c>
      <c r="B1542" s="4" t="s">
        <v>5016</v>
      </c>
      <c r="C1542" s="4" t="s">
        <v>5008</v>
      </c>
      <c r="D1542" s="4" t="s">
        <v>5011</v>
      </c>
      <c r="E1542" s="4" t="s">
        <v>5010</v>
      </c>
      <c r="F1542" s="4" t="str">
        <f>HYPERLINK("http://www.ncpsrl.com/","www.ncpsrl.com")</f>
        <v>www.ncpsrl.com</v>
      </c>
    </row>
    <row r="1543" spans="1:6" ht="16.95" customHeight="1" x14ac:dyDescent="0.25">
      <c r="A1543" s="5" t="s">
        <v>5018</v>
      </c>
      <c r="B1543" s="4" t="s">
        <v>5019</v>
      </c>
      <c r="C1543" s="4" t="s">
        <v>5012</v>
      </c>
      <c r="D1543" s="4" t="s">
        <v>5009</v>
      </c>
      <c r="E1543" s="4" t="s">
        <v>5010</v>
      </c>
      <c r="F1543" s="4" t="str">
        <f>HYPERLINK("http://www.calzaturificiodinos.it/","www.calzaturificiodinos.it")</f>
        <v>www.calzaturificiodinos.it</v>
      </c>
    </row>
    <row r="1544" spans="1:6" ht="16.95" customHeight="1" x14ac:dyDescent="0.25">
      <c r="A1544" s="5" t="s">
        <v>5020</v>
      </c>
      <c r="B1544" s="4" t="s">
        <v>5021</v>
      </c>
      <c r="C1544" s="4" t="s">
        <v>5008</v>
      </c>
      <c r="D1544" s="4" t="s">
        <v>5017</v>
      </c>
      <c r="E1544" s="4" t="s">
        <v>5014</v>
      </c>
      <c r="F1544" s="4" t="str">
        <f>HYPERLINK("http://www.eurotac.it/","www.eurotac.it")</f>
        <v>www.eurotac.it</v>
      </c>
    </row>
    <row r="1545" spans="1:6" ht="16.95" customHeight="1" x14ac:dyDescent="0.25">
      <c r="A1545" s="5" t="s">
        <v>5022</v>
      </c>
      <c r="B1545" s="4" t="s">
        <v>5023</v>
      </c>
      <c r="C1545" s="4" t="s">
        <v>5008</v>
      </c>
      <c r="D1545" s="4" t="s">
        <v>5024</v>
      </c>
      <c r="E1545" s="4" t="s">
        <v>5025</v>
      </c>
      <c r="F1545" s="4" t="str">
        <f>HYPERLINK("http://www.oropelitalia.it/","www.oropelitalia.it")</f>
        <v>www.oropelitalia.it</v>
      </c>
    </row>
    <row r="1546" spans="1:6" ht="16.95" customHeight="1" x14ac:dyDescent="0.25">
      <c r="A1546" s="5" t="s">
        <v>5026</v>
      </c>
      <c r="B1546" s="4" t="s">
        <v>5027</v>
      </c>
      <c r="C1546" s="4" t="s">
        <v>5012</v>
      </c>
      <c r="D1546" s="4" t="s">
        <v>5013</v>
      </c>
      <c r="E1546" s="4" t="s">
        <v>5014</v>
      </c>
      <c r="F1546" s="4" t="str">
        <f>HYPERLINK("http://www.styldea.com/","www.styldea.com")</f>
        <v>www.styldea.com</v>
      </c>
    </row>
    <row r="1547" spans="1:6" ht="16.95" customHeight="1" x14ac:dyDescent="0.25">
      <c r="A1547" s="1" t="s">
        <v>5028</v>
      </c>
      <c r="B1547" s="6" t="s">
        <v>5029</v>
      </c>
      <c r="C1547" s="6" t="s">
        <v>5005</v>
      </c>
      <c r="D1547" s="6" t="s">
        <v>5011</v>
      </c>
      <c r="E1547" s="6" t="s">
        <v>5010</v>
      </c>
      <c r="F1547" s="6" t="str">
        <f>HYPERLINK("http://mundialdesign.it/","mundialdesign.it/")</f>
        <v>mundialdesign.it/</v>
      </c>
    </row>
    <row r="1548" spans="1:6" ht="16.95" customHeight="1" x14ac:dyDescent="0.25">
      <c r="A1548" s="5" t="s">
        <v>5030</v>
      </c>
      <c r="B1548" s="4" t="s">
        <v>5031</v>
      </c>
      <c r="C1548" s="4" t="s">
        <v>5005</v>
      </c>
      <c r="D1548" s="4" t="s">
        <v>5007</v>
      </c>
      <c r="E1548" s="4" t="s">
        <v>5006</v>
      </c>
      <c r="F1548" s="4" t="str">
        <f>HYPERLINK("http://www.underwood-london.com/","www.underwood-london.com")</f>
        <v>www.underwood-london.com</v>
      </c>
    </row>
    <row r="1549" spans="1:6" ht="29.55" customHeight="1" x14ac:dyDescent="0.25">
      <c r="A1549" s="5" t="s">
        <v>5032</v>
      </c>
      <c r="B1549" s="4" t="s">
        <v>5033</v>
      </c>
      <c r="C1549" s="4" t="s">
        <v>5012</v>
      </c>
      <c r="D1549" s="4" t="s">
        <v>5034</v>
      </c>
      <c r="E1549" s="4" t="s">
        <v>5025</v>
      </c>
      <c r="F1549" s="4" t="str">
        <f>HYPERLINK("http://www.calzaturificiomorlacchi.it/","www.calzaturificiomorlacchi.it")</f>
        <v>www.calzaturificiomorlacchi.it</v>
      </c>
    </row>
    <row r="1550" spans="1:6" ht="16.95" customHeight="1" x14ac:dyDescent="0.25">
      <c r="A1550" s="5" t="s">
        <v>5038</v>
      </c>
      <c r="B1550" s="4" t="s">
        <v>5039</v>
      </c>
      <c r="C1550" s="4" t="s">
        <v>5040</v>
      </c>
      <c r="D1550" s="4" t="s">
        <v>5041</v>
      </c>
      <c r="E1550" s="4" t="s">
        <v>5042</v>
      </c>
      <c r="F1550" s="4" t="str">
        <f>HYPERLINK("http://www.nottoli.it/","www.nottoli.it")</f>
        <v>www.nottoli.it</v>
      </c>
    </row>
    <row r="1551" spans="1:6" ht="16.95" customHeight="1" x14ac:dyDescent="0.25">
      <c r="A1551" s="5" t="s">
        <v>5043</v>
      </c>
      <c r="B1551" s="4" t="s">
        <v>5044</v>
      </c>
      <c r="C1551" s="4" t="s">
        <v>5045</v>
      </c>
      <c r="D1551" s="4" t="s">
        <v>5046</v>
      </c>
      <c r="E1551" s="4" t="s">
        <v>5042</v>
      </c>
      <c r="F1551" s="4" t="str">
        <f>HYPERLINK("http://www.systematica.it/pielle","www.systematica.it/pielle")</f>
        <v>www.systematica.it/pielle</v>
      </c>
    </row>
    <row r="1552" spans="1:6" ht="16.95" customHeight="1" x14ac:dyDescent="0.25">
      <c r="A1552" s="1" t="s">
        <v>5049</v>
      </c>
      <c r="B1552" s="6" t="s">
        <v>5050</v>
      </c>
      <c r="C1552" s="6" t="s">
        <v>5048</v>
      </c>
      <c r="D1552" s="6" t="s">
        <v>5051</v>
      </c>
      <c r="E1552" s="6" t="s">
        <v>5052</v>
      </c>
      <c r="F1552" s="6" t="str">
        <f>HYPERLINK("http://www.lapesrl.com/","www.lapesrl.com")</f>
        <v>www.lapesrl.com</v>
      </c>
    </row>
    <row r="1553" spans="1:6" ht="16.95" customHeight="1" x14ac:dyDescent="0.25">
      <c r="A1553" s="5" t="s">
        <v>5053</v>
      </c>
      <c r="B1553" s="4" t="s">
        <v>5054</v>
      </c>
      <c r="C1553" s="4" t="s">
        <v>5040</v>
      </c>
      <c r="D1553" s="4" t="s">
        <v>5036</v>
      </c>
      <c r="E1553" s="4" t="s">
        <v>5037</v>
      </c>
      <c r="F1553" s="4" t="str">
        <f>HYPERLINK("http://www.suolificiosanpaolo.com/","www.suolificiosanpaolo.com")</f>
        <v>www.suolificiosanpaolo.com</v>
      </c>
    </row>
    <row r="1554" spans="1:6" ht="43.05" customHeight="1" x14ac:dyDescent="0.25">
      <c r="A1554" s="5" t="s">
        <v>5056</v>
      </c>
      <c r="B1554" s="4" t="s">
        <v>5057</v>
      </c>
      <c r="C1554" s="4" t="s">
        <v>5035</v>
      </c>
      <c r="D1554" s="4" t="s">
        <v>5058</v>
      </c>
      <c r="E1554" s="4" t="s">
        <v>5059</v>
      </c>
      <c r="F1554" s="4" t="str">
        <f>HYPERLINK("http://kalipay.it/","kalipay.it")</f>
        <v>kalipay.it</v>
      </c>
    </row>
    <row r="1555" spans="1:6" ht="16.95" customHeight="1" x14ac:dyDescent="0.25">
      <c r="A1555" s="1" t="s">
        <v>5060</v>
      </c>
      <c r="B1555" s="6" t="s">
        <v>5061</v>
      </c>
      <c r="C1555" s="6" t="s">
        <v>5048</v>
      </c>
      <c r="D1555" s="6" t="s">
        <v>5062</v>
      </c>
      <c r="E1555" s="6" t="s">
        <v>5059</v>
      </c>
      <c r="F1555" s="6" t="str">
        <f>HYPERLINK("http://www.oceandrivesrl.com/","www.oceandrivesrl.com")</f>
        <v>www.oceandrivesrl.com</v>
      </c>
    </row>
    <row r="1556" spans="1:6" ht="16.95" customHeight="1" x14ac:dyDescent="0.25">
      <c r="A1556" s="5" t="s">
        <v>5063</v>
      </c>
      <c r="B1556" s="4" t="s">
        <v>5064</v>
      </c>
      <c r="C1556" s="4" t="s">
        <v>5047</v>
      </c>
      <c r="D1556" s="4" t="s">
        <v>5046</v>
      </c>
      <c r="E1556" s="4" t="s">
        <v>5042</v>
      </c>
      <c r="F1556" s="4" t="str">
        <f>HYPERLINK("http://www.firenzeemoda.com/","www.firenzeemoda.com")</f>
        <v>www.firenzeemoda.com</v>
      </c>
    </row>
    <row r="1557" spans="1:6" ht="29.55" customHeight="1" x14ac:dyDescent="0.25">
      <c r="A1557" s="1" t="s">
        <v>5065</v>
      </c>
      <c r="B1557" s="6" t="s">
        <v>5066</v>
      </c>
      <c r="C1557" s="6" t="s">
        <v>5035</v>
      </c>
      <c r="D1557" s="6" t="s">
        <v>5067</v>
      </c>
      <c r="E1557" s="6" t="s">
        <v>5052</v>
      </c>
      <c r="F1557" s="6" t="str">
        <f>HYPERLINK("http://www.zagoalberto.it/","www.zagoalberto.it")</f>
        <v>www.zagoalberto.it</v>
      </c>
    </row>
    <row r="1558" spans="1:6" ht="16.95" customHeight="1" x14ac:dyDescent="0.25">
      <c r="A1558" s="5" t="s">
        <v>5068</v>
      </c>
      <c r="B1558" s="4" t="s">
        <v>5069</v>
      </c>
      <c r="C1558" s="4" t="s">
        <v>5047</v>
      </c>
      <c r="D1558" s="4" t="s">
        <v>5055</v>
      </c>
      <c r="E1558" s="4" t="s">
        <v>5052</v>
      </c>
      <c r="F1558" s="4" t="str">
        <f>HYPERLINK("http://dogissimi.com/","dogissimi.com")</f>
        <v>dogissimi.com</v>
      </c>
    </row>
    <row r="1559" spans="1:6" ht="16.95" customHeight="1" x14ac:dyDescent="0.25">
      <c r="A1559" s="1" t="s">
        <v>5070</v>
      </c>
      <c r="B1559" s="6" t="s">
        <v>5071</v>
      </c>
      <c r="C1559" s="6" t="s">
        <v>5035</v>
      </c>
      <c r="D1559" s="6" t="s">
        <v>5072</v>
      </c>
      <c r="E1559" s="6" t="s">
        <v>5059</v>
      </c>
      <c r="F1559" s="6" t="str">
        <f>HYPERLINK("http://eddicuomo.com/","eddicuomo.com")</f>
        <v>eddicuomo.com</v>
      </c>
    </row>
    <row r="1560" spans="1:6" ht="16.95" customHeight="1" x14ac:dyDescent="0.25">
      <c r="A1560" s="1" t="s">
        <v>5079</v>
      </c>
      <c r="B1560" s="6" t="s">
        <v>5080</v>
      </c>
      <c r="C1560" s="6" t="s">
        <v>5073</v>
      </c>
      <c r="D1560" s="6" t="s">
        <v>5077</v>
      </c>
      <c r="E1560" s="6" t="s">
        <v>5078</v>
      </c>
      <c r="F1560" s="6" t="str">
        <f>HYPERLINK("http://tacchificiosaiv.com/","tacchificiosaiv.com")</f>
        <v>tacchificiosaiv.com</v>
      </c>
    </row>
    <row r="1561" spans="1:6" ht="16.95" customHeight="1" x14ac:dyDescent="0.25">
      <c r="A1561" s="1" t="s">
        <v>5086</v>
      </c>
      <c r="B1561" s="6" t="s">
        <v>5087</v>
      </c>
      <c r="C1561" s="6" t="s">
        <v>5076</v>
      </c>
      <c r="D1561" s="6" t="s">
        <v>5088</v>
      </c>
      <c r="E1561" s="6" t="s">
        <v>5089</v>
      </c>
      <c r="F1561" s="6" t="str">
        <f>HYPERLINK("http://www.karmaofcharmeshop.com/","www.karmaofcharmeshop.com")</f>
        <v>www.karmaofcharmeshop.com</v>
      </c>
    </row>
    <row r="1562" spans="1:6" ht="16.95" customHeight="1" x14ac:dyDescent="0.25">
      <c r="A1562" s="1" t="s">
        <v>5091</v>
      </c>
      <c r="B1562" s="6" t="s">
        <v>5092</v>
      </c>
      <c r="C1562" s="6" t="s">
        <v>5076</v>
      </c>
      <c r="D1562" s="6" t="s">
        <v>5093</v>
      </c>
      <c r="E1562" s="6" t="s">
        <v>5089</v>
      </c>
      <c r="F1562" s="6" t="str">
        <f>HYPERLINK("http://www.fiorangelo.it/","www.fiorangelo.it")</f>
        <v>www.fiorangelo.it</v>
      </c>
    </row>
    <row r="1563" spans="1:6" ht="16.95" customHeight="1" x14ac:dyDescent="0.25">
      <c r="A1563" s="5" t="s">
        <v>5095</v>
      </c>
      <c r="B1563" s="4" t="s">
        <v>5096</v>
      </c>
      <c r="C1563" s="4" t="s">
        <v>5083</v>
      </c>
      <c r="D1563" s="4" t="s">
        <v>5074</v>
      </c>
      <c r="E1563" s="4" t="s">
        <v>5075</v>
      </c>
      <c r="F1563" s="4" t="str">
        <f>HYPERLINK("http://www.merisiosrl.com/","www.merisiosrl.com")</f>
        <v>www.merisiosrl.com</v>
      </c>
    </row>
    <row r="1564" spans="1:6" ht="16.95" customHeight="1" x14ac:dyDescent="0.25">
      <c r="A1564" s="1" t="s">
        <v>5097</v>
      </c>
      <c r="B1564" s="6" t="s">
        <v>5098</v>
      </c>
      <c r="C1564" s="6" t="s">
        <v>5076</v>
      </c>
      <c r="D1564" s="6" t="s">
        <v>5082</v>
      </c>
      <c r="E1564" s="6" t="s">
        <v>5081</v>
      </c>
      <c r="F1564" s="6" t="str">
        <f>HYPERLINK("http://www.chiaracarrino.it/","www.chiaracarrino.it")</f>
        <v>www.chiaracarrino.it</v>
      </c>
    </row>
    <row r="1565" spans="1:6" ht="16.95" customHeight="1" x14ac:dyDescent="0.25">
      <c r="A1565" s="5" t="s">
        <v>5099</v>
      </c>
      <c r="B1565" s="4" t="s">
        <v>5100</v>
      </c>
      <c r="C1565" s="4" t="s">
        <v>5083</v>
      </c>
      <c r="D1565" s="4" t="s">
        <v>5084</v>
      </c>
      <c r="E1565" s="4" t="s">
        <v>5085</v>
      </c>
      <c r="F1565" s="4" t="str">
        <f>HYPERLINK("http://www.robertopancani.it/","www.robertopancani.it")</f>
        <v>www.robertopancani.it</v>
      </c>
    </row>
    <row r="1566" spans="1:6" ht="16.95" customHeight="1" x14ac:dyDescent="0.25">
      <c r="A1566" s="1" t="s">
        <v>5101</v>
      </c>
      <c r="B1566" s="6" t="s">
        <v>5102</v>
      </c>
      <c r="C1566" s="6" t="s">
        <v>5083</v>
      </c>
      <c r="D1566" s="6" t="s">
        <v>5084</v>
      </c>
      <c r="E1566" s="6" t="s">
        <v>5085</v>
      </c>
      <c r="F1566" s="6" t="str">
        <f>HYPERLINK("http://www.civico30.com/","www.civico30.com")</f>
        <v>www.civico30.com</v>
      </c>
    </row>
    <row r="1567" spans="1:6" ht="16.95" customHeight="1" x14ac:dyDescent="0.25">
      <c r="A1567" s="5" t="s">
        <v>5103</v>
      </c>
      <c r="B1567" s="4" t="s">
        <v>5104</v>
      </c>
      <c r="C1567" s="4" t="s">
        <v>5073</v>
      </c>
      <c r="D1567" s="4" t="s">
        <v>5093</v>
      </c>
      <c r="E1567" s="4" t="s">
        <v>5089</v>
      </c>
      <c r="F1567" s="4" t="str">
        <f>HYPERLINK("http://www.solettificiomassetti.it/","www.solettificiomassetti.it")</f>
        <v>www.solettificiomassetti.it</v>
      </c>
    </row>
    <row r="1568" spans="1:6" ht="16.95" customHeight="1" x14ac:dyDescent="0.25">
      <c r="A1568" s="5" t="s">
        <v>5105</v>
      </c>
      <c r="B1568" s="4" t="s">
        <v>5106</v>
      </c>
      <c r="C1568" s="4" t="s">
        <v>5076</v>
      </c>
      <c r="D1568" s="4" t="s">
        <v>5107</v>
      </c>
      <c r="E1568" s="4" t="s">
        <v>5108</v>
      </c>
      <c r="F1568" s="4" t="str">
        <f>HYPERLINK("http://host.samet.it/","host.samet.it")</f>
        <v>host.samet.it</v>
      </c>
    </row>
    <row r="1569" spans="1:6" ht="16.95" customHeight="1" x14ac:dyDescent="0.25">
      <c r="A1569" s="5" t="s">
        <v>5109</v>
      </c>
      <c r="B1569" s="4" t="s">
        <v>5110</v>
      </c>
      <c r="C1569" s="4" t="s">
        <v>5094</v>
      </c>
      <c r="D1569" s="4" t="s">
        <v>5090</v>
      </c>
      <c r="E1569" s="4" t="s">
        <v>5085</v>
      </c>
      <c r="F1569" s="4" t="str">
        <f>HYPERLINK("http://www.colibrisrl.net/","www.colibrisrl.net")</f>
        <v>www.colibrisrl.net</v>
      </c>
    </row>
    <row r="1570" spans="1:6" ht="16.95" customHeight="1" x14ac:dyDescent="0.25">
      <c r="A1570" s="1" t="s">
        <v>5111</v>
      </c>
      <c r="B1570" s="6" t="s">
        <v>5112</v>
      </c>
      <c r="C1570" s="6" t="s">
        <v>5076</v>
      </c>
      <c r="D1570" s="6" t="s">
        <v>5113</v>
      </c>
      <c r="E1570" s="6" t="s">
        <v>5114</v>
      </c>
      <c r="F1570" s="6" t="str">
        <f>HYPERLINK("http://www.tranceriafm.it/","www.tranceriafm.it")</f>
        <v>www.tranceriafm.it</v>
      </c>
    </row>
    <row r="1571" spans="1:6" ht="16.95" customHeight="1" x14ac:dyDescent="0.25">
      <c r="A1571" s="5" t="s">
        <v>5115</v>
      </c>
      <c r="B1571" s="4" t="s">
        <v>5116</v>
      </c>
      <c r="C1571" s="4" t="s">
        <v>5094</v>
      </c>
      <c r="D1571" s="4" t="s">
        <v>5090</v>
      </c>
      <c r="E1571" s="4" t="s">
        <v>5085</v>
      </c>
      <c r="F1571" s="4" t="str">
        <f>HYPERLINK("http://www.conceriamadera.it/","www.conceriamadera.it")</f>
        <v>www.conceriamadera.it</v>
      </c>
    </row>
    <row r="1572" spans="1:6" ht="29.55" customHeight="1" x14ac:dyDescent="0.25">
      <c r="A1572" s="1" t="s">
        <v>5117</v>
      </c>
      <c r="B1572" s="6" t="s">
        <v>5118</v>
      </c>
      <c r="C1572" s="6" t="s">
        <v>5073</v>
      </c>
      <c r="D1572" s="6" t="s">
        <v>5093</v>
      </c>
      <c r="E1572" s="6" t="s">
        <v>5089</v>
      </c>
      <c r="F1572" s="6" t="str">
        <f>HYPERLINK("http://www.davincontrafforti.it/","www.davincontrafforti.it")</f>
        <v>www.davincontrafforti.it</v>
      </c>
    </row>
    <row r="1573" spans="1:6" ht="16.95" customHeight="1" x14ac:dyDescent="0.25">
      <c r="A1573" s="5" t="s">
        <v>5119</v>
      </c>
      <c r="B1573" s="4" t="s">
        <v>5120</v>
      </c>
      <c r="C1573" s="4" t="s">
        <v>5076</v>
      </c>
      <c r="D1573" s="4" t="s">
        <v>5093</v>
      </c>
      <c r="E1573" s="4" t="s">
        <v>5089</v>
      </c>
      <c r="F1573" s="4" t="str">
        <f>HYPERLINK("http://www.fiorita.it/","www.fiorita.it")</f>
        <v>www.fiorita.it</v>
      </c>
    </row>
    <row r="1574" spans="1:6" ht="16.95" customHeight="1" x14ac:dyDescent="0.25">
      <c r="A1574" s="1" t="s">
        <v>5125</v>
      </c>
      <c r="B1574" s="6" t="s">
        <v>5126</v>
      </c>
      <c r="C1574" s="6" t="s">
        <v>5121</v>
      </c>
      <c r="D1574" s="6" t="s">
        <v>5127</v>
      </c>
      <c r="E1574" s="6" t="s">
        <v>5128</v>
      </c>
      <c r="F1574" s="6" t="str">
        <f>HYPERLINK("http://www.lasertorresi.it/","www.lasertorresi.it")</f>
        <v>www.lasertorresi.it</v>
      </c>
    </row>
    <row r="1575" spans="1:6" ht="16.95" customHeight="1" x14ac:dyDescent="0.25">
      <c r="A1575" s="5" t="s">
        <v>5129</v>
      </c>
      <c r="B1575" s="4" t="s">
        <v>5130</v>
      </c>
      <c r="C1575" s="4" t="s">
        <v>5121</v>
      </c>
      <c r="D1575" s="4" t="s">
        <v>5131</v>
      </c>
      <c r="E1575" s="4" t="s">
        <v>5124</v>
      </c>
      <c r="F1575" s="4" t="str">
        <f>HYPERLINK("http://www.tacchificio.com/","http://www.tacchificio.com")</f>
        <v>http://www.tacchificio.com</v>
      </c>
    </row>
    <row r="1576" spans="1:6" ht="16.95" customHeight="1" x14ac:dyDescent="0.25">
      <c r="A1576" s="5" t="s">
        <v>5133</v>
      </c>
      <c r="B1576" s="4" t="s">
        <v>5134</v>
      </c>
      <c r="C1576" s="4" t="s">
        <v>5135</v>
      </c>
      <c r="D1576" s="4" t="s">
        <v>5136</v>
      </c>
      <c r="E1576" s="4" t="s">
        <v>5132</v>
      </c>
      <c r="F1576" s="4" t="str">
        <f>HYPERLINK("http://www.valigeriamascetti.it/","www.valigeriamascetti.it")</f>
        <v>www.valigeriamascetti.it</v>
      </c>
    </row>
    <row r="1577" spans="1:6" ht="16.95" customHeight="1" x14ac:dyDescent="0.25">
      <c r="A1577" s="5" t="s">
        <v>5137</v>
      </c>
      <c r="B1577" s="4" t="s">
        <v>5138</v>
      </c>
      <c r="C1577" s="4" t="s">
        <v>5139</v>
      </c>
      <c r="D1577" s="4" t="s">
        <v>5140</v>
      </c>
      <c r="E1577" s="4" t="s">
        <v>5128</v>
      </c>
      <c r="F1577" s="4" t="str">
        <f>HYPERLINK("http://www.elizadivenezia.it/","www.elizadivenezia.it")</f>
        <v>www.elizadivenezia.it</v>
      </c>
    </row>
    <row r="1578" spans="1:6" ht="16.95" customHeight="1" x14ac:dyDescent="0.25">
      <c r="A1578" s="1" t="s">
        <v>5141</v>
      </c>
      <c r="B1578" s="6" t="s">
        <v>5142</v>
      </c>
      <c r="C1578" s="6" t="s">
        <v>5121</v>
      </c>
      <c r="D1578" s="6" t="s">
        <v>5127</v>
      </c>
      <c r="E1578" s="6" t="s">
        <v>5128</v>
      </c>
      <c r="F1578" s="6" t="str">
        <f>HYPERLINK("http://www.suolificio-gfg.com/","www.suolificio-gfg.com")</f>
        <v>www.suolificio-gfg.com</v>
      </c>
    </row>
    <row r="1579" spans="1:6" ht="16.95" customHeight="1" x14ac:dyDescent="0.25">
      <c r="A1579" s="5" t="s">
        <v>5143</v>
      </c>
      <c r="B1579" s="4" t="s">
        <v>5144</v>
      </c>
      <c r="C1579" s="4" t="s">
        <v>5145</v>
      </c>
      <c r="D1579" s="4" t="s">
        <v>5123</v>
      </c>
      <c r="E1579" s="4" t="s">
        <v>5124</v>
      </c>
      <c r="F1579" s="4" t="str">
        <f>HYPERLINK("http://www.mtos.it/","www.mtos.it")</f>
        <v>www.mtos.it</v>
      </c>
    </row>
    <row r="1580" spans="1:6" ht="16.95" customHeight="1" x14ac:dyDescent="0.25">
      <c r="A1580" s="5" t="s">
        <v>5150</v>
      </c>
      <c r="B1580" s="4" t="s">
        <v>5151</v>
      </c>
      <c r="C1580" s="4" t="s">
        <v>5145</v>
      </c>
      <c r="D1580" s="4" t="s">
        <v>5152</v>
      </c>
      <c r="E1580" s="4" t="s">
        <v>5122</v>
      </c>
      <c r="F1580" s="4" t="str">
        <f>HYPERLINK("http://www.stefanardi.com/","www.stefanardi.com")</f>
        <v>www.stefanardi.com</v>
      </c>
    </row>
    <row r="1581" spans="1:6" ht="29.55" customHeight="1" x14ac:dyDescent="0.25">
      <c r="A1581" s="5" t="s">
        <v>5153</v>
      </c>
      <c r="B1581" s="4" t="s">
        <v>5154</v>
      </c>
      <c r="C1581" s="4" t="s">
        <v>5135</v>
      </c>
      <c r="D1581" s="4" t="s">
        <v>5155</v>
      </c>
      <c r="E1581" s="4" t="s">
        <v>5156</v>
      </c>
      <c r="F1581" s="4" t="str">
        <f>HYPERLINK("http://www.complastsnc.com/","www.complastsnc.com")</f>
        <v>www.complastsnc.com</v>
      </c>
    </row>
    <row r="1582" spans="1:6" ht="16.95" customHeight="1" x14ac:dyDescent="0.25">
      <c r="A1582" s="1" t="s">
        <v>5157</v>
      </c>
      <c r="B1582" s="6" t="s">
        <v>5158</v>
      </c>
      <c r="C1582" s="6" t="s">
        <v>5147</v>
      </c>
      <c r="D1582" s="6" t="s">
        <v>5148</v>
      </c>
      <c r="E1582" s="6" t="s">
        <v>5146</v>
      </c>
      <c r="F1582" s="6" t="str">
        <f>HYPERLINK("http://www.megisrl.com/","www.megisrl.com")</f>
        <v>www.megisrl.com</v>
      </c>
    </row>
    <row r="1583" spans="1:6" ht="16.95" customHeight="1" x14ac:dyDescent="0.25">
      <c r="A1583" s="5" t="s">
        <v>5159</v>
      </c>
      <c r="B1583" s="4" t="s">
        <v>5160</v>
      </c>
      <c r="C1583" s="4" t="s">
        <v>5145</v>
      </c>
      <c r="D1583" s="4" t="s">
        <v>5161</v>
      </c>
      <c r="E1583" s="4" t="s">
        <v>5149</v>
      </c>
      <c r="F1583" s="4" t="str">
        <f>HYPERLINK("http://www.maestripellettieri.it/","www.maestripellettieri.it")</f>
        <v>www.maestripellettieri.it</v>
      </c>
    </row>
    <row r="1584" spans="1:6" ht="16.95" customHeight="1" x14ac:dyDescent="0.25">
      <c r="A1584" s="5" t="s">
        <v>5162</v>
      </c>
      <c r="B1584" s="4" t="s">
        <v>5163</v>
      </c>
      <c r="C1584" s="4" t="s">
        <v>5145</v>
      </c>
      <c r="D1584" s="4" t="s">
        <v>5164</v>
      </c>
      <c r="E1584" s="4" t="s">
        <v>5132</v>
      </c>
      <c r="F1584" s="4" t="str">
        <f>HYPERLINK("http://www.donnaelissa.it/","www.donnaelissa.it")</f>
        <v>www.donnaelissa.it</v>
      </c>
    </row>
    <row r="1585" spans="1:6" ht="16.95" customHeight="1" x14ac:dyDescent="0.25">
      <c r="A1585" s="1" t="s">
        <v>5165</v>
      </c>
      <c r="B1585" s="6" t="s">
        <v>5166</v>
      </c>
      <c r="C1585" s="6" t="s">
        <v>5135</v>
      </c>
      <c r="D1585" s="6" t="s">
        <v>5167</v>
      </c>
      <c r="E1585" s="6" t="s">
        <v>5168</v>
      </c>
      <c r="F1585" s="6" t="str">
        <f>HYPERLINK("http://www.parmeggiani.com/","www.parmeggiani.com")</f>
        <v>www.parmeggiani.com</v>
      </c>
    </row>
    <row r="1586" spans="1:6" ht="16.95" customHeight="1" x14ac:dyDescent="0.25">
      <c r="A1586" s="5" t="s">
        <v>5169</v>
      </c>
      <c r="B1586" s="4" t="s">
        <v>5170</v>
      </c>
      <c r="C1586" s="4" t="s">
        <v>5139</v>
      </c>
      <c r="D1586" s="4" t="s">
        <v>5171</v>
      </c>
      <c r="E1586" s="4" t="s">
        <v>5124</v>
      </c>
      <c r="F1586" s="4" t="str">
        <f>HYPERLINK("http://www.katysrl.com/","www.katysrl.com")</f>
        <v>www.katysrl.com</v>
      </c>
    </row>
    <row r="1587" spans="1:6" ht="29.55" customHeight="1" x14ac:dyDescent="0.25">
      <c r="A1587" s="1" t="s">
        <v>5172</v>
      </c>
      <c r="B1587" s="6" t="s">
        <v>5173</v>
      </c>
      <c r="C1587" s="6" t="s">
        <v>5139</v>
      </c>
      <c r="D1587" s="6" t="s">
        <v>5140</v>
      </c>
      <c r="E1587" s="6" t="s">
        <v>5128</v>
      </c>
      <c r="F1587" s="6" t="str">
        <f>HYPERLINK("http://www.codiceshoes.it/","www.codiceshoes.it")</f>
        <v>www.codiceshoes.it</v>
      </c>
    </row>
    <row r="1588" spans="1:6" ht="16.95" customHeight="1" x14ac:dyDescent="0.25">
      <c r="A1588" s="1" t="s">
        <v>5174</v>
      </c>
      <c r="B1588" s="6" t="s">
        <v>5175</v>
      </c>
      <c r="C1588" s="6" t="s">
        <v>5176</v>
      </c>
      <c r="D1588" s="6" t="s">
        <v>5177</v>
      </c>
      <c r="E1588" s="6" t="s">
        <v>5178</v>
      </c>
      <c r="F1588" s="6" t="str">
        <f>HYPERLINK("http://www.concerialafortezza.it/","www.concerialafortezza.it")</f>
        <v>www.concerialafortezza.it</v>
      </c>
    </row>
    <row r="1589" spans="1:6" ht="16.95" customHeight="1" x14ac:dyDescent="0.25">
      <c r="A1589" s="1" t="s">
        <v>5181</v>
      </c>
      <c r="B1589" s="6" t="s">
        <v>5182</v>
      </c>
      <c r="C1589" s="6" t="s">
        <v>5183</v>
      </c>
      <c r="D1589" s="6" t="s">
        <v>5184</v>
      </c>
      <c r="E1589" s="6" t="s">
        <v>5185</v>
      </c>
      <c r="F1589" s="6" t="str">
        <f>HYPERLINK("http://www.naglev.com/","www.naglev.com")</f>
        <v>www.naglev.com</v>
      </c>
    </row>
    <row r="1590" spans="1:6" ht="16.95" customHeight="1" x14ac:dyDescent="0.25">
      <c r="A1590" s="1" t="s">
        <v>5187</v>
      </c>
      <c r="B1590" s="6" t="s">
        <v>5188</v>
      </c>
      <c r="C1590" s="6" t="s">
        <v>5183</v>
      </c>
      <c r="D1590" s="6" t="s">
        <v>5189</v>
      </c>
      <c r="E1590" s="6" t="s">
        <v>5186</v>
      </c>
      <c r="F1590" s="6" t="str">
        <f>HYPERLINK("http://www.porselli.it/","www.porselli.it")</f>
        <v>www.porselli.it</v>
      </c>
    </row>
    <row r="1591" spans="1:6" ht="16.95" customHeight="1" x14ac:dyDescent="0.25">
      <c r="A1591" s="1" t="s">
        <v>5190</v>
      </c>
      <c r="B1591" s="6" t="s">
        <v>5191</v>
      </c>
      <c r="C1591" s="6" t="s">
        <v>5179</v>
      </c>
      <c r="D1591" s="6" t="s">
        <v>5192</v>
      </c>
      <c r="E1591" s="6" t="s">
        <v>5193</v>
      </c>
      <c r="F1591" s="6" t="str">
        <f>HYPERLINK("http://www.numero10bags.com/","www.numero10bags.com")</f>
        <v>www.numero10bags.com</v>
      </c>
    </row>
    <row r="1592" spans="1:6" ht="16.95" customHeight="1" x14ac:dyDescent="0.25">
      <c r="A1592" s="1" t="s">
        <v>5194</v>
      </c>
      <c r="B1592" s="6" t="s">
        <v>5195</v>
      </c>
      <c r="C1592" s="6" t="s">
        <v>5179</v>
      </c>
      <c r="D1592" s="6" t="s">
        <v>5196</v>
      </c>
      <c r="E1592" s="6" t="s">
        <v>5193</v>
      </c>
      <c r="F1592" s="6" t="str">
        <f>HYPERLINK("http://www.bazzecole.com/","www.bazzecole.com")</f>
        <v>www.bazzecole.com</v>
      </c>
    </row>
    <row r="1593" spans="1:6" ht="16.95" customHeight="1" x14ac:dyDescent="0.25">
      <c r="A1593" s="1" t="s">
        <v>5199</v>
      </c>
      <c r="B1593" s="6" t="s">
        <v>5200</v>
      </c>
      <c r="C1593" s="6" t="s">
        <v>5180</v>
      </c>
      <c r="D1593" s="6" t="s">
        <v>5189</v>
      </c>
      <c r="E1593" s="6" t="s">
        <v>5186</v>
      </c>
      <c r="F1593" s="6" t="str">
        <f>HYPERLINK("http://www.mbflegnano.com/","www.mbflegnano.com")</f>
        <v>www.mbflegnano.com</v>
      </c>
    </row>
    <row r="1594" spans="1:6" ht="16.95" customHeight="1" x14ac:dyDescent="0.25">
      <c r="A1594" s="1" t="s">
        <v>5201</v>
      </c>
      <c r="B1594" s="6" t="s">
        <v>5202</v>
      </c>
      <c r="C1594" s="6" t="s">
        <v>5180</v>
      </c>
      <c r="D1594" s="6" t="s">
        <v>5177</v>
      </c>
      <c r="E1594" s="6" t="s">
        <v>5178</v>
      </c>
      <c r="F1594" s="6" t="str">
        <f>HYPERLINK("http://www.nuova3b.it/","www.nuova3b.it")</f>
        <v>www.nuova3b.it</v>
      </c>
    </row>
    <row r="1595" spans="1:6" ht="16.95" customHeight="1" x14ac:dyDescent="0.25">
      <c r="A1595" s="1" t="s">
        <v>5203</v>
      </c>
      <c r="B1595" s="6" t="s">
        <v>5204</v>
      </c>
      <c r="C1595" s="6" t="s">
        <v>5179</v>
      </c>
      <c r="D1595" s="6" t="s">
        <v>5205</v>
      </c>
      <c r="E1595" s="6" t="s">
        <v>5185</v>
      </c>
      <c r="F1595" s="6" t="str">
        <f>HYPERLINK("http://stylehunter.it/","stylehunter.it")</f>
        <v>stylehunter.it</v>
      </c>
    </row>
    <row r="1596" spans="1:6" ht="16.95" customHeight="1" x14ac:dyDescent="0.25">
      <c r="A1596" s="1" t="s">
        <v>5206</v>
      </c>
      <c r="B1596" s="6" t="s">
        <v>5207</v>
      </c>
      <c r="C1596" s="6" t="s">
        <v>5183</v>
      </c>
      <c r="D1596" s="6" t="s">
        <v>5197</v>
      </c>
      <c r="E1596" s="6" t="s">
        <v>5198</v>
      </c>
      <c r="F1596" s="6" t="str">
        <f>HYPERLINK("http://bocachesalvucci.com/","bocachesalvucci.com")</f>
        <v>bocachesalvucci.com</v>
      </c>
    </row>
    <row r="1597" spans="1:6" ht="16.95" customHeight="1" x14ac:dyDescent="0.25">
      <c r="A1597" s="5" t="s">
        <v>5209</v>
      </c>
      <c r="B1597" s="4" t="s">
        <v>5210</v>
      </c>
      <c r="C1597" s="4" t="s">
        <v>5211</v>
      </c>
      <c r="D1597" s="4" t="s">
        <v>5212</v>
      </c>
      <c r="E1597" s="4" t="s">
        <v>5213</v>
      </c>
      <c r="F1597" s="4" t="str">
        <f>HYPERLINK("http://www.chrissitaly.com/","www.chrissitaly.com")</f>
        <v>www.chrissitaly.com</v>
      </c>
    </row>
    <row r="1598" spans="1:6" ht="43.05" customHeight="1" x14ac:dyDescent="0.25">
      <c r="A1598" s="1" t="s">
        <v>5215</v>
      </c>
      <c r="B1598" s="6" t="s">
        <v>5216</v>
      </c>
      <c r="C1598" s="6" t="s">
        <v>5211</v>
      </c>
      <c r="D1598" s="6" t="s">
        <v>5217</v>
      </c>
      <c r="E1598" s="6" t="s">
        <v>5218</v>
      </c>
      <c r="F1598" s="6" t="str">
        <f>HYPERLINK("http://www.miss-d.it/","www.miss-d.it")</f>
        <v>www.miss-d.it</v>
      </c>
    </row>
    <row r="1599" spans="1:6" ht="16.95" customHeight="1" x14ac:dyDescent="0.25">
      <c r="A1599" s="5" t="s">
        <v>5220</v>
      </c>
      <c r="B1599" s="4" t="s">
        <v>5221</v>
      </c>
      <c r="C1599" s="4" t="s">
        <v>5214</v>
      </c>
      <c r="D1599" s="4" t="s">
        <v>5222</v>
      </c>
      <c r="E1599" s="4" t="s">
        <v>5223</v>
      </c>
      <c r="F1599" s="4" t="str">
        <f>HYPERLINK("http://www.ilcantierestore.it/","www.ilcantierestore.it")</f>
        <v>www.ilcantierestore.it</v>
      </c>
    </row>
    <row r="1600" spans="1:6" ht="16.95" customHeight="1" x14ac:dyDescent="0.25">
      <c r="A1600" s="1" t="s">
        <v>5226</v>
      </c>
      <c r="B1600" s="6" t="s">
        <v>5227</v>
      </c>
      <c r="C1600" s="6" t="s">
        <v>5214</v>
      </c>
      <c r="D1600" s="6" t="s">
        <v>5222</v>
      </c>
      <c r="E1600" s="6" t="s">
        <v>5223</v>
      </c>
      <c r="F1600" s="6" t="str">
        <f>HYPERLINK("http://www.leveluponline.it/","www.leveluponline.it")</f>
        <v>www.leveluponline.it</v>
      </c>
    </row>
    <row r="1601" spans="1:6" ht="16.95" customHeight="1" x14ac:dyDescent="0.25">
      <c r="A1601" s="1" t="s">
        <v>5228</v>
      </c>
      <c r="B1601" s="6" t="s">
        <v>5229</v>
      </c>
      <c r="C1601" s="6" t="s">
        <v>5208</v>
      </c>
      <c r="D1601" s="6" t="s">
        <v>5230</v>
      </c>
      <c r="E1601" s="6" t="s">
        <v>5213</v>
      </c>
      <c r="F1601" s="6" t="str">
        <f>HYPERLINK("http://www.cyclica.it/","www.cyclica.it")</f>
        <v>www.cyclica.it</v>
      </c>
    </row>
    <row r="1602" spans="1:6" ht="16.95" customHeight="1" x14ac:dyDescent="0.25">
      <c r="A1602" s="1" t="s">
        <v>5231</v>
      </c>
      <c r="B1602" s="6" t="s">
        <v>5232</v>
      </c>
      <c r="C1602" s="6" t="s">
        <v>5211</v>
      </c>
      <c r="D1602" s="6" t="s">
        <v>5224</v>
      </c>
      <c r="E1602" s="6" t="s">
        <v>5223</v>
      </c>
      <c r="F1602" s="6" t="str">
        <f>HYPERLINK("http://www.calzaturificioluca.it/","www.calzaturificioluca.it")</f>
        <v>www.calzaturificioluca.it</v>
      </c>
    </row>
    <row r="1603" spans="1:6" ht="16.95" customHeight="1" x14ac:dyDescent="0.25">
      <c r="A1603" s="1" t="s">
        <v>5233</v>
      </c>
      <c r="B1603" s="6" t="s">
        <v>5234</v>
      </c>
      <c r="C1603" s="6" t="s">
        <v>5214</v>
      </c>
      <c r="D1603" s="6" t="s">
        <v>5230</v>
      </c>
      <c r="E1603" s="6" t="s">
        <v>5213</v>
      </c>
      <c r="F1603" s="6" t="str">
        <f>HYPERLINK("http://www.posturalpoint.com/","www.posturalpoint.com")</f>
        <v>www.posturalpoint.com</v>
      </c>
    </row>
    <row r="1604" spans="1:6" ht="16.95" customHeight="1" x14ac:dyDescent="0.25">
      <c r="A1604" s="1" t="s">
        <v>5235</v>
      </c>
      <c r="B1604" s="6" t="s">
        <v>5236</v>
      </c>
      <c r="C1604" s="6" t="s">
        <v>5208</v>
      </c>
      <c r="D1604" s="6" t="s">
        <v>5225</v>
      </c>
      <c r="E1604" s="6" t="s">
        <v>5213</v>
      </c>
      <c r="F1604" s="6" t="str">
        <f>HYPERLINK("http://www.galiottodesign.it/","www.galiottodesign.it")</f>
        <v>www.galiottodesign.it</v>
      </c>
    </row>
    <row r="1605" spans="1:6" ht="16.95" customHeight="1" x14ac:dyDescent="0.25">
      <c r="A1605" s="5" t="s">
        <v>5237</v>
      </c>
      <c r="B1605" s="4" t="s">
        <v>5238</v>
      </c>
      <c r="C1605" s="4" t="s">
        <v>5219</v>
      </c>
      <c r="D1605" s="4" t="s">
        <v>5222</v>
      </c>
      <c r="E1605" s="4" t="s">
        <v>5223</v>
      </c>
      <c r="F1605" s="4" t="str">
        <f>HYPERLINK("http://www.stephennewline.it/","www.stephennewline.it")</f>
        <v>www.stephennewline.it</v>
      </c>
    </row>
    <row r="1606" spans="1:6" ht="16.95" customHeight="1" x14ac:dyDescent="0.25">
      <c r="A1606" s="1" t="s">
        <v>5239</v>
      </c>
      <c r="B1606" s="6" t="s">
        <v>5240</v>
      </c>
      <c r="C1606" s="6" t="s">
        <v>5241</v>
      </c>
      <c r="D1606" s="6" t="s">
        <v>5242</v>
      </c>
      <c r="E1606" s="6" t="s">
        <v>5243</v>
      </c>
      <c r="F1606" s="6" t="str">
        <f>HYPERLINK("http://www.caponitacchificio.it/","www.caponitacchificio.it")</f>
        <v>www.caponitacchificio.it</v>
      </c>
    </row>
    <row r="1607" spans="1:6" ht="29.55" customHeight="1" x14ac:dyDescent="0.25">
      <c r="A1607" s="5" t="s">
        <v>5244</v>
      </c>
      <c r="B1607" s="4" t="s">
        <v>5245</v>
      </c>
      <c r="C1607" s="4" t="s">
        <v>5246</v>
      </c>
      <c r="D1607" s="4" t="s">
        <v>5247</v>
      </c>
      <c r="E1607" s="4" t="s">
        <v>5248</v>
      </c>
      <c r="F1607" s="4" t="str">
        <f>HYPERLINK("http://www.suolificiocentroitalia.it/","www.suolificiocentroitalia.it")</f>
        <v>www.suolificiocentroitalia.it</v>
      </c>
    </row>
    <row r="1608" spans="1:6" ht="29.55" customHeight="1" x14ac:dyDescent="0.25">
      <c r="A1608" s="1" t="s">
        <v>5249</v>
      </c>
      <c r="B1608" s="6" t="s">
        <v>5250</v>
      </c>
      <c r="C1608" s="6" t="s">
        <v>5251</v>
      </c>
      <c r="D1608" s="6" t="s">
        <v>5252</v>
      </c>
      <c r="E1608" s="6" t="s">
        <v>5253</v>
      </c>
      <c r="F1608" s="6" t="str">
        <f>HYPERLINK("http://emanuelacaruso.com/","emanuelacaruso.com")</f>
        <v>emanuelacaruso.com</v>
      </c>
    </row>
    <row r="1609" spans="1:6" ht="16.95" customHeight="1" x14ac:dyDescent="0.25">
      <c r="A1609" s="1" t="s">
        <v>5256</v>
      </c>
      <c r="B1609" s="6" t="s">
        <v>5257</v>
      </c>
      <c r="C1609" s="6" t="s">
        <v>5241</v>
      </c>
      <c r="D1609" s="6" t="s">
        <v>5254</v>
      </c>
      <c r="E1609" s="6" t="s">
        <v>5243</v>
      </c>
      <c r="F1609" s="6" t="str">
        <f>HYPERLINK("http://brunosfirenze.it/","brunosfirenze.it")</f>
        <v>brunosfirenze.it</v>
      </c>
    </row>
    <row r="1610" spans="1:6" ht="16.95" customHeight="1" x14ac:dyDescent="0.25">
      <c r="A1610" s="5" t="s">
        <v>5258</v>
      </c>
      <c r="B1610" s="4" t="s">
        <v>5259</v>
      </c>
      <c r="C1610" s="4" t="s">
        <v>5241</v>
      </c>
      <c r="D1610" s="4" t="s">
        <v>5260</v>
      </c>
      <c r="E1610" s="4" t="s">
        <v>5261</v>
      </c>
      <c r="F1610" s="4" t="str">
        <f>HYPERLINK("http://www.calzaturetrebi.it/","www.calzaturetrebi.it")</f>
        <v>www.calzaturetrebi.it</v>
      </c>
    </row>
    <row r="1611" spans="1:6" ht="16.95" customHeight="1" x14ac:dyDescent="0.25">
      <c r="A1611" s="5" t="s">
        <v>5263</v>
      </c>
      <c r="B1611" s="4" t="s">
        <v>5264</v>
      </c>
      <c r="C1611" s="4" t="s">
        <v>5255</v>
      </c>
      <c r="D1611" s="4" t="s">
        <v>5265</v>
      </c>
      <c r="E1611" s="4" t="s">
        <v>5243</v>
      </c>
      <c r="F1611" s="4" t="str">
        <f>HYPERLINK("http://www.arron.it/","www.arron.it")</f>
        <v>www.arron.it</v>
      </c>
    </row>
    <row r="1612" spans="1:6" ht="16.95" customHeight="1" x14ac:dyDescent="0.25">
      <c r="A1612" s="5" t="s">
        <v>5268</v>
      </c>
      <c r="B1612" s="4" t="s">
        <v>5269</v>
      </c>
      <c r="C1612" s="4" t="s">
        <v>5262</v>
      </c>
      <c r="D1612" s="4" t="s">
        <v>5266</v>
      </c>
      <c r="E1612" s="4" t="s">
        <v>5267</v>
      </c>
      <c r="F1612" s="4" t="str">
        <f>HYPERLINK("http://www.frescopelli.it/","www.frescopelli.it")</f>
        <v>www.frescopelli.it</v>
      </c>
    </row>
    <row r="1613" spans="1:6" ht="16.95" customHeight="1" x14ac:dyDescent="0.25">
      <c r="A1613" s="5" t="s">
        <v>5270</v>
      </c>
      <c r="B1613" s="4" t="s">
        <v>5271</v>
      </c>
      <c r="C1613" s="4" t="s">
        <v>5246</v>
      </c>
      <c r="D1613" s="4" t="s">
        <v>5242</v>
      </c>
      <c r="E1613" s="4" t="s">
        <v>5243</v>
      </c>
      <c r="F1613" s="4" t="str">
        <f>HYPERLINK("http://www.mariodoni.it/","www.mariodoni.it")</f>
        <v>www.mariodoni.it</v>
      </c>
    </row>
    <row r="1614" spans="1:6" ht="16.95" customHeight="1" x14ac:dyDescent="0.25">
      <c r="A1614" s="5" t="s">
        <v>5272</v>
      </c>
      <c r="B1614" s="4" t="s">
        <v>5273</v>
      </c>
      <c r="C1614" s="4" t="s">
        <v>5255</v>
      </c>
      <c r="D1614" s="4" t="s">
        <v>5260</v>
      </c>
      <c r="E1614" s="4" t="s">
        <v>5261</v>
      </c>
      <c r="F1614" s="4" t="str">
        <f>HYPERLINK("http://www.labelmark.it/","www.labelmark.it")</f>
        <v>www.labelmark.it</v>
      </c>
    </row>
    <row r="1615" spans="1:6" ht="16.95" customHeight="1" x14ac:dyDescent="0.25">
      <c r="A1615" s="5" t="s">
        <v>5276</v>
      </c>
      <c r="B1615" s="4" t="s">
        <v>5277</v>
      </c>
      <c r="C1615" s="4" t="s">
        <v>5278</v>
      </c>
      <c r="D1615" s="4" t="s">
        <v>5279</v>
      </c>
      <c r="E1615" s="4" t="s">
        <v>5280</v>
      </c>
      <c r="F1615" s="4" t="str">
        <f>HYPERLINK("http://www.newentryconceria.it/","www.newentryconceria.it")</f>
        <v>www.newentryconceria.it</v>
      </c>
    </row>
    <row r="1616" spans="1:6" ht="16.95" customHeight="1" x14ac:dyDescent="0.25">
      <c r="A1616" s="5" t="s">
        <v>5282</v>
      </c>
      <c r="B1616" s="4" t="s">
        <v>5283</v>
      </c>
      <c r="C1616" s="4" t="s">
        <v>5274</v>
      </c>
      <c r="D1616" s="4" t="s">
        <v>5279</v>
      </c>
      <c r="E1616" s="4" t="s">
        <v>5280</v>
      </c>
      <c r="F1616" s="4" t="str">
        <f>HYPERLINK("http://www.suolificioprisma.it/","www.suolificioprisma.it")</f>
        <v>www.suolificioprisma.it</v>
      </c>
    </row>
    <row r="1617" spans="1:6" ht="16.95" customHeight="1" x14ac:dyDescent="0.25">
      <c r="A1617" s="5" t="s">
        <v>5284</v>
      </c>
      <c r="B1617" s="4" t="s">
        <v>5285</v>
      </c>
      <c r="C1617" s="4" t="s">
        <v>5278</v>
      </c>
      <c r="D1617" s="4" t="s">
        <v>5286</v>
      </c>
      <c r="E1617" s="4" t="s">
        <v>5287</v>
      </c>
      <c r="F1617" s="4" t="str">
        <f>HYPERLINK("http://www.marpell.it/","www.marpell.it")</f>
        <v>www.marpell.it</v>
      </c>
    </row>
    <row r="1618" spans="1:6" ht="16.95" customHeight="1" x14ac:dyDescent="0.25">
      <c r="A1618" s="5" t="s">
        <v>5291</v>
      </c>
      <c r="B1618" s="4" t="s">
        <v>5292</v>
      </c>
      <c r="C1618" s="4" t="s">
        <v>5288</v>
      </c>
      <c r="D1618" s="4" t="s">
        <v>5293</v>
      </c>
      <c r="E1618" s="4" t="s">
        <v>5294</v>
      </c>
      <c r="F1618" s="4" t="str">
        <f>HYPERLINK("http://www.cartopel.it/","www.cartopel.it")</f>
        <v>www.cartopel.it</v>
      </c>
    </row>
    <row r="1619" spans="1:6" ht="16.95" customHeight="1" x14ac:dyDescent="0.25">
      <c r="A1619" s="1" t="s">
        <v>5295</v>
      </c>
      <c r="B1619" s="6" t="s">
        <v>5296</v>
      </c>
      <c r="C1619" s="6" t="s">
        <v>5281</v>
      </c>
      <c r="D1619" s="6" t="s">
        <v>5297</v>
      </c>
      <c r="E1619" s="6" t="s">
        <v>5298</v>
      </c>
      <c r="F1619" s="6" t="str">
        <f>HYPERLINK("http://www.stefanocorsini.it/","www.stefanocorsini.it")</f>
        <v>www.stefanocorsini.it</v>
      </c>
    </row>
    <row r="1620" spans="1:6" ht="16.95" customHeight="1" x14ac:dyDescent="0.25">
      <c r="A1620" s="1" t="s">
        <v>5299</v>
      </c>
      <c r="B1620" s="6" t="s">
        <v>5300</v>
      </c>
      <c r="C1620" s="6" t="s">
        <v>5281</v>
      </c>
      <c r="D1620" s="6" t="s">
        <v>5301</v>
      </c>
      <c r="E1620" s="6" t="s">
        <v>5287</v>
      </c>
      <c r="F1620" s="6" t="str">
        <f>HYPERLINK("http://www.studiobars.it/","www.studiobars.it")</f>
        <v>www.studiobars.it</v>
      </c>
    </row>
    <row r="1621" spans="1:6" ht="16.95" customHeight="1" x14ac:dyDescent="0.25">
      <c r="A1621" s="1" t="s">
        <v>5302</v>
      </c>
      <c r="B1621" s="6" t="s">
        <v>5303</v>
      </c>
      <c r="C1621" s="6" t="s">
        <v>5290</v>
      </c>
      <c r="D1621" s="6" t="s">
        <v>5286</v>
      </c>
      <c r="E1621" s="6" t="s">
        <v>5287</v>
      </c>
      <c r="F1621" s="6" t="str">
        <f>HYPERLINK("http://www.kjoreproject.com/","www.kjoreproject.com")</f>
        <v>www.kjoreproject.com</v>
      </c>
    </row>
    <row r="1622" spans="1:6" ht="16.95" customHeight="1" x14ac:dyDescent="0.25">
      <c r="A1622" s="5" t="s">
        <v>5304</v>
      </c>
      <c r="B1622" s="4" t="s">
        <v>5305</v>
      </c>
      <c r="C1622" s="4" t="s">
        <v>5290</v>
      </c>
      <c r="D1622" s="4" t="s">
        <v>5289</v>
      </c>
      <c r="E1622" s="4" t="s">
        <v>5275</v>
      </c>
      <c r="F1622" s="4" t="str">
        <f>HYPERLINK("http://www.maryatkins.it/","www.maryatkins.it")</f>
        <v>www.maryatkins.it</v>
      </c>
    </row>
    <row r="1623" spans="1:6" ht="16.95" customHeight="1" x14ac:dyDescent="0.25">
      <c r="A1623" s="5" t="s">
        <v>5309</v>
      </c>
      <c r="B1623" s="4" t="s">
        <v>5310</v>
      </c>
      <c r="C1623" s="4" t="s">
        <v>5311</v>
      </c>
      <c r="D1623" s="4" t="s">
        <v>5312</v>
      </c>
      <c r="E1623" s="4" t="s">
        <v>5313</v>
      </c>
      <c r="F1623" s="4" t="str">
        <f>HYPERLINK("http://www.beplast.it/","www.beplast.it")</f>
        <v>www.beplast.it</v>
      </c>
    </row>
    <row r="1624" spans="1:6" ht="29.55" customHeight="1" x14ac:dyDescent="0.25">
      <c r="A1624" s="1" t="s">
        <v>5314</v>
      </c>
      <c r="B1624" s="6" t="s">
        <v>5315</v>
      </c>
      <c r="C1624" s="6" t="s">
        <v>5311</v>
      </c>
      <c r="D1624" s="6" t="s">
        <v>5316</v>
      </c>
      <c r="E1624" s="6" t="s">
        <v>5317</v>
      </c>
      <c r="F1624" s="6" t="str">
        <f>HYPERLINK("http://www.trecimeshoes.com/","www.trecimeshoes.com")</f>
        <v>www.trecimeshoes.com</v>
      </c>
    </row>
    <row r="1625" spans="1:6" ht="16.95" customHeight="1" x14ac:dyDescent="0.25">
      <c r="A1625" s="5" t="s">
        <v>5321</v>
      </c>
      <c r="B1625" s="4" t="s">
        <v>5322</v>
      </c>
      <c r="C1625" s="4" t="s">
        <v>5311</v>
      </c>
      <c r="D1625" s="4" t="s">
        <v>5319</v>
      </c>
      <c r="E1625" s="4" t="s">
        <v>5320</v>
      </c>
      <c r="F1625" s="4" t="str">
        <f>HYPERLINK("http://www.tesoronemadeinitaly.com/","www.tesoronemadeinitaly.com")</f>
        <v>www.tesoronemadeinitaly.com</v>
      </c>
    </row>
    <row r="1626" spans="1:6" ht="16.95" customHeight="1" x14ac:dyDescent="0.25">
      <c r="A1626" s="5" t="s">
        <v>5323</v>
      </c>
      <c r="B1626" s="4" t="s">
        <v>5324</v>
      </c>
      <c r="C1626" s="4" t="s">
        <v>5311</v>
      </c>
      <c r="D1626" s="4" t="s">
        <v>5307</v>
      </c>
      <c r="E1626" s="4" t="s">
        <v>5308</v>
      </c>
      <c r="F1626" s="4" t="str">
        <f>HYPERLINK("http://normajbaker.it/","normajbaker.it")</f>
        <v>normajbaker.it</v>
      </c>
    </row>
    <row r="1627" spans="1:6" ht="16.95" customHeight="1" x14ac:dyDescent="0.25">
      <c r="A1627" s="1" t="s">
        <v>5325</v>
      </c>
      <c r="B1627" s="6" t="s">
        <v>5326</v>
      </c>
      <c r="C1627" s="6" t="s">
        <v>5306</v>
      </c>
      <c r="D1627" s="6" t="s">
        <v>5327</v>
      </c>
      <c r="E1627" s="6" t="s">
        <v>5328</v>
      </c>
      <c r="F1627" s="6" t="str">
        <f>HYPERLINK("http://kultureshop.it/","kultureshop.it")</f>
        <v>kultureshop.it</v>
      </c>
    </row>
    <row r="1628" spans="1:6" ht="16.95" customHeight="1" x14ac:dyDescent="0.25">
      <c r="A1628" s="1" t="s">
        <v>5329</v>
      </c>
      <c r="B1628" s="6" t="s">
        <v>5330</v>
      </c>
      <c r="C1628" s="6" t="s">
        <v>5318</v>
      </c>
      <c r="D1628" s="6" t="s">
        <v>5312</v>
      </c>
      <c r="E1628" s="6" t="s">
        <v>5313</v>
      </c>
      <c r="F1628" s="6" t="str">
        <f>HYPERLINK("http://www.prontosport.it/","www.prontosport.it")</f>
        <v>www.prontosport.it</v>
      </c>
    </row>
    <row r="1629" spans="1:6" ht="16.95" customHeight="1" x14ac:dyDescent="0.25">
      <c r="A1629" s="5" t="s">
        <v>5331</v>
      </c>
      <c r="B1629" s="4" t="s">
        <v>5332</v>
      </c>
      <c r="C1629" s="4" t="s">
        <v>5333</v>
      </c>
      <c r="D1629" s="4" t="s">
        <v>5334</v>
      </c>
      <c r="E1629" s="4" t="s">
        <v>5317</v>
      </c>
      <c r="F1629" s="4" t="str">
        <f>HYPERLINK("http://www.eurosab.com/","www.eurosab.com")</f>
        <v>www.eurosab.com</v>
      </c>
    </row>
    <row r="1630" spans="1:6" ht="16.95" customHeight="1" x14ac:dyDescent="0.25">
      <c r="A1630" s="1" t="s">
        <v>5335</v>
      </c>
      <c r="B1630" s="6" t="s">
        <v>5336</v>
      </c>
      <c r="C1630" s="6" t="s">
        <v>5306</v>
      </c>
      <c r="D1630" s="6" t="s">
        <v>5337</v>
      </c>
      <c r="E1630" s="6" t="s">
        <v>5308</v>
      </c>
      <c r="F1630" s="6" t="str">
        <f>HYPERLINK("http://www.cocciaeco.it/","www.cocciaeco.it")</f>
        <v>www.cocciaeco.it</v>
      </c>
    </row>
    <row r="1631" spans="1:6" ht="16.95" customHeight="1" x14ac:dyDescent="0.25">
      <c r="A1631" s="1" t="s">
        <v>5346</v>
      </c>
      <c r="B1631" s="6" t="s">
        <v>5347</v>
      </c>
      <c r="C1631" s="6" t="s">
        <v>5340</v>
      </c>
      <c r="D1631" s="6" t="s">
        <v>5348</v>
      </c>
      <c r="E1631" s="6" t="s">
        <v>5342</v>
      </c>
      <c r="F1631" s="6" t="str">
        <f>HYPERLINK("http://www.calzaturificiosg.it/","www.calzaturificiosg.it")</f>
        <v>www.calzaturificiosg.it</v>
      </c>
    </row>
    <row r="1632" spans="1:6" ht="16.95" customHeight="1" x14ac:dyDescent="0.25">
      <c r="A1632" s="5" t="s">
        <v>5349</v>
      </c>
      <c r="B1632" s="4" t="s">
        <v>5350</v>
      </c>
      <c r="C1632" s="4" t="s">
        <v>5344</v>
      </c>
      <c r="D1632" s="4" t="s">
        <v>5341</v>
      </c>
      <c r="E1632" s="4" t="s">
        <v>5342</v>
      </c>
      <c r="F1632" s="4" t="str">
        <f>HYPERLINK("http://www.solettificioemme3.com/","www.solettificioemme3.com")</f>
        <v>www.solettificioemme3.com</v>
      </c>
    </row>
    <row r="1633" spans="1:6" ht="29.55" customHeight="1" x14ac:dyDescent="0.25">
      <c r="A1633" s="1" t="s">
        <v>5351</v>
      </c>
      <c r="B1633" s="6" t="s">
        <v>5352</v>
      </c>
      <c r="C1633" s="6" t="s">
        <v>5340</v>
      </c>
      <c r="D1633" s="6" t="s">
        <v>5353</v>
      </c>
      <c r="E1633" s="6" t="s">
        <v>5353</v>
      </c>
      <c r="F1633" s="6" t="str">
        <f>HYPERLINK("http://www.dsocka.com/","www.dsocka.com")</f>
        <v>www.dsocka.com</v>
      </c>
    </row>
    <row r="1634" spans="1:6" ht="16.95" customHeight="1" x14ac:dyDescent="0.25">
      <c r="A1634" s="1" t="s">
        <v>5354</v>
      </c>
      <c r="B1634" s="6" t="s">
        <v>5355</v>
      </c>
      <c r="C1634" s="6" t="s">
        <v>5344</v>
      </c>
      <c r="D1634" s="6" t="s">
        <v>5356</v>
      </c>
      <c r="E1634" s="6" t="s">
        <v>5357</v>
      </c>
      <c r="F1634" s="6" t="str">
        <f>HYPERLINK("http://www.solettificiobfb.com/","www.solettificiobfb.com")</f>
        <v>www.solettificiobfb.com</v>
      </c>
    </row>
    <row r="1635" spans="1:6" ht="16.95" customHeight="1" x14ac:dyDescent="0.25">
      <c r="A1635" s="1" t="s">
        <v>5358</v>
      </c>
      <c r="B1635" s="6" t="s">
        <v>5359</v>
      </c>
      <c r="C1635" s="6" t="s">
        <v>5338</v>
      </c>
      <c r="D1635" s="6" t="s">
        <v>5360</v>
      </c>
      <c r="E1635" s="6" t="s">
        <v>5361</v>
      </c>
      <c r="F1635" s="6" t="str">
        <f>HYPERLINK("http://www.pasinistile.it/","www.pasinistile.it")</f>
        <v>www.pasinistile.it</v>
      </c>
    </row>
    <row r="1636" spans="1:6" ht="16.95" customHeight="1" x14ac:dyDescent="0.25">
      <c r="A1636" s="1" t="s">
        <v>5362</v>
      </c>
      <c r="B1636" s="6" t="s">
        <v>5363</v>
      </c>
      <c r="C1636" s="6" t="s">
        <v>5343</v>
      </c>
      <c r="D1636" s="6" t="s">
        <v>5364</v>
      </c>
      <c r="E1636" s="6" t="s">
        <v>5339</v>
      </c>
      <c r="F1636" s="6" t="str">
        <f>HYPERLINK("http://www.pressopell.it/","www.pressopell.it")</f>
        <v>www.pressopell.it</v>
      </c>
    </row>
    <row r="1637" spans="1:6" ht="16.95" customHeight="1" x14ac:dyDescent="0.25">
      <c r="A1637" s="5" t="s">
        <v>5365</v>
      </c>
      <c r="B1637" s="4" t="s">
        <v>5366</v>
      </c>
      <c r="C1637" s="4" t="s">
        <v>5340</v>
      </c>
      <c r="D1637" s="4" t="s">
        <v>5367</v>
      </c>
      <c r="E1637" s="4" t="s">
        <v>5361</v>
      </c>
      <c r="F1637" s="4" t="str">
        <f>HYPERLINK("http://www.solmoda.it/","www.solmoda.it")</f>
        <v>www.solmoda.it</v>
      </c>
    </row>
    <row r="1638" spans="1:6" ht="16.95" customHeight="1" x14ac:dyDescent="0.25">
      <c r="A1638" s="5" t="s">
        <v>5368</v>
      </c>
      <c r="B1638" s="4" t="s">
        <v>5369</v>
      </c>
      <c r="C1638" s="4" t="s">
        <v>5343</v>
      </c>
      <c r="D1638" s="4" t="s">
        <v>5364</v>
      </c>
      <c r="E1638" s="4" t="s">
        <v>5339</v>
      </c>
      <c r="F1638" s="4" t="str">
        <f>HYPERLINK("http://www.magasrl.it/","www.magasrl.it")</f>
        <v>www.magasrl.it</v>
      </c>
    </row>
    <row r="1639" spans="1:6" ht="16.95" customHeight="1" x14ac:dyDescent="0.25">
      <c r="A1639" s="5" t="s">
        <v>5370</v>
      </c>
      <c r="B1639" s="4" t="s">
        <v>5371</v>
      </c>
      <c r="C1639" s="4" t="s">
        <v>5340</v>
      </c>
      <c r="D1639" s="4" t="s">
        <v>5372</v>
      </c>
      <c r="E1639" s="4" t="s">
        <v>5373</v>
      </c>
      <c r="F1639" s="4" t="str">
        <f>HYPERLINK("http://giuseppeconca.com/","giuseppeconca.com")</f>
        <v>giuseppeconca.com</v>
      </c>
    </row>
    <row r="1640" spans="1:6" ht="16.95" customHeight="1" x14ac:dyDescent="0.25">
      <c r="A1640" s="1" t="s">
        <v>5374</v>
      </c>
      <c r="B1640" s="6" t="s">
        <v>5375</v>
      </c>
      <c r="C1640" s="6" t="s">
        <v>5344</v>
      </c>
      <c r="D1640" s="6" t="s">
        <v>5348</v>
      </c>
      <c r="E1640" s="6" t="s">
        <v>5342</v>
      </c>
      <c r="F1640" s="6" t="str">
        <f>HYPERLINK("http://www.cittis.it/","www.cittis.it")</f>
        <v>www.cittis.it</v>
      </c>
    </row>
    <row r="1641" spans="1:6" ht="16.95" customHeight="1" x14ac:dyDescent="0.25">
      <c r="A1641" s="5" t="s">
        <v>5376</v>
      </c>
      <c r="B1641" s="4" t="s">
        <v>5377</v>
      </c>
      <c r="C1641" s="4" t="s">
        <v>5338</v>
      </c>
      <c r="D1641" s="4" t="s">
        <v>5378</v>
      </c>
      <c r="E1641" s="4" t="s">
        <v>5345</v>
      </c>
      <c r="F1641" s="4" t="str">
        <f>HYPERLINK("http://www.aldoraffa.com/","www.aldoraffa.com")</f>
        <v>www.aldoraffa.com</v>
      </c>
    </row>
    <row r="1642" spans="1:6" ht="29.55" customHeight="1" x14ac:dyDescent="0.25">
      <c r="A1642" s="5" t="s">
        <v>5379</v>
      </c>
      <c r="B1642" s="4" t="s">
        <v>5380</v>
      </c>
      <c r="C1642" s="4" t="s">
        <v>5340</v>
      </c>
      <c r="D1642" s="4" t="s">
        <v>5348</v>
      </c>
      <c r="E1642" s="4" t="s">
        <v>5342</v>
      </c>
      <c r="F1642" s="4" t="str">
        <f>HYPERLINK("http://www.giorgioiachini.it/","www.giorgioiachini.it")</f>
        <v>www.giorgioiachini.it</v>
      </c>
    </row>
    <row r="1643" spans="1:6" ht="16.95" customHeight="1" x14ac:dyDescent="0.25">
      <c r="A1643" s="5" t="s">
        <v>5384</v>
      </c>
      <c r="B1643" s="4" t="s">
        <v>5385</v>
      </c>
      <c r="C1643" s="4" t="s">
        <v>5381</v>
      </c>
      <c r="D1643" s="4" t="s">
        <v>5386</v>
      </c>
      <c r="E1643" s="4" t="s">
        <v>5387</v>
      </c>
      <c r="F1643" s="4" t="str">
        <f>HYPERLINK("http://www.martinab.it/","www.martinab.it")</f>
        <v>www.martinab.it</v>
      </c>
    </row>
    <row r="1644" spans="1:6" ht="29.55" customHeight="1" x14ac:dyDescent="0.25">
      <c r="A1644" s="1" t="s">
        <v>5388</v>
      </c>
      <c r="B1644" s="6" t="s">
        <v>5389</v>
      </c>
      <c r="C1644" s="6" t="s">
        <v>5390</v>
      </c>
      <c r="D1644" s="6" t="s">
        <v>5391</v>
      </c>
      <c r="E1644" s="6" t="s">
        <v>5383</v>
      </c>
      <c r="F1644" s="6" t="str">
        <f>HYPERLINK("http://www.paoloarena.it/","www.paoloarena.it")</f>
        <v>www.paoloarena.it</v>
      </c>
    </row>
    <row r="1645" spans="1:6" ht="16.95" customHeight="1" x14ac:dyDescent="0.25">
      <c r="A1645" s="1" t="s">
        <v>5395</v>
      </c>
      <c r="B1645" s="6" t="s">
        <v>5396</v>
      </c>
      <c r="C1645" s="6" t="s">
        <v>5397</v>
      </c>
      <c r="D1645" s="6" t="s">
        <v>5398</v>
      </c>
      <c r="E1645" s="6" t="s">
        <v>5399</v>
      </c>
      <c r="F1645" s="6" t="str">
        <f>HYPERLINK("http://www.detexo.com/","www.detexo.com")</f>
        <v>www.detexo.com</v>
      </c>
    </row>
    <row r="1646" spans="1:6" ht="16.95" customHeight="1" x14ac:dyDescent="0.25">
      <c r="A1646" s="5" t="s">
        <v>5400</v>
      </c>
      <c r="B1646" s="4" t="s">
        <v>5401</v>
      </c>
      <c r="C1646" s="4" t="s">
        <v>5397</v>
      </c>
      <c r="D1646" s="4" t="s">
        <v>5402</v>
      </c>
      <c r="E1646" s="4" t="s">
        <v>5403</v>
      </c>
      <c r="F1646" s="4" t="str">
        <f>HYPERLINK("http://www.emmegi-cover.it/","www.emmegi-cover.it")</f>
        <v>www.emmegi-cover.it</v>
      </c>
    </row>
    <row r="1647" spans="1:6" ht="16.95" customHeight="1" x14ac:dyDescent="0.25">
      <c r="A1647" s="1" t="s">
        <v>5404</v>
      </c>
      <c r="B1647" s="6" t="s">
        <v>5405</v>
      </c>
      <c r="C1647" s="6" t="s">
        <v>5392</v>
      </c>
      <c r="D1647" s="6" t="s">
        <v>5406</v>
      </c>
      <c r="E1647" s="6" t="s">
        <v>5407</v>
      </c>
      <c r="F1647" s="6" t="str">
        <f>HYPERLINK("http://www.medfondisrl.it/","www.medfondisrl.it")</f>
        <v>www.medfondisrl.it</v>
      </c>
    </row>
    <row r="1648" spans="1:6" ht="16.95" customHeight="1" x14ac:dyDescent="0.25">
      <c r="A1648" s="1" t="s">
        <v>5408</v>
      </c>
      <c r="B1648" s="6" t="s">
        <v>5409</v>
      </c>
      <c r="C1648" s="6" t="s">
        <v>5390</v>
      </c>
      <c r="D1648" s="6" t="s">
        <v>5393</v>
      </c>
      <c r="E1648" s="6" t="s">
        <v>5394</v>
      </c>
      <c r="F1648" s="6" t="str">
        <f>HYPERLINK("http://www.conceriailvalico.itgo.com/","www.conceriailvalico.itgo.com")</f>
        <v>www.conceriailvalico.itgo.com</v>
      </c>
    </row>
    <row r="1649" spans="1:6" ht="16.95" customHeight="1" x14ac:dyDescent="0.25">
      <c r="A1649" s="5" t="s">
        <v>5410</v>
      </c>
      <c r="B1649" s="4" t="s">
        <v>5411</v>
      </c>
      <c r="C1649" s="4" t="s">
        <v>5390</v>
      </c>
      <c r="D1649" s="4" t="s">
        <v>5391</v>
      </c>
      <c r="E1649" s="4" t="s">
        <v>5383</v>
      </c>
      <c r="F1649" s="4" t="str">
        <f>HYPERLINK("http://micaleathersrl.net/","micaleathersrl.net")</f>
        <v>micaleathersrl.net</v>
      </c>
    </row>
    <row r="1650" spans="1:6" ht="16.95" customHeight="1" x14ac:dyDescent="0.25">
      <c r="A1650" s="5" t="s">
        <v>5412</v>
      </c>
      <c r="B1650" s="4" t="s">
        <v>5413</v>
      </c>
      <c r="C1650" s="4" t="s">
        <v>5397</v>
      </c>
      <c r="D1650" s="4" t="s">
        <v>5391</v>
      </c>
      <c r="E1650" s="4" t="s">
        <v>5383</v>
      </c>
      <c r="F1650" s="4" t="str">
        <f>HYPERLINK("http://www.valdam.com/","www.valdam.com")</f>
        <v>www.valdam.com</v>
      </c>
    </row>
    <row r="1651" spans="1:6" ht="16.95" customHeight="1" x14ac:dyDescent="0.25">
      <c r="A1651" s="1" t="s">
        <v>5414</v>
      </c>
      <c r="B1651" s="6" t="s">
        <v>5415</v>
      </c>
      <c r="C1651" s="6" t="s">
        <v>5381</v>
      </c>
      <c r="D1651" s="6" t="s">
        <v>5416</v>
      </c>
      <c r="E1651" s="6" t="s">
        <v>5407</v>
      </c>
      <c r="F1651" s="6" t="str">
        <f>HYPERLINK("http://www.marcellocastignani.com/","www.marcellocastignani.com")</f>
        <v>www.marcellocastignani.com</v>
      </c>
    </row>
    <row r="1652" spans="1:6" ht="16.95" customHeight="1" x14ac:dyDescent="0.25">
      <c r="A1652" s="1" t="s">
        <v>5417</v>
      </c>
      <c r="B1652" s="6" t="s">
        <v>5418</v>
      </c>
      <c r="C1652" s="6" t="s">
        <v>5419</v>
      </c>
      <c r="D1652" s="6" t="s">
        <v>5420</v>
      </c>
      <c r="E1652" s="6" t="s">
        <v>5421</v>
      </c>
      <c r="F1652" s="6" t="str">
        <f>HYPERLINK("http://base.soloproveweb.it/","base.soloproveweb.it")</f>
        <v>base.soloproveweb.it</v>
      </c>
    </row>
    <row r="1653" spans="1:6" ht="16.95" customHeight="1" x14ac:dyDescent="0.25">
      <c r="A1653" s="5" t="s">
        <v>5422</v>
      </c>
      <c r="B1653" s="4" t="s">
        <v>5423</v>
      </c>
      <c r="C1653" s="4" t="s">
        <v>5390</v>
      </c>
      <c r="D1653" s="4" t="s">
        <v>5424</v>
      </c>
      <c r="E1653" s="4" t="s">
        <v>5399</v>
      </c>
      <c r="F1653" s="4" t="str">
        <f>HYPERLINK("http://www.famacsrl.it/","www.famacsrl.it")</f>
        <v>www.famacsrl.it</v>
      </c>
    </row>
    <row r="1654" spans="1:6" ht="16.95" customHeight="1" x14ac:dyDescent="0.25">
      <c r="A1654" s="1" t="s">
        <v>5425</v>
      </c>
      <c r="B1654" s="6" t="s">
        <v>5426</v>
      </c>
      <c r="C1654" s="6" t="s">
        <v>5397</v>
      </c>
      <c r="D1654" s="6" t="s">
        <v>5382</v>
      </c>
      <c r="E1654" s="6" t="s">
        <v>5383</v>
      </c>
      <c r="F1654" s="6" t="str">
        <f>HYPERLINK("http://www.argentoantico.eu/","www.argentoantico.eu")</f>
        <v>www.argentoantico.eu</v>
      </c>
    </row>
    <row r="1655" spans="1:6" ht="16.95" customHeight="1" x14ac:dyDescent="0.25">
      <c r="A1655" s="1" t="s">
        <v>5427</v>
      </c>
      <c r="B1655" s="6" t="s">
        <v>5428</v>
      </c>
      <c r="C1655" s="6" t="s">
        <v>5419</v>
      </c>
      <c r="D1655" s="6" t="s">
        <v>5429</v>
      </c>
      <c r="E1655" s="6" t="s">
        <v>5430</v>
      </c>
      <c r="F1655" s="6" t="str">
        <f>HYPERLINK("http://www.xanthia.it/","www.xanthia.it")</f>
        <v>www.xanthia.it</v>
      </c>
    </row>
    <row r="1656" spans="1:6" ht="16.95" customHeight="1" x14ac:dyDescent="0.25">
      <c r="A1656" s="1" t="s">
        <v>5431</v>
      </c>
      <c r="B1656" s="6" t="s">
        <v>5432</v>
      </c>
      <c r="C1656" s="6" t="s">
        <v>5433</v>
      </c>
      <c r="D1656" s="6" t="s">
        <v>5434</v>
      </c>
      <c r="E1656" s="6" t="s">
        <v>5435</v>
      </c>
      <c r="F1656" s="6" t="str">
        <f>HYPERLINK("http://raguso1963.it/","raguso1963.it")</f>
        <v>raguso1963.it</v>
      </c>
    </row>
    <row r="1657" spans="1:6" ht="16.95" customHeight="1" x14ac:dyDescent="0.25">
      <c r="A1657" s="5" t="s">
        <v>5436</v>
      </c>
      <c r="B1657" s="4" t="s">
        <v>5437</v>
      </c>
      <c r="C1657" s="4" t="s">
        <v>5438</v>
      </c>
      <c r="D1657" s="4" t="s">
        <v>5439</v>
      </c>
      <c r="E1657" s="4" t="s">
        <v>5440</v>
      </c>
      <c r="F1657" s="4" t="str">
        <f>HYPERLINK("http://www.cinziasrl.it/","www.cinziasrl.it")</f>
        <v>www.cinziasrl.it</v>
      </c>
    </row>
    <row r="1658" spans="1:6" ht="16.95" customHeight="1" x14ac:dyDescent="0.25">
      <c r="A1658" s="1" t="s">
        <v>5446</v>
      </c>
      <c r="B1658" s="6" t="s">
        <v>5447</v>
      </c>
      <c r="C1658" s="6" t="s">
        <v>5438</v>
      </c>
      <c r="D1658" s="6" t="s">
        <v>5444</v>
      </c>
      <c r="E1658" s="6" t="s">
        <v>5445</v>
      </c>
      <c r="F1658" s="6" t="str">
        <f>HYPERLINK("http://www.elleeffesrl.it/","www.elleeffesrl.it")</f>
        <v>www.elleeffesrl.it</v>
      </c>
    </row>
    <row r="1659" spans="1:6" ht="29.55" customHeight="1" x14ac:dyDescent="0.25">
      <c r="A1659" s="1" t="s">
        <v>5448</v>
      </c>
      <c r="B1659" s="6" t="s">
        <v>5449</v>
      </c>
      <c r="C1659" s="6" t="s">
        <v>5433</v>
      </c>
      <c r="D1659" s="6" t="s">
        <v>5444</v>
      </c>
      <c r="E1659" s="6" t="s">
        <v>5445</v>
      </c>
      <c r="F1659" s="6" t="str">
        <f>HYPERLINK("http://www.pelletteriappaloosa.it/","www.pelletteriappaloosa.it")</f>
        <v>www.pelletteriappaloosa.it</v>
      </c>
    </row>
    <row r="1660" spans="1:6" ht="16.95" customHeight="1" x14ac:dyDescent="0.25">
      <c r="A1660" s="5" t="s">
        <v>5450</v>
      </c>
      <c r="B1660" s="4" t="s">
        <v>5451</v>
      </c>
      <c r="C1660" s="4" t="s">
        <v>5441</v>
      </c>
      <c r="D1660" s="4" t="s">
        <v>5452</v>
      </c>
      <c r="E1660" s="4" t="s">
        <v>5445</v>
      </c>
      <c r="F1660" s="4" t="str">
        <f>HYPERLINK("http://www.ginocori.it/","www.ginocori.it")</f>
        <v>www.ginocori.it</v>
      </c>
    </row>
    <row r="1661" spans="1:6" ht="16.95" customHeight="1" x14ac:dyDescent="0.25">
      <c r="A1661" s="1" t="s">
        <v>5455</v>
      </c>
      <c r="B1661" s="6" t="s">
        <v>5456</v>
      </c>
      <c r="C1661" s="6" t="s">
        <v>5433</v>
      </c>
      <c r="D1661" s="6" t="s">
        <v>5457</v>
      </c>
      <c r="E1661" s="6" t="s">
        <v>5443</v>
      </c>
      <c r="F1661" s="6" t="str">
        <f>HYPERLINK("http://www.pelletteriavg.it/","www.pelletteriavg.it")</f>
        <v>www.pelletteriavg.it</v>
      </c>
    </row>
    <row r="1662" spans="1:6" ht="16.95" customHeight="1" x14ac:dyDescent="0.25">
      <c r="A1662" s="1" t="s">
        <v>5458</v>
      </c>
      <c r="B1662" s="6" t="s">
        <v>5459</v>
      </c>
      <c r="C1662" s="6" t="s">
        <v>5438</v>
      </c>
      <c r="D1662" s="6" t="s">
        <v>5460</v>
      </c>
      <c r="E1662" s="6" t="s">
        <v>5440</v>
      </c>
      <c r="F1662" s="6" t="str">
        <f>HYPERLINK("http://www.gisatacchificio.com/","www.gisatacchificio.com")</f>
        <v>www.gisatacchificio.com</v>
      </c>
    </row>
    <row r="1663" spans="1:6" ht="16.95" customHeight="1" x14ac:dyDescent="0.25">
      <c r="A1663" s="5" t="s">
        <v>5461</v>
      </c>
      <c r="B1663" s="4" t="s">
        <v>5462</v>
      </c>
      <c r="C1663" s="4" t="s">
        <v>5438</v>
      </c>
      <c r="D1663" s="4" t="s">
        <v>5463</v>
      </c>
      <c r="E1663" s="4" t="s">
        <v>5442</v>
      </c>
      <c r="F1663" s="4" t="str">
        <f>HYPERLINK("http://www.temme2.it/","www.temme2.it")</f>
        <v>www.temme2.it</v>
      </c>
    </row>
    <row r="1664" spans="1:6" ht="16.95" customHeight="1" x14ac:dyDescent="0.25">
      <c r="A1664" s="1" t="s">
        <v>5464</v>
      </c>
      <c r="B1664" s="6" t="s">
        <v>5465</v>
      </c>
      <c r="C1664" s="6" t="s">
        <v>5441</v>
      </c>
      <c r="D1664" s="6" t="s">
        <v>5453</v>
      </c>
      <c r="E1664" s="6" t="s">
        <v>5445</v>
      </c>
      <c r="F1664" s="6" t="str">
        <f>HYPERLINK("http://www.luanashoes.it/","www.luanashoes.it")</f>
        <v>www.luanashoes.it</v>
      </c>
    </row>
    <row r="1665" spans="1:6" ht="16.95" customHeight="1" x14ac:dyDescent="0.25">
      <c r="A1665" s="5" t="s">
        <v>5466</v>
      </c>
      <c r="B1665" s="4" t="s">
        <v>5467</v>
      </c>
      <c r="C1665" s="4" t="s">
        <v>5433</v>
      </c>
      <c r="D1665" s="4" t="s">
        <v>5468</v>
      </c>
      <c r="E1665" s="4" t="s">
        <v>5469</v>
      </c>
      <c r="F1665" s="4" t="str">
        <f>HYPERLINK("http://www.otm-srl.com/","www.otm-srl.com")</f>
        <v>www.otm-srl.com</v>
      </c>
    </row>
    <row r="1666" spans="1:6" ht="16.95" customHeight="1" x14ac:dyDescent="0.25">
      <c r="A1666" s="1" t="s">
        <v>5470</v>
      </c>
      <c r="B1666" s="6" t="s">
        <v>5471</v>
      </c>
      <c r="C1666" s="6" t="s">
        <v>5433</v>
      </c>
      <c r="D1666" s="6" t="s">
        <v>5472</v>
      </c>
      <c r="E1666" s="6" t="s">
        <v>5473</v>
      </c>
      <c r="F1666" s="6" t="str">
        <f>HYPERLINK("http://www.delgiudiceroma.com/","www.delgiudiceroma.com")</f>
        <v>www.delgiudiceroma.com</v>
      </c>
    </row>
    <row r="1667" spans="1:6" ht="16.95" customHeight="1" x14ac:dyDescent="0.25">
      <c r="A1667" s="5" t="s">
        <v>5474</v>
      </c>
      <c r="B1667" s="4" t="s">
        <v>5475</v>
      </c>
      <c r="C1667" s="4" t="s">
        <v>5454</v>
      </c>
      <c r="D1667" s="4" t="s">
        <v>5452</v>
      </c>
      <c r="E1667" s="4" t="s">
        <v>5445</v>
      </c>
      <c r="F1667" s="4" t="str">
        <f>HYPERLINK("http://www.laserbmc.com/","www.laserbmc.com")</f>
        <v>www.laserbmc.com</v>
      </c>
    </row>
    <row r="1668" spans="1:6" ht="16.95" customHeight="1" x14ac:dyDescent="0.25">
      <c r="A1668" s="1" t="s">
        <v>5482</v>
      </c>
      <c r="B1668" s="6" t="s">
        <v>5483</v>
      </c>
      <c r="C1668" s="6" t="s">
        <v>5481</v>
      </c>
      <c r="D1668" s="6" t="s">
        <v>5484</v>
      </c>
      <c r="E1668" s="6" t="s">
        <v>5485</v>
      </c>
      <c r="F1668" s="6" t="str">
        <f>HYPERLINK("http://www.effebipelletterie.it/","www.effebipelletterie.it")</f>
        <v>www.effebipelletterie.it</v>
      </c>
    </row>
    <row r="1669" spans="1:6" ht="16.95" customHeight="1" x14ac:dyDescent="0.25">
      <c r="A1669" s="1" t="s">
        <v>5486</v>
      </c>
      <c r="B1669" s="6" t="s">
        <v>5487</v>
      </c>
      <c r="C1669" s="6" t="s">
        <v>5477</v>
      </c>
      <c r="D1669" s="6" t="s">
        <v>5488</v>
      </c>
      <c r="E1669" s="6" t="s">
        <v>5489</v>
      </c>
      <c r="F1669" s="6" t="str">
        <f>HYPERLINK("http://www.viveladifferencemadeinitaly.it/","www.viveladifferencemadeinitaly.it")</f>
        <v>www.viveladifferencemadeinitaly.it</v>
      </c>
    </row>
    <row r="1670" spans="1:6" ht="16.95" customHeight="1" x14ac:dyDescent="0.25">
      <c r="A1670" s="5" t="s">
        <v>5490</v>
      </c>
      <c r="B1670" s="4" t="s">
        <v>5491</v>
      </c>
      <c r="C1670" s="4" t="s">
        <v>5478</v>
      </c>
      <c r="D1670" s="4" t="s">
        <v>5492</v>
      </c>
      <c r="E1670" s="4" t="s">
        <v>5476</v>
      </c>
      <c r="F1670" s="4" t="str">
        <f>HYPERLINK("http://rafsoluzioni.it/","rafsoluzioni.it")</f>
        <v>rafsoluzioni.it</v>
      </c>
    </row>
    <row r="1671" spans="1:6" ht="16.95" customHeight="1" x14ac:dyDescent="0.25">
      <c r="A1671" s="5" t="s">
        <v>5493</v>
      </c>
      <c r="B1671" s="4" t="s">
        <v>5494</v>
      </c>
      <c r="C1671" s="4" t="s">
        <v>5478</v>
      </c>
      <c r="D1671" s="4" t="s">
        <v>5479</v>
      </c>
      <c r="E1671" s="4" t="s">
        <v>5480</v>
      </c>
      <c r="F1671" s="4" t="str">
        <f>HYPERLINK("http://www.galaitaly.com/","www.galaitaly.com")</f>
        <v>www.galaitaly.com</v>
      </c>
    </row>
    <row r="1672" spans="1:6" ht="29.55" customHeight="1" x14ac:dyDescent="0.25">
      <c r="A1672" s="5" t="s">
        <v>5495</v>
      </c>
      <c r="B1672" s="4" t="s">
        <v>5496</v>
      </c>
      <c r="C1672" s="4" t="s">
        <v>5478</v>
      </c>
      <c r="D1672" s="4" t="s">
        <v>5497</v>
      </c>
      <c r="E1672" s="4" t="s">
        <v>5485</v>
      </c>
      <c r="F1672" s="4" t="str">
        <f>HYPERLINK("http://ziviani.it/","ziviani.it")</f>
        <v>ziviani.it</v>
      </c>
    </row>
    <row r="1673" spans="1:6" ht="16.95" customHeight="1" x14ac:dyDescent="0.25">
      <c r="A1673" s="5" t="s">
        <v>5498</v>
      </c>
      <c r="B1673" s="4" t="s">
        <v>5499</v>
      </c>
      <c r="C1673" s="4" t="s">
        <v>5478</v>
      </c>
      <c r="D1673" s="4" t="s">
        <v>5479</v>
      </c>
      <c r="E1673" s="4" t="s">
        <v>5480</v>
      </c>
      <c r="F1673" s="4" t="str">
        <f>HYPERLINK("http://www.voistore.it/","www.voistore.it")</f>
        <v>www.voistore.it</v>
      </c>
    </row>
    <row r="1674" spans="1:6" ht="29.55" customHeight="1" x14ac:dyDescent="0.25">
      <c r="A1674" s="1" t="s">
        <v>5501</v>
      </c>
      <c r="B1674" s="6" t="s">
        <v>5502</v>
      </c>
      <c r="C1674" s="6" t="s">
        <v>5477</v>
      </c>
      <c r="D1674" s="6" t="s">
        <v>5503</v>
      </c>
      <c r="E1674" s="6" t="s">
        <v>5504</v>
      </c>
      <c r="F1674" s="6" t="str">
        <f>HYPERLINK("http://www.dafdesign.it/","www.dafdesign.it")</f>
        <v>www.dafdesign.it</v>
      </c>
    </row>
    <row r="1675" spans="1:6" ht="16.95" customHeight="1" x14ac:dyDescent="0.25">
      <c r="A1675" s="5" t="s">
        <v>5505</v>
      </c>
      <c r="B1675" s="4" t="s">
        <v>5506</v>
      </c>
      <c r="C1675" s="4" t="s">
        <v>5478</v>
      </c>
      <c r="D1675" s="4" t="s">
        <v>5500</v>
      </c>
      <c r="E1675" s="4" t="s">
        <v>5480</v>
      </c>
      <c r="F1675" s="4" t="str">
        <f>HYPERLINK("http://www.samuel.it/","www.samuel.it")</f>
        <v>www.samuel.it</v>
      </c>
    </row>
    <row r="1676" spans="1:6" ht="16.95" customHeight="1" x14ac:dyDescent="0.25">
      <c r="A1676" s="5" t="s">
        <v>5508</v>
      </c>
      <c r="B1676" s="4" t="s">
        <v>5509</v>
      </c>
      <c r="C1676" s="4" t="s">
        <v>5510</v>
      </c>
      <c r="D1676" s="4" t="s">
        <v>5511</v>
      </c>
      <c r="E1676" s="4" t="s">
        <v>5507</v>
      </c>
      <c r="F1676" s="4" t="str">
        <f>HYPERLINK("http://www.kroll.it/","www.kroll.it")</f>
        <v>www.kroll.it</v>
      </c>
    </row>
    <row r="1677" spans="1:6" ht="16.95" customHeight="1" x14ac:dyDescent="0.25">
      <c r="A1677" s="1" t="s">
        <v>5512</v>
      </c>
      <c r="B1677" s="6" t="s">
        <v>5513</v>
      </c>
      <c r="C1677" s="6" t="s">
        <v>5514</v>
      </c>
      <c r="D1677" s="6" t="s">
        <v>5515</v>
      </c>
      <c r="E1677" s="6" t="s">
        <v>5507</v>
      </c>
      <c r="F1677" s="6" t="str">
        <f>HYPERLINK("http://www.ermanifactures.it/","www.ermanifactures.it")</f>
        <v>www.ermanifactures.it</v>
      </c>
    </row>
    <row r="1678" spans="1:6" ht="16.95" customHeight="1" x14ac:dyDescent="0.25">
      <c r="A1678" s="1" t="s">
        <v>5518</v>
      </c>
      <c r="B1678" s="6" t="s">
        <v>5519</v>
      </c>
      <c r="C1678" s="6" t="s">
        <v>5510</v>
      </c>
      <c r="D1678" s="6" t="s">
        <v>5520</v>
      </c>
      <c r="E1678" s="6" t="s">
        <v>5521</v>
      </c>
      <c r="F1678" s="6" t="str">
        <f>HYPERLINK("http://www.effegi-style.it/","www.effegi-style.it")</f>
        <v>www.effegi-style.it</v>
      </c>
    </row>
    <row r="1679" spans="1:6" ht="16.95" customHeight="1" x14ac:dyDescent="0.25">
      <c r="A1679" s="5" t="s">
        <v>5524</v>
      </c>
      <c r="B1679" s="4" t="s">
        <v>5525</v>
      </c>
      <c r="C1679" s="4" t="s">
        <v>5510</v>
      </c>
      <c r="D1679" s="4" t="s">
        <v>5526</v>
      </c>
      <c r="E1679" s="4" t="s">
        <v>5517</v>
      </c>
      <c r="F1679" s="4" t="str">
        <f>HYPERLINK("http://vialactea.it/","vialactea.it")</f>
        <v>vialactea.it</v>
      </c>
    </row>
    <row r="1680" spans="1:6" ht="16.95" customHeight="1" x14ac:dyDescent="0.25">
      <c r="A1680" s="5" t="s">
        <v>5528</v>
      </c>
      <c r="B1680" s="4" t="s">
        <v>5529</v>
      </c>
      <c r="C1680" s="4" t="s">
        <v>5510</v>
      </c>
      <c r="D1680" s="4" t="s">
        <v>5516</v>
      </c>
      <c r="E1680" s="4" t="s">
        <v>5517</v>
      </c>
      <c r="F1680" s="4" t="str">
        <f>HYPERLINK("http://www.labelleshoes.eu/","www.labelleshoes.eu")</f>
        <v>www.labelleshoes.eu</v>
      </c>
    </row>
    <row r="1681" spans="1:6" ht="29.55" customHeight="1" x14ac:dyDescent="0.25">
      <c r="A1681" s="1" t="s">
        <v>5530</v>
      </c>
      <c r="B1681" s="6" t="s">
        <v>5531</v>
      </c>
      <c r="C1681" s="6" t="s">
        <v>5510</v>
      </c>
      <c r="D1681" s="6" t="s">
        <v>5532</v>
      </c>
      <c r="E1681" s="6" t="s">
        <v>5533</v>
      </c>
      <c r="F1681" s="6" t="str">
        <f>HYPERLINK("http://www.bambiniinfattoria.it/","www.bambiniinfattoria.it")</f>
        <v>www.bambiniinfattoria.it</v>
      </c>
    </row>
    <row r="1682" spans="1:6" ht="16.95" customHeight="1" x14ac:dyDescent="0.25">
      <c r="A1682" s="5" t="s">
        <v>5534</v>
      </c>
      <c r="B1682" s="4" t="s">
        <v>5535</v>
      </c>
      <c r="C1682" s="4" t="s">
        <v>5527</v>
      </c>
      <c r="D1682" s="4" t="s">
        <v>5536</v>
      </c>
      <c r="E1682" s="4" t="s">
        <v>5523</v>
      </c>
      <c r="F1682" s="4" t="str">
        <f>HYPERLINK("http://www.centrotaglioessepi.it/","www.centrotaglioessepi.it")</f>
        <v>www.centrotaglioessepi.it</v>
      </c>
    </row>
    <row r="1683" spans="1:6" ht="16.95" customHeight="1" x14ac:dyDescent="0.25">
      <c r="A1683" s="5" t="s">
        <v>5537</v>
      </c>
      <c r="B1683" s="4" t="s">
        <v>5538</v>
      </c>
      <c r="C1683" s="4" t="s">
        <v>5522</v>
      </c>
      <c r="D1683" s="4" t="s">
        <v>5515</v>
      </c>
      <c r="E1683" s="4" t="s">
        <v>5507</v>
      </c>
      <c r="F1683" s="4" t="str">
        <f>HYPERLINK("http://marpelatelier.com/","marpelatelier.com")</f>
        <v>marpelatelier.com</v>
      </c>
    </row>
    <row r="1684" spans="1:6" ht="16.95" customHeight="1" x14ac:dyDescent="0.25">
      <c r="A1684" s="1" t="s">
        <v>5539</v>
      </c>
      <c r="B1684" s="6" t="s">
        <v>5540</v>
      </c>
      <c r="C1684" s="6" t="s">
        <v>5510</v>
      </c>
      <c r="D1684" s="6" t="s">
        <v>5536</v>
      </c>
      <c r="E1684" s="6" t="s">
        <v>5523</v>
      </c>
      <c r="F1684" s="6" t="str">
        <f>HYPERLINK("http://sanisoftitalia.it/","sanisoftitalia.it")</f>
        <v>sanisoftitalia.it</v>
      </c>
    </row>
    <row r="1685" spans="1:6" ht="16.95" customHeight="1" x14ac:dyDescent="0.25">
      <c r="A1685" s="1" t="s">
        <v>5541</v>
      </c>
      <c r="B1685" s="6" t="s">
        <v>5542</v>
      </c>
      <c r="C1685" s="6" t="s">
        <v>5514</v>
      </c>
      <c r="D1685" s="6" t="s">
        <v>5543</v>
      </c>
      <c r="E1685" s="6" t="s">
        <v>5533</v>
      </c>
      <c r="F1685" s="6" t="str">
        <f>HYPERLINK("http://trevisrl.com/","trevisrl.com")</f>
        <v>trevisrl.com</v>
      </c>
    </row>
    <row r="1686" spans="1:6" ht="16.95" customHeight="1" x14ac:dyDescent="0.25">
      <c r="A1686" s="5" t="s">
        <v>5544</v>
      </c>
      <c r="B1686" s="4" t="s">
        <v>5545</v>
      </c>
      <c r="C1686" s="4" t="s">
        <v>5510</v>
      </c>
      <c r="D1686" s="4" t="s">
        <v>5546</v>
      </c>
      <c r="E1686" s="4" t="s">
        <v>5523</v>
      </c>
      <c r="F1686" s="4" t="str">
        <f>HYPERLINK("http://www.montemario.it/","www.montemario.it")</f>
        <v>www.montemario.it</v>
      </c>
    </row>
    <row r="1687" spans="1:6" ht="16.95" customHeight="1" x14ac:dyDescent="0.25">
      <c r="A1687" s="1" t="s">
        <v>5547</v>
      </c>
      <c r="B1687" s="6" t="s">
        <v>5548</v>
      </c>
      <c r="C1687" s="6" t="s">
        <v>5522</v>
      </c>
      <c r="D1687" s="6" t="s">
        <v>5549</v>
      </c>
      <c r="E1687" s="6" t="s">
        <v>5550</v>
      </c>
      <c r="F1687" s="6" t="str">
        <f>HYPERLINK("http://www.shop-pioneerhorseline.com/","www.shop-pioneerhorseline.com")</f>
        <v>www.shop-pioneerhorseline.com</v>
      </c>
    </row>
    <row r="1688" spans="1:6" ht="16.95" customHeight="1" x14ac:dyDescent="0.25">
      <c r="A1688" s="1" t="s">
        <v>5551</v>
      </c>
      <c r="B1688" s="6" t="s">
        <v>5552</v>
      </c>
      <c r="C1688" s="6" t="s">
        <v>5510</v>
      </c>
      <c r="D1688" s="6" t="s">
        <v>5526</v>
      </c>
      <c r="E1688" s="6" t="s">
        <v>5517</v>
      </c>
      <c r="F1688" s="6" t="str">
        <f>HYPERLINK("http://www.modishoes.com/","www.modishoes.com")</f>
        <v>www.modishoes.com</v>
      </c>
    </row>
    <row r="1689" spans="1:6" ht="29.55" customHeight="1" x14ac:dyDescent="0.25">
      <c r="A1689" s="5" t="s">
        <v>5553</v>
      </c>
      <c r="B1689" s="4" t="s">
        <v>5554</v>
      </c>
      <c r="C1689" s="4" t="s">
        <v>5522</v>
      </c>
      <c r="D1689" s="4" t="s">
        <v>5555</v>
      </c>
      <c r="E1689" s="4" t="s">
        <v>5533</v>
      </c>
      <c r="F1689" s="4" t="str">
        <f>HYPERLINK("http://francesca-srl-societ-unipersonale-03645810122.quantofattura.com/","francesca-srl-societ-unipersonale-03645810122.quantofattura.com")</f>
        <v>francesca-srl-societ-unipersonale-03645810122.quantofattura.com</v>
      </c>
    </row>
    <row r="1690" spans="1:6" ht="16.95" customHeight="1" x14ac:dyDescent="0.25">
      <c r="A1690" s="1" t="s">
        <v>5556</v>
      </c>
      <c r="B1690" s="6" t="s">
        <v>5557</v>
      </c>
      <c r="C1690" s="6" t="s">
        <v>5527</v>
      </c>
      <c r="D1690" s="6" t="s">
        <v>5558</v>
      </c>
      <c r="E1690" s="6" t="s">
        <v>5559</v>
      </c>
      <c r="F1690" s="6" t="str">
        <f>HYPERLINK("http://naturaleather.it/","naturaleather.it")</f>
        <v>naturaleather.it</v>
      </c>
    </row>
    <row r="1691" spans="1:6" ht="16.95" customHeight="1" x14ac:dyDescent="0.25">
      <c r="A1691" s="1" t="s">
        <v>5560</v>
      </c>
      <c r="B1691" s="6" t="s">
        <v>5561</v>
      </c>
      <c r="C1691" s="6" t="s">
        <v>5514</v>
      </c>
      <c r="D1691" s="6" t="s">
        <v>5536</v>
      </c>
      <c r="E1691" s="6" t="s">
        <v>5523</v>
      </c>
      <c r="F1691" s="6" t="str">
        <f>HYPERLINK("http://www.tacchificioanna.com/","www.tacchificioanna.com")</f>
        <v>www.tacchificioanna.com</v>
      </c>
    </row>
    <row r="1692" spans="1:6" ht="16.95" customHeight="1" x14ac:dyDescent="0.25">
      <c r="A1692" s="1" t="s">
        <v>5562</v>
      </c>
      <c r="B1692" s="6" t="s">
        <v>5563</v>
      </c>
      <c r="C1692" s="6" t="s">
        <v>5564</v>
      </c>
      <c r="D1692" s="6" t="s">
        <v>5565</v>
      </c>
      <c r="E1692" s="6" t="s">
        <v>5566</v>
      </c>
      <c r="F1692" s="6" t="str">
        <f>HYPERLINK("http://yorkcalzature.net/","yorkcalzature.net")</f>
        <v>yorkcalzature.net</v>
      </c>
    </row>
    <row r="1693" spans="1:6" ht="43.05" customHeight="1" x14ac:dyDescent="0.25">
      <c r="A1693" s="5" t="s">
        <v>5567</v>
      </c>
      <c r="B1693" s="4" t="s">
        <v>5568</v>
      </c>
      <c r="C1693" s="4" t="s">
        <v>5564</v>
      </c>
      <c r="D1693" s="4" t="s">
        <v>5569</v>
      </c>
      <c r="E1693" s="4" t="s">
        <v>5570</v>
      </c>
      <c r="F1693" s="4" t="str">
        <f>HYPERLINK("http://www.caltavuturese.it/","www.caltavuturese.it")</f>
        <v>www.caltavuturese.it</v>
      </c>
    </row>
    <row r="1694" spans="1:6" ht="16.95" customHeight="1" x14ac:dyDescent="0.25">
      <c r="A1694" s="5" t="s">
        <v>5576</v>
      </c>
      <c r="B1694" s="4" t="s">
        <v>5577</v>
      </c>
      <c r="C1694" s="4" t="s">
        <v>5571</v>
      </c>
      <c r="D1694" s="4" t="s">
        <v>5565</v>
      </c>
      <c r="E1694" s="4" t="s">
        <v>5566</v>
      </c>
      <c r="F1694" s="4" t="str">
        <f>HYPERLINK("http://www.solettificiosima.it/","www.solettificiosima.it")</f>
        <v>www.solettificiosima.it</v>
      </c>
    </row>
    <row r="1695" spans="1:6" ht="16.95" customHeight="1" x14ac:dyDescent="0.25">
      <c r="A1695" s="1" t="s">
        <v>5581</v>
      </c>
      <c r="B1695" s="6" t="s">
        <v>5582</v>
      </c>
      <c r="C1695" s="6" t="s">
        <v>5571</v>
      </c>
      <c r="D1695" s="6" t="s">
        <v>5565</v>
      </c>
      <c r="E1695" s="6" t="s">
        <v>5566</v>
      </c>
      <c r="F1695" s="6" t="str">
        <f>HYPERLINK("http://www.blitzincisioni.com/","www.blitzincisioni.com")</f>
        <v>www.blitzincisioni.com</v>
      </c>
    </row>
    <row r="1696" spans="1:6" ht="16.95" customHeight="1" x14ac:dyDescent="0.25">
      <c r="A1696" s="5" t="s">
        <v>5583</v>
      </c>
      <c r="B1696" s="4" t="s">
        <v>5584</v>
      </c>
      <c r="C1696" s="4" t="s">
        <v>5572</v>
      </c>
      <c r="D1696" s="4" t="s">
        <v>5578</v>
      </c>
      <c r="E1696" s="4" t="s">
        <v>5579</v>
      </c>
      <c r="F1696" s="4" t="str">
        <f>HYPERLINK("http://www.hags.it/","www.hags.it")</f>
        <v>www.hags.it</v>
      </c>
    </row>
    <row r="1697" spans="1:6" ht="16.95" customHeight="1" x14ac:dyDescent="0.25">
      <c r="A1697" s="1" t="s">
        <v>5585</v>
      </c>
      <c r="B1697" s="6" t="s">
        <v>5586</v>
      </c>
      <c r="C1697" s="6" t="s">
        <v>5564</v>
      </c>
      <c r="D1697" s="6" t="s">
        <v>5587</v>
      </c>
      <c r="E1697" s="6" t="s">
        <v>5573</v>
      </c>
      <c r="F1697" s="6" t="str">
        <f>HYPERLINK("http://lowhite.com/","lowhite.com")</f>
        <v>lowhite.com</v>
      </c>
    </row>
    <row r="1698" spans="1:6" ht="29.55" customHeight="1" x14ac:dyDescent="0.25">
      <c r="A1698" s="5" t="s">
        <v>5588</v>
      </c>
      <c r="B1698" s="4" t="s">
        <v>5589</v>
      </c>
      <c r="C1698" s="4" t="s">
        <v>5572</v>
      </c>
      <c r="D1698" s="4" t="s">
        <v>5580</v>
      </c>
      <c r="E1698" s="4" t="s">
        <v>5573</v>
      </c>
      <c r="F1698" s="4" t="str">
        <f>HYPERLINK("http://nicogiani.com/","nicogiani.com")</f>
        <v>nicogiani.com</v>
      </c>
    </row>
    <row r="1699" spans="1:6" ht="16.95" customHeight="1" x14ac:dyDescent="0.25">
      <c r="A1699" s="1" t="s">
        <v>5590</v>
      </c>
      <c r="B1699" s="6" t="s">
        <v>5591</v>
      </c>
      <c r="C1699" s="6" t="s">
        <v>5572</v>
      </c>
      <c r="D1699" s="6" t="s">
        <v>5574</v>
      </c>
      <c r="E1699" s="6" t="s">
        <v>5575</v>
      </c>
      <c r="F1699" s="6" t="str">
        <f>HYPERLINK("http://www.sf-italia.it/","www.sf-italia.it")</f>
        <v>www.sf-italia.it</v>
      </c>
    </row>
    <row r="1700" spans="1:6" ht="29.55" customHeight="1" x14ac:dyDescent="0.25">
      <c r="A1700" s="1" t="s">
        <v>5592</v>
      </c>
      <c r="B1700" s="6" t="s">
        <v>5593</v>
      </c>
      <c r="C1700" s="6" t="s">
        <v>5594</v>
      </c>
      <c r="D1700" s="6" t="s">
        <v>5595</v>
      </c>
      <c r="E1700" s="6" t="s">
        <v>5596</v>
      </c>
      <c r="F1700" s="6" t="str">
        <f>HYPERLINK("http://www.accessoribpm.it/","www.accessoribpm.it")</f>
        <v>www.accessoribpm.it</v>
      </c>
    </row>
    <row r="1701" spans="1:6" ht="29.55" customHeight="1" x14ac:dyDescent="0.25">
      <c r="A1701" s="1" t="s">
        <v>5599</v>
      </c>
      <c r="B1701" s="6" t="s">
        <v>5600</v>
      </c>
      <c r="C1701" s="6" t="s">
        <v>5597</v>
      </c>
      <c r="D1701" s="6" t="s">
        <v>5601</v>
      </c>
      <c r="E1701" s="6" t="s">
        <v>5596</v>
      </c>
      <c r="F1701" s="6" t="str">
        <f>HYPERLINK("http://www.capo-nord.com/","www.capo-nord.com")</f>
        <v>www.capo-nord.com</v>
      </c>
    </row>
    <row r="1702" spans="1:6" ht="16.95" customHeight="1" x14ac:dyDescent="0.25">
      <c r="A1702" s="5" t="s">
        <v>5602</v>
      </c>
      <c r="B1702" s="4" t="s">
        <v>5603</v>
      </c>
      <c r="C1702" s="4" t="s">
        <v>5604</v>
      </c>
      <c r="D1702" s="4" t="s">
        <v>5605</v>
      </c>
      <c r="E1702" s="4" t="s">
        <v>5606</v>
      </c>
      <c r="F1702" s="4" t="str">
        <f>HYPERLINK("http://www.tomaificiopoker.it/","www.tomaificiopoker.it")</f>
        <v>www.tomaificiopoker.it</v>
      </c>
    </row>
    <row r="1703" spans="1:6" ht="16.95" customHeight="1" x14ac:dyDescent="0.25">
      <c r="A1703" s="5" t="s">
        <v>5608</v>
      </c>
      <c r="B1703" s="4" t="s">
        <v>5609</v>
      </c>
      <c r="C1703" s="4" t="s">
        <v>5597</v>
      </c>
      <c r="D1703" s="4" t="s">
        <v>5610</v>
      </c>
      <c r="E1703" s="4" t="s">
        <v>5607</v>
      </c>
      <c r="F1703" s="4" t="str">
        <f>HYPERLINK("http://www.carli1937.it/","www.carli1937.it")</f>
        <v>www.carli1937.it</v>
      </c>
    </row>
    <row r="1704" spans="1:6" ht="16.95" customHeight="1" x14ac:dyDescent="0.25">
      <c r="A1704" s="5" t="s">
        <v>5611</v>
      </c>
      <c r="B1704" s="4" t="s">
        <v>5612</v>
      </c>
      <c r="C1704" s="4" t="s">
        <v>5613</v>
      </c>
      <c r="D1704" s="4" t="s">
        <v>5614</v>
      </c>
      <c r="E1704" s="4" t="s">
        <v>5615</v>
      </c>
      <c r="F1704" s="4" t="str">
        <f>HYPERLINK("http://www.plastiman.it/","www.plastiman.it")</f>
        <v>www.plastiman.it</v>
      </c>
    </row>
    <row r="1705" spans="1:6" ht="16.95" customHeight="1" x14ac:dyDescent="0.25">
      <c r="A1705" s="1" t="s">
        <v>5616</v>
      </c>
      <c r="B1705" s="6" t="s">
        <v>5617</v>
      </c>
      <c r="C1705" s="6" t="s">
        <v>5604</v>
      </c>
      <c r="D1705" s="6" t="s">
        <v>5605</v>
      </c>
      <c r="E1705" s="6" t="s">
        <v>5606</v>
      </c>
      <c r="F1705" s="6" t="str">
        <f>HYPERLINK("http://www.orazi-lavorazioni.com/","www.orazi-lavorazioni.com")</f>
        <v>www.orazi-lavorazioni.com</v>
      </c>
    </row>
    <row r="1706" spans="1:6" ht="16.95" customHeight="1" x14ac:dyDescent="0.25">
      <c r="A1706" s="5" t="s">
        <v>5618</v>
      </c>
      <c r="B1706" s="4" t="s">
        <v>5619</v>
      </c>
      <c r="C1706" s="4" t="s">
        <v>5594</v>
      </c>
      <c r="D1706" s="4" t="s">
        <v>5620</v>
      </c>
      <c r="E1706" s="4" t="s">
        <v>5596</v>
      </c>
      <c r="F1706" s="4" t="str">
        <f>HYPERLINK("http://www.fregoli.net/","www.fregoli.net")</f>
        <v>www.fregoli.net</v>
      </c>
    </row>
    <row r="1707" spans="1:6" ht="16.95" customHeight="1" x14ac:dyDescent="0.25">
      <c r="A1707" s="1" t="s">
        <v>5622</v>
      </c>
      <c r="B1707" s="6" t="s">
        <v>5623</v>
      </c>
      <c r="C1707" s="6" t="s">
        <v>5597</v>
      </c>
      <c r="D1707" s="6" t="s">
        <v>5624</v>
      </c>
      <c r="E1707" s="6" t="s">
        <v>5625</v>
      </c>
      <c r="F1707" s="6" t="str">
        <f>HYPERLINK("http://bocachesalvucci.com/","bocachesalvucci.com")</f>
        <v>bocachesalvucci.com</v>
      </c>
    </row>
    <row r="1708" spans="1:6" ht="16.95" customHeight="1" x14ac:dyDescent="0.25">
      <c r="A1708" s="5" t="s">
        <v>5626</v>
      </c>
      <c r="B1708" s="4" t="s">
        <v>5627</v>
      </c>
      <c r="C1708" s="4" t="s">
        <v>5621</v>
      </c>
      <c r="D1708" s="4" t="s">
        <v>5628</v>
      </c>
      <c r="E1708" s="4" t="s">
        <v>5598</v>
      </c>
      <c r="F1708" s="4" t="str">
        <f>HYPERLINK("http://www.pro-press.it/","www.pro-press.it")</f>
        <v>www.pro-press.it</v>
      </c>
    </row>
    <row r="1709" spans="1:6" ht="29.55" customHeight="1" x14ac:dyDescent="0.25">
      <c r="A1709" s="1" t="s">
        <v>5629</v>
      </c>
      <c r="B1709" s="6" t="s">
        <v>5630</v>
      </c>
      <c r="C1709" s="6" t="s">
        <v>5604</v>
      </c>
      <c r="D1709" s="6" t="s">
        <v>5605</v>
      </c>
      <c r="E1709" s="6" t="s">
        <v>5606</v>
      </c>
      <c r="F1709" s="6" t="str">
        <f>HYPERLINK("http://www.guardolificiomichetti.com/","www.guardolificiomichetti.com")</f>
        <v>www.guardolificiomichetti.com</v>
      </c>
    </row>
    <row r="1710" spans="1:6" ht="16.95" customHeight="1" x14ac:dyDescent="0.25">
      <c r="A1710" s="1" t="s">
        <v>5631</v>
      </c>
      <c r="B1710" s="6" t="s">
        <v>5632</v>
      </c>
      <c r="C1710" s="6" t="s">
        <v>5633</v>
      </c>
      <c r="D1710" s="6" t="s">
        <v>5634</v>
      </c>
      <c r="E1710" s="6" t="s">
        <v>5635</v>
      </c>
      <c r="F1710" s="6" t="str">
        <f>HYPERLINK("http://www.neclemi.it/","www.neclemi.it")</f>
        <v>www.neclemi.it</v>
      </c>
    </row>
    <row r="1711" spans="1:6" ht="16.95" customHeight="1" x14ac:dyDescent="0.25">
      <c r="A1711" s="1" t="s">
        <v>5641</v>
      </c>
      <c r="B1711" s="6" t="s">
        <v>5642</v>
      </c>
      <c r="C1711" s="6" t="s">
        <v>5637</v>
      </c>
      <c r="D1711" s="6" t="s">
        <v>5643</v>
      </c>
      <c r="E1711" s="6" t="s">
        <v>5644</v>
      </c>
      <c r="F1711" s="6" t="str">
        <f>HYPERLINK("http://www.ishikawa.it/","www.ishikawa.it")</f>
        <v>www.ishikawa.it</v>
      </c>
    </row>
    <row r="1712" spans="1:6" ht="16.95" customHeight="1" x14ac:dyDescent="0.25">
      <c r="A1712" s="5" t="s">
        <v>5645</v>
      </c>
      <c r="B1712" s="4" t="s">
        <v>5646</v>
      </c>
      <c r="C1712" s="4" t="s">
        <v>5637</v>
      </c>
      <c r="D1712" s="4" t="s">
        <v>5647</v>
      </c>
      <c r="E1712" s="4" t="s">
        <v>5648</v>
      </c>
      <c r="F1712" s="4" t="str">
        <f>HYPERLINK("http://www.gamsrl.net/","www.gamsrl.net")</f>
        <v>www.gamsrl.net</v>
      </c>
    </row>
    <row r="1713" spans="1:6" ht="16.95" customHeight="1" x14ac:dyDescent="0.25">
      <c r="A1713" s="5" t="s">
        <v>5649</v>
      </c>
      <c r="B1713" s="4" t="s">
        <v>5650</v>
      </c>
      <c r="C1713" s="4" t="s">
        <v>5633</v>
      </c>
      <c r="D1713" s="4" t="s">
        <v>5639</v>
      </c>
      <c r="E1713" s="4" t="s">
        <v>5640</v>
      </c>
      <c r="F1713" s="4" t="str">
        <f>HYPERLINK("http://www.isosoles.net/","www.isosoles.net")</f>
        <v>www.isosoles.net</v>
      </c>
    </row>
    <row r="1714" spans="1:6" ht="29.55" customHeight="1" x14ac:dyDescent="0.25">
      <c r="A1714" s="1" t="s">
        <v>5651</v>
      </c>
      <c r="B1714" s="6" t="s">
        <v>5652</v>
      </c>
      <c r="C1714" s="6" t="s">
        <v>5637</v>
      </c>
      <c r="D1714" s="6" t="s">
        <v>5653</v>
      </c>
      <c r="E1714" s="6" t="s">
        <v>5648</v>
      </c>
      <c r="F1714" s="6" t="str">
        <f>HYPERLINK("http://www.calzaturificiogimar.it/","www.calzaturificiogimar.it")</f>
        <v>www.calzaturificiogimar.it</v>
      </c>
    </row>
    <row r="1715" spans="1:6" ht="16.95" customHeight="1" x14ac:dyDescent="0.25">
      <c r="A1715" s="1" t="s">
        <v>5656</v>
      </c>
      <c r="B1715" s="6" t="s">
        <v>5657</v>
      </c>
      <c r="C1715" s="6" t="s">
        <v>5636</v>
      </c>
      <c r="D1715" s="6" t="s">
        <v>5658</v>
      </c>
      <c r="E1715" s="6" t="s">
        <v>5638</v>
      </c>
      <c r="F1715" s="6" t="str">
        <f>HYPERLINK("http://www.newleathertecnology.it/","www.newleathertecnology.it")</f>
        <v>www.newleathertecnology.it</v>
      </c>
    </row>
    <row r="1716" spans="1:6" ht="29.55" customHeight="1" x14ac:dyDescent="0.25">
      <c r="A1716" s="1" t="s">
        <v>5659</v>
      </c>
      <c r="B1716" s="6" t="s">
        <v>5660</v>
      </c>
      <c r="C1716" s="6" t="s">
        <v>5661</v>
      </c>
      <c r="D1716" s="6" t="s">
        <v>5662</v>
      </c>
      <c r="E1716" s="6" t="s">
        <v>5655</v>
      </c>
      <c r="F1716" s="6" t="str">
        <f>HYPERLINK("http://www.alfredoberetta.it/","www.alfredoberetta.it")</f>
        <v>www.alfredoberetta.it</v>
      </c>
    </row>
    <row r="1717" spans="1:6" ht="16.95" customHeight="1" x14ac:dyDescent="0.25">
      <c r="A1717" s="5" t="s">
        <v>5663</v>
      </c>
      <c r="B1717" s="4" t="s">
        <v>5664</v>
      </c>
      <c r="C1717" s="4" t="s">
        <v>5637</v>
      </c>
      <c r="D1717" s="4" t="s">
        <v>5639</v>
      </c>
      <c r="E1717" s="4" t="s">
        <v>5640</v>
      </c>
      <c r="F1717" s="4" t="str">
        <f>HYPERLINK("http://www.hopesneakers.it/","www.hopesneakers.it")</f>
        <v>www.hopesneakers.it</v>
      </c>
    </row>
    <row r="1718" spans="1:6" ht="43.05" customHeight="1" x14ac:dyDescent="0.25">
      <c r="A1718" s="5" t="s">
        <v>5665</v>
      </c>
      <c r="B1718" s="4" t="s">
        <v>5666</v>
      </c>
      <c r="C1718" s="4" t="s">
        <v>5654</v>
      </c>
      <c r="D1718" s="4" t="s">
        <v>5667</v>
      </c>
      <c r="E1718" s="4" t="s">
        <v>5668</v>
      </c>
      <c r="F1718" s="4" t="str">
        <f>HYPERLINK("http://shop.alienina.com/","shop.alienina.com")</f>
        <v>shop.alienina.com</v>
      </c>
    </row>
    <row r="1719" spans="1:6" ht="16.95" customHeight="1" x14ac:dyDescent="0.25">
      <c r="A1719" s="1" t="s">
        <v>5669</v>
      </c>
      <c r="B1719" s="6" t="s">
        <v>5670</v>
      </c>
      <c r="C1719" s="6" t="s">
        <v>5637</v>
      </c>
      <c r="D1719" s="6" t="s">
        <v>5639</v>
      </c>
      <c r="E1719" s="6" t="s">
        <v>5640</v>
      </c>
      <c r="F1719" s="6" t="str">
        <f>HYPERLINK("http://www.fiorifrancesi.com/","www.fiorifrancesi.com")</f>
        <v>www.fiorifrancesi.com</v>
      </c>
    </row>
    <row r="1720" spans="1:6" ht="29.55" customHeight="1" x14ac:dyDescent="0.25">
      <c r="A1720" s="1" t="s">
        <v>5671</v>
      </c>
      <c r="B1720" s="6" t="s">
        <v>5672</v>
      </c>
      <c r="C1720" s="6" t="s">
        <v>5673</v>
      </c>
      <c r="D1720" s="6" t="s">
        <v>5674</v>
      </c>
      <c r="E1720" s="6" t="s">
        <v>5675</v>
      </c>
      <c r="F1720" s="6" t="str">
        <f>HYPERLINK("http://www.lab20-3.com/","www.lab20-3.com")</f>
        <v>www.lab20-3.com</v>
      </c>
    </row>
    <row r="1721" spans="1:6" ht="16.95" customHeight="1" x14ac:dyDescent="0.25">
      <c r="A1721" s="5" t="s">
        <v>5680</v>
      </c>
      <c r="B1721" s="4" t="s">
        <v>5681</v>
      </c>
      <c r="C1721" s="4" t="s">
        <v>5682</v>
      </c>
      <c r="D1721" s="4" t="s">
        <v>5683</v>
      </c>
      <c r="E1721" s="4" t="s">
        <v>5684</v>
      </c>
      <c r="F1721" s="4" t="str">
        <f>HYPERLINK("http://www.argostannery.it/","www.argostannery.it")</f>
        <v>www.argostannery.it</v>
      </c>
    </row>
    <row r="1722" spans="1:6" ht="16.95" customHeight="1" x14ac:dyDescent="0.25">
      <c r="A1722" s="1" t="s">
        <v>5685</v>
      </c>
      <c r="B1722" s="6" t="s">
        <v>5686</v>
      </c>
      <c r="C1722" s="6" t="s">
        <v>5679</v>
      </c>
      <c r="D1722" s="6" t="s">
        <v>5677</v>
      </c>
      <c r="E1722" s="6" t="s">
        <v>5678</v>
      </c>
      <c r="F1722" s="6" t="str">
        <f>HYPERLINK("http://www.marcosottotacchi.it/","www.marcosottotacchi.it")</f>
        <v>www.marcosottotacchi.it</v>
      </c>
    </row>
    <row r="1723" spans="1:6" ht="16.95" customHeight="1" x14ac:dyDescent="0.25">
      <c r="A1723" s="5" t="s">
        <v>5688</v>
      </c>
      <c r="B1723" s="4" t="s">
        <v>5689</v>
      </c>
      <c r="C1723" s="4" t="s">
        <v>5682</v>
      </c>
      <c r="D1723" s="4" t="s">
        <v>5683</v>
      </c>
      <c r="E1723" s="4" t="s">
        <v>5684</v>
      </c>
      <c r="F1723" s="4" t="str">
        <f>HYPERLINK("http://www.ilforosrl.it/","www.ilforosrl.it")</f>
        <v>www.ilforosrl.it</v>
      </c>
    </row>
    <row r="1724" spans="1:6" ht="16.95" customHeight="1" x14ac:dyDescent="0.25">
      <c r="A1724" s="5" t="s">
        <v>5690</v>
      </c>
      <c r="B1724" s="4" t="s">
        <v>5691</v>
      </c>
      <c r="C1724" s="4" t="s">
        <v>5676</v>
      </c>
      <c r="D1724" s="4" t="s">
        <v>5692</v>
      </c>
      <c r="E1724" s="4" t="s">
        <v>5684</v>
      </c>
      <c r="F1724" s="4" t="str">
        <f>HYPERLINK("http://www.lartigianaviareggina.it/","www.lartigianaviareggina.it")</f>
        <v>www.lartigianaviareggina.it</v>
      </c>
    </row>
    <row r="1725" spans="1:6" ht="16.95" customHeight="1" x14ac:dyDescent="0.25">
      <c r="A1725" s="5" t="s">
        <v>5693</v>
      </c>
      <c r="B1725" s="4" t="s">
        <v>5694</v>
      </c>
      <c r="C1725" s="4" t="s">
        <v>5676</v>
      </c>
      <c r="D1725" s="4" t="s">
        <v>5687</v>
      </c>
      <c r="E1725" s="4" t="s">
        <v>5678</v>
      </c>
      <c r="F1725" s="4" t="str">
        <f>HYPERLINK("http://www.rossolatino.com/","www.rossolatino.com")</f>
        <v>www.rossolatino.com</v>
      </c>
    </row>
    <row r="1726" spans="1:6" ht="29.55" customHeight="1" x14ac:dyDescent="0.25">
      <c r="A1726" s="5" t="s">
        <v>5695</v>
      </c>
      <c r="B1726" s="4" t="s">
        <v>5696</v>
      </c>
      <c r="C1726" s="4" t="s">
        <v>5676</v>
      </c>
      <c r="D1726" s="4" t="s">
        <v>5697</v>
      </c>
      <c r="E1726" s="4" t="s">
        <v>5698</v>
      </c>
      <c r="F1726" s="4" t="str">
        <f>HYPERLINK("http://www.crb-italy.it/","www.crb-italy.it")</f>
        <v>www.crb-italy.it</v>
      </c>
    </row>
    <row r="1727" spans="1:6" ht="16.95" customHeight="1" x14ac:dyDescent="0.25">
      <c r="A1727" s="1" t="s">
        <v>5699</v>
      </c>
      <c r="B1727" s="6" t="s">
        <v>5700</v>
      </c>
      <c r="C1727" s="6" t="s">
        <v>5679</v>
      </c>
      <c r="D1727" s="6" t="s">
        <v>5687</v>
      </c>
      <c r="E1727" s="6" t="s">
        <v>5678</v>
      </c>
      <c r="F1727" s="6" t="str">
        <f>HYPERLINK("http://www.stella.solesfactory.it/","www.stella.solesfactory.it")</f>
        <v>www.stella.solesfactory.it</v>
      </c>
    </row>
    <row r="1728" spans="1:6" ht="16.95" customHeight="1" x14ac:dyDescent="0.25">
      <c r="A1728" s="1" t="s">
        <v>5708</v>
      </c>
      <c r="B1728" s="6" t="s">
        <v>5709</v>
      </c>
      <c r="C1728" s="6" t="s">
        <v>5705</v>
      </c>
      <c r="D1728" s="6" t="s">
        <v>5710</v>
      </c>
      <c r="E1728" s="6" t="s">
        <v>5711</v>
      </c>
      <c r="F1728" s="6" t="str">
        <f>HYPERLINK("http://www.calzatureladymary.it/","www.calzatureladymary.it")</f>
        <v>www.calzatureladymary.it</v>
      </c>
    </row>
    <row r="1729" spans="1:6" ht="16.95" customHeight="1" x14ac:dyDescent="0.25">
      <c r="A1729" s="5" t="s">
        <v>5712</v>
      </c>
      <c r="B1729" s="4" t="s">
        <v>5713</v>
      </c>
      <c r="C1729" s="4" t="s">
        <v>5701</v>
      </c>
      <c r="D1729" s="4" t="s">
        <v>5702</v>
      </c>
      <c r="E1729" s="4" t="s">
        <v>5703</v>
      </c>
      <c r="F1729" s="4" t="str">
        <f>HYPERLINK("http://www.marcobuggiani.com/","www.marcobuggiani.com")</f>
        <v>www.marcobuggiani.com</v>
      </c>
    </row>
    <row r="1730" spans="1:6" ht="16.95" customHeight="1" x14ac:dyDescent="0.25">
      <c r="A1730" s="1" t="s">
        <v>5717</v>
      </c>
      <c r="B1730" s="6" t="s">
        <v>5718</v>
      </c>
      <c r="C1730" s="6" t="s">
        <v>5701</v>
      </c>
      <c r="D1730" s="6" t="s">
        <v>5707</v>
      </c>
      <c r="E1730" s="6" t="s">
        <v>5703</v>
      </c>
      <c r="F1730" s="6" t="str">
        <f>HYPERLINK("http://www.mariniforniture.com/","www.mariniforniture.com")</f>
        <v>www.mariniforniture.com</v>
      </c>
    </row>
    <row r="1731" spans="1:6" ht="43.05" customHeight="1" x14ac:dyDescent="0.25">
      <c r="A1731" s="1" t="s">
        <v>5719</v>
      </c>
      <c r="B1731" s="6" t="s">
        <v>5720</v>
      </c>
      <c r="C1731" s="6" t="s">
        <v>5701</v>
      </c>
      <c r="D1731" s="6" t="s">
        <v>5702</v>
      </c>
      <c r="E1731" s="6" t="s">
        <v>5703</v>
      </c>
      <c r="F1731" s="6" t="str">
        <f>HYPERLINK("http://www.malucchi.it/","www.malucchi.it")</f>
        <v>www.malucchi.it</v>
      </c>
    </row>
    <row r="1732" spans="1:6" ht="29.55" customHeight="1" x14ac:dyDescent="0.25">
      <c r="A1732" s="5" t="s">
        <v>5722</v>
      </c>
      <c r="B1732" s="4" t="s">
        <v>5723</v>
      </c>
      <c r="C1732" s="4" t="s">
        <v>5706</v>
      </c>
      <c r="D1732" s="4" t="s">
        <v>5721</v>
      </c>
      <c r="E1732" s="4" t="s">
        <v>5716</v>
      </c>
      <c r="F1732" s="4" t="str">
        <f>HYPERLINK("http://www.vivapelle.it/","www.vivapelle.it")</f>
        <v>www.vivapelle.it</v>
      </c>
    </row>
    <row r="1733" spans="1:6" ht="16.95" customHeight="1" x14ac:dyDescent="0.25">
      <c r="A1733" s="5" t="s">
        <v>5724</v>
      </c>
      <c r="B1733" s="4" t="s">
        <v>5725</v>
      </c>
      <c r="C1733" s="4" t="s">
        <v>5704</v>
      </c>
      <c r="D1733" s="4" t="s">
        <v>5714</v>
      </c>
      <c r="E1733" s="4" t="s">
        <v>5715</v>
      </c>
      <c r="F1733" s="4" t="str">
        <f>HYPERLINK("http://www.tamponaturapelliamano.it/","www.tamponaturapelliamano.it")</f>
        <v>www.tamponaturapelliamano.it</v>
      </c>
    </row>
    <row r="1734" spans="1:6" ht="16.95" customHeight="1" x14ac:dyDescent="0.25">
      <c r="A1734" s="5" t="s">
        <v>5726</v>
      </c>
      <c r="B1734" s="4" t="s">
        <v>5727</v>
      </c>
      <c r="C1734" s="4" t="s">
        <v>5728</v>
      </c>
      <c r="D1734" s="4" t="s">
        <v>5729</v>
      </c>
      <c r="E1734" s="4" t="s">
        <v>5730</v>
      </c>
      <c r="F1734" s="4" t="str">
        <f>HYPERLINK("http://www.albertofasciani.it/","http://www.albertofasciani.it")</f>
        <v>http://www.albertofasciani.it</v>
      </c>
    </row>
    <row r="1735" spans="1:6" ht="16.95" customHeight="1" x14ac:dyDescent="0.25">
      <c r="A1735" s="5" t="s">
        <v>5734</v>
      </c>
      <c r="B1735" s="4" t="s">
        <v>5735</v>
      </c>
      <c r="C1735" s="4" t="s">
        <v>5731</v>
      </c>
      <c r="D1735" s="4" t="s">
        <v>5732</v>
      </c>
      <c r="E1735" s="4" t="s">
        <v>5733</v>
      </c>
      <c r="F1735" s="4" t="str">
        <f>HYPERLINK("http://www.fullskin.it/","www.fullskin.it")</f>
        <v>www.fullskin.it</v>
      </c>
    </row>
    <row r="1736" spans="1:6" ht="16.95" customHeight="1" x14ac:dyDescent="0.25">
      <c r="A1736" s="1" t="s">
        <v>5737</v>
      </c>
      <c r="B1736" s="6" t="s">
        <v>5738</v>
      </c>
      <c r="C1736" s="6" t="s">
        <v>5731</v>
      </c>
      <c r="D1736" s="6" t="s">
        <v>5739</v>
      </c>
      <c r="E1736" s="6" t="s">
        <v>5740</v>
      </c>
      <c r="F1736" s="6" t="str">
        <f>HYPERLINK("http://www.karmansrl.com/","www.karmansrl.com")</f>
        <v>www.karmansrl.com</v>
      </c>
    </row>
    <row r="1737" spans="1:6" ht="16.95" customHeight="1" x14ac:dyDescent="0.25">
      <c r="A1737" s="1" t="s">
        <v>5741</v>
      </c>
      <c r="B1737" s="6" t="s">
        <v>5742</v>
      </c>
      <c r="C1737" s="6" t="s">
        <v>5728</v>
      </c>
      <c r="D1737" s="6" t="s">
        <v>5743</v>
      </c>
      <c r="E1737" s="6" t="s">
        <v>5736</v>
      </c>
      <c r="F1737" s="6" t="str">
        <f>HYPERLINK("http://www.eurosancr.com/","www.eurosancr.com")</f>
        <v>www.eurosancr.com</v>
      </c>
    </row>
    <row r="1738" spans="1:6" ht="16.95" customHeight="1" x14ac:dyDescent="0.25">
      <c r="A1738" s="1" t="s">
        <v>5744</v>
      </c>
      <c r="B1738" s="6" t="s">
        <v>5745</v>
      </c>
      <c r="C1738" s="6" t="s">
        <v>5746</v>
      </c>
      <c r="D1738" s="6" t="s">
        <v>5747</v>
      </c>
      <c r="E1738" s="6" t="s">
        <v>5748</v>
      </c>
      <c r="F1738" s="6" t="str">
        <f>HYPERLINK("http://meneghinihockey.it/","meneghinihockey.it")</f>
        <v>meneghinihockey.it</v>
      </c>
    </row>
    <row r="1739" spans="1:6" ht="16.95" customHeight="1" x14ac:dyDescent="0.25">
      <c r="A1739" s="1" t="s">
        <v>5753</v>
      </c>
      <c r="B1739" s="6" t="s">
        <v>5754</v>
      </c>
      <c r="C1739" s="6" t="s">
        <v>5755</v>
      </c>
      <c r="D1739" s="6" t="s">
        <v>5750</v>
      </c>
      <c r="E1739" s="6" t="s">
        <v>5751</v>
      </c>
      <c r="F1739" s="6" t="str">
        <f>HYPERLINK("http://www.bonino.it/","www.bonino.it")</f>
        <v>www.bonino.it</v>
      </c>
    </row>
    <row r="1740" spans="1:6" ht="29.55" customHeight="1" x14ac:dyDescent="0.25">
      <c r="A1740" s="5" t="s">
        <v>5756</v>
      </c>
      <c r="B1740" s="4" t="s">
        <v>5757</v>
      </c>
      <c r="C1740" s="4" t="s">
        <v>5755</v>
      </c>
      <c r="D1740" s="4" t="s">
        <v>5758</v>
      </c>
      <c r="E1740" s="4" t="s">
        <v>5752</v>
      </c>
      <c r="F1740" s="4" t="str">
        <f>HYPERLINK("http://www.iacobella.com/","www.iacobella.com")</f>
        <v>www.iacobella.com</v>
      </c>
    </row>
    <row r="1741" spans="1:6" ht="16.95" customHeight="1" x14ac:dyDescent="0.25">
      <c r="A1741" s="1" t="s">
        <v>5759</v>
      </c>
      <c r="B1741" s="6" t="s">
        <v>5760</v>
      </c>
      <c r="C1741" s="6" t="s">
        <v>5755</v>
      </c>
      <c r="D1741" s="6" t="s">
        <v>5761</v>
      </c>
      <c r="E1741" s="6" t="s">
        <v>5748</v>
      </c>
      <c r="F1741" s="6" t="str">
        <f>HYPERLINK("http://www.klausdiffusion.com/","www.klausdiffusion.com")</f>
        <v>www.klausdiffusion.com</v>
      </c>
    </row>
    <row r="1742" spans="1:6" ht="16.95" customHeight="1" x14ac:dyDescent="0.25">
      <c r="A1742" s="5" t="s">
        <v>5763</v>
      </c>
      <c r="B1742" s="4" t="s">
        <v>5764</v>
      </c>
      <c r="C1742" s="4" t="s">
        <v>5746</v>
      </c>
      <c r="D1742" s="4" t="s">
        <v>5750</v>
      </c>
      <c r="E1742" s="4" t="s">
        <v>5751</v>
      </c>
      <c r="F1742" s="4" t="str">
        <f>HYPERLINK("http://www.twelveitalia.it/","www.twelveitalia.it")</f>
        <v>www.twelveitalia.it</v>
      </c>
    </row>
    <row r="1743" spans="1:6" ht="16.95" customHeight="1" x14ac:dyDescent="0.25">
      <c r="A1743" s="1" t="s">
        <v>5765</v>
      </c>
      <c r="B1743" s="6" t="s">
        <v>5766</v>
      </c>
      <c r="C1743" s="6" t="s">
        <v>5746</v>
      </c>
      <c r="D1743" s="6" t="s">
        <v>5767</v>
      </c>
      <c r="E1743" s="6" t="s">
        <v>5768</v>
      </c>
      <c r="F1743" s="6" t="str">
        <f>HYPERLINK("http://www.faustosantini.com/","www.faustosantini.com")</f>
        <v>www.faustosantini.com</v>
      </c>
    </row>
    <row r="1744" spans="1:6" ht="16.95" customHeight="1" x14ac:dyDescent="0.25">
      <c r="A1744" s="5" t="s">
        <v>5769</v>
      </c>
      <c r="B1744" s="4" t="s">
        <v>5770</v>
      </c>
      <c r="C1744" s="4" t="s">
        <v>5746</v>
      </c>
      <c r="D1744" s="4" t="s">
        <v>5771</v>
      </c>
      <c r="E1744" s="4" t="s">
        <v>5772</v>
      </c>
      <c r="F1744" s="4" t="str">
        <f>HYPERLINK("http://les-italiennes.it/","les-italiennes.it")</f>
        <v>les-italiennes.it</v>
      </c>
    </row>
    <row r="1745" spans="1:6" ht="16.95" customHeight="1" x14ac:dyDescent="0.25">
      <c r="A1745" s="1" t="s">
        <v>5773</v>
      </c>
      <c r="B1745" s="6" t="s">
        <v>5774</v>
      </c>
      <c r="C1745" s="6" t="s">
        <v>5749</v>
      </c>
      <c r="D1745" s="6" t="s">
        <v>5747</v>
      </c>
      <c r="E1745" s="6" t="s">
        <v>5748</v>
      </c>
      <c r="F1745" s="6" t="str">
        <f>HYPERLINK("http://www.sauber.com/","www.sauber.com")</f>
        <v>www.sauber.com</v>
      </c>
    </row>
    <row r="1746" spans="1:6" ht="16.95" customHeight="1" x14ac:dyDescent="0.25">
      <c r="A1746" s="5" t="s">
        <v>5775</v>
      </c>
      <c r="B1746" s="4" t="s">
        <v>5776</v>
      </c>
      <c r="C1746" s="4" t="s">
        <v>5746</v>
      </c>
      <c r="D1746" s="4" t="s">
        <v>5777</v>
      </c>
      <c r="E1746" s="4" t="s">
        <v>5772</v>
      </c>
      <c r="F1746" s="4" t="str">
        <f>HYPERLINK("http://www.micanto.it/","www.micanto.it")</f>
        <v>www.micanto.it</v>
      </c>
    </row>
    <row r="1747" spans="1:6" ht="16.95" customHeight="1" x14ac:dyDescent="0.25">
      <c r="A1747" s="1" t="s">
        <v>5778</v>
      </c>
      <c r="B1747" s="6" t="s">
        <v>5779</v>
      </c>
      <c r="C1747" s="6" t="s">
        <v>5755</v>
      </c>
      <c r="D1747" s="6" t="s">
        <v>5780</v>
      </c>
      <c r="E1747" s="6" t="s">
        <v>5781</v>
      </c>
      <c r="F1747" s="6" t="str">
        <f>HYPERLINK("http://www.euphoriasrl.it/","www.euphoriasrl.it")</f>
        <v>www.euphoriasrl.it</v>
      </c>
    </row>
    <row r="1748" spans="1:6" ht="16.95" customHeight="1" x14ac:dyDescent="0.25">
      <c r="A1748" s="1" t="s">
        <v>5782</v>
      </c>
      <c r="B1748" s="6" t="s">
        <v>5783</v>
      </c>
      <c r="C1748" s="6" t="s">
        <v>5755</v>
      </c>
      <c r="D1748" s="6" t="s">
        <v>5784</v>
      </c>
      <c r="E1748" s="6" t="s">
        <v>5762</v>
      </c>
      <c r="F1748" s="6" t="str">
        <f>HYPERLINK("http://www.bagolo.it/","www.bagolo.it")</f>
        <v>www.bagolo.it</v>
      </c>
    </row>
    <row r="1749" spans="1:6" ht="29.55" customHeight="1" x14ac:dyDescent="0.25">
      <c r="A1749" s="5" t="s">
        <v>5786</v>
      </c>
      <c r="B1749" s="4" t="s">
        <v>5787</v>
      </c>
      <c r="C1749" s="4" t="s">
        <v>5785</v>
      </c>
      <c r="D1749" s="4" t="s">
        <v>5788</v>
      </c>
      <c r="E1749" s="4" t="s">
        <v>5789</v>
      </c>
      <c r="F1749" s="4" t="str">
        <f>HYPERLINK("http://new-lady-pelletteria-srl-01677610436.quantofattura.com/","new-lady-pelletteria-srl-01677610436.quantofattura.com")</f>
        <v>new-lady-pelletteria-srl-01677610436.quantofattura.com</v>
      </c>
    </row>
    <row r="1750" spans="1:6" ht="16.95" customHeight="1" x14ac:dyDescent="0.25">
      <c r="A1750" s="5" t="s">
        <v>5790</v>
      </c>
      <c r="B1750" s="4" t="s">
        <v>5791</v>
      </c>
      <c r="C1750" s="4" t="s">
        <v>5785</v>
      </c>
      <c r="D1750" s="4" t="s">
        <v>5792</v>
      </c>
      <c r="E1750" s="4" t="s">
        <v>5793</v>
      </c>
      <c r="F1750" s="4" t="str">
        <f>HYPERLINK("http://www.militarystyle.com/","www.militarystyle.com")</f>
        <v>www.militarystyle.com</v>
      </c>
    </row>
    <row r="1751" spans="1:6" ht="16.95" customHeight="1" x14ac:dyDescent="0.25">
      <c r="A1751" s="1" t="s">
        <v>5794</v>
      </c>
      <c r="B1751" s="6" t="s">
        <v>5795</v>
      </c>
      <c r="C1751" s="6" t="s">
        <v>5796</v>
      </c>
      <c r="D1751" s="6" t="s">
        <v>5797</v>
      </c>
      <c r="E1751" s="6" t="s">
        <v>5798</v>
      </c>
      <c r="F1751" s="6" t="str">
        <f>HYPERLINK("http://www.orthopant.com/","www.orthopant.com")</f>
        <v>www.orthopant.com</v>
      </c>
    </row>
    <row r="1752" spans="1:6" ht="16.95" customHeight="1" x14ac:dyDescent="0.25">
      <c r="A1752" s="5" t="s">
        <v>5801</v>
      </c>
      <c r="B1752" s="4" t="s">
        <v>5802</v>
      </c>
      <c r="C1752" s="4" t="s">
        <v>5785</v>
      </c>
      <c r="D1752" s="4" t="s">
        <v>5799</v>
      </c>
      <c r="E1752" s="4" t="s">
        <v>5800</v>
      </c>
      <c r="F1752" s="4" t="str">
        <f>HYPERLINK("http://blog.ornellaauzino.it/","blog.ornellaauzino.it")</f>
        <v>blog.ornellaauzino.it</v>
      </c>
    </row>
    <row r="1753" spans="1:6" ht="16.95" customHeight="1" x14ac:dyDescent="0.25">
      <c r="A1753" s="5" t="s">
        <v>5803</v>
      </c>
      <c r="B1753" s="4" t="s">
        <v>5804</v>
      </c>
      <c r="C1753" s="4" t="s">
        <v>5796</v>
      </c>
      <c r="D1753" s="4" t="s">
        <v>5788</v>
      </c>
      <c r="E1753" s="4" t="s">
        <v>5789</v>
      </c>
      <c r="F1753" s="4" t="str">
        <f>HYPERLINK("http://www.nuovacervinio.it/","www.nuovacervinio.it")</f>
        <v>www.nuovacervinio.it</v>
      </c>
    </row>
    <row r="1754" spans="1:6" ht="16.95" customHeight="1" x14ac:dyDescent="0.25">
      <c r="A1754" s="1" t="s">
        <v>5805</v>
      </c>
      <c r="B1754" s="6" t="s">
        <v>5806</v>
      </c>
      <c r="C1754" s="6" t="s">
        <v>5796</v>
      </c>
      <c r="D1754" s="6" t="s">
        <v>5807</v>
      </c>
      <c r="E1754" s="6" t="s">
        <v>5808</v>
      </c>
      <c r="F1754" s="6" t="str">
        <f>HYPERLINK("http://leathercrown.it/","leathercrown.it")</f>
        <v>leathercrown.it</v>
      </c>
    </row>
    <row r="1755" spans="1:6" ht="16.95" customHeight="1" x14ac:dyDescent="0.25">
      <c r="A1755" s="5" t="s">
        <v>5810</v>
      </c>
      <c r="B1755" s="4" t="s">
        <v>5811</v>
      </c>
      <c r="C1755" s="4" t="s">
        <v>5809</v>
      </c>
      <c r="D1755" s="4" t="s">
        <v>5812</v>
      </c>
      <c r="E1755" s="4" t="s">
        <v>5808</v>
      </c>
      <c r="F1755" s="4" t="str">
        <f>HYPERLINK("http://www.ledart.it/","www.ledart.it")</f>
        <v>www.ledart.it</v>
      </c>
    </row>
    <row r="1756" spans="1:6" ht="16.95" customHeight="1" x14ac:dyDescent="0.25">
      <c r="A1756" s="5" t="s">
        <v>5813</v>
      </c>
      <c r="B1756" s="4" t="s">
        <v>5814</v>
      </c>
      <c r="C1756" s="4" t="s">
        <v>5785</v>
      </c>
      <c r="D1756" s="4" t="s">
        <v>5815</v>
      </c>
      <c r="E1756" s="4" t="s">
        <v>5816</v>
      </c>
      <c r="F1756" s="4" t="str">
        <f>HYPERLINK("http://www.pasomar.com/","www.pasomar.com")</f>
        <v>www.pasomar.com</v>
      </c>
    </row>
    <row r="1757" spans="1:6" ht="43.05" customHeight="1" x14ac:dyDescent="0.25">
      <c r="A1757" s="1" t="s">
        <v>5817</v>
      </c>
      <c r="B1757" s="6" t="s">
        <v>5818</v>
      </c>
      <c r="C1757" s="6" t="s">
        <v>5819</v>
      </c>
      <c r="D1757" s="6" t="s">
        <v>5820</v>
      </c>
      <c r="E1757" s="6" t="s">
        <v>5821</v>
      </c>
      <c r="F1757" s="6" t="str">
        <f>HYPERLINK("http://www.acgcalzature.com/","www.acgcalzature.com")</f>
        <v>www.acgcalzature.com</v>
      </c>
    </row>
    <row r="1758" spans="1:6" ht="43.05" customHeight="1" x14ac:dyDescent="0.25">
      <c r="A1758" s="1" t="s">
        <v>5823</v>
      </c>
      <c r="B1758" s="6" t="s">
        <v>5824</v>
      </c>
      <c r="C1758" s="6" t="s">
        <v>5819</v>
      </c>
      <c r="D1758" s="6" t="s">
        <v>5825</v>
      </c>
      <c r="E1758" s="6" t="s">
        <v>5826</v>
      </c>
      <c r="F1758" s="6" t="str">
        <f>HYPERLINK("http://drudditalia.com/","drudditalia.com")</f>
        <v>drudditalia.com</v>
      </c>
    </row>
    <row r="1759" spans="1:6" ht="29.55" customHeight="1" x14ac:dyDescent="0.25">
      <c r="A1759" s="5" t="s">
        <v>5827</v>
      </c>
      <c r="B1759" s="4" t="s">
        <v>5828</v>
      </c>
      <c r="C1759" s="4" t="s">
        <v>5819</v>
      </c>
      <c r="D1759" s="4" t="s">
        <v>5829</v>
      </c>
      <c r="E1759" s="4" t="s">
        <v>5830</v>
      </c>
      <c r="F1759" s="4" t="str">
        <f>HYPERLINK("http://2008calzaturificio.wordpress.com/","2008calzaturificio.wordpress.com")</f>
        <v>2008calzaturificio.wordpress.com</v>
      </c>
    </row>
    <row r="1760" spans="1:6" ht="16.95" customHeight="1" x14ac:dyDescent="0.25">
      <c r="A1760" s="5" t="s">
        <v>5832</v>
      </c>
      <c r="B1760" s="4" t="s">
        <v>5833</v>
      </c>
      <c r="C1760" s="4" t="s">
        <v>5822</v>
      </c>
      <c r="D1760" s="4" t="s">
        <v>5834</v>
      </c>
      <c r="E1760" s="4" t="s">
        <v>5835</v>
      </c>
      <c r="F1760" s="4" t="str">
        <f>HYPERLINK("http://tulsi-italy.com/","tulsi-italy.com")</f>
        <v>tulsi-italy.com</v>
      </c>
    </row>
    <row r="1761" spans="1:6" ht="16.95" customHeight="1" x14ac:dyDescent="0.25">
      <c r="A1761" s="5" t="s">
        <v>5839</v>
      </c>
      <c r="B1761" s="4" t="s">
        <v>5840</v>
      </c>
      <c r="C1761" s="4" t="s">
        <v>5836</v>
      </c>
      <c r="D1761" s="4" t="s">
        <v>5837</v>
      </c>
      <c r="E1761" s="4" t="s">
        <v>5826</v>
      </c>
      <c r="F1761" s="4" t="str">
        <f>HYPERLINK("http://www.iverde.it/","www.iverde.it")</f>
        <v>www.iverde.it</v>
      </c>
    </row>
    <row r="1762" spans="1:6" ht="29.55" customHeight="1" x14ac:dyDescent="0.25">
      <c r="A1762" s="1" t="s">
        <v>5842</v>
      </c>
      <c r="B1762" s="6" t="s">
        <v>5843</v>
      </c>
      <c r="C1762" s="6" t="s">
        <v>5819</v>
      </c>
      <c r="D1762" s="6" t="s">
        <v>5825</v>
      </c>
      <c r="E1762" s="6" t="s">
        <v>5826</v>
      </c>
      <c r="F1762" s="6" t="str">
        <f>HYPERLINK("http://www.triocalzature.com/","www.triocalzature.com")</f>
        <v>www.triocalzature.com</v>
      </c>
    </row>
    <row r="1763" spans="1:6" ht="29.55" customHeight="1" x14ac:dyDescent="0.25">
      <c r="A1763" s="5" t="s">
        <v>5844</v>
      </c>
      <c r="B1763" s="4" t="s">
        <v>5845</v>
      </c>
      <c r="C1763" s="4" t="s">
        <v>5819</v>
      </c>
      <c r="D1763" s="4" t="s">
        <v>5838</v>
      </c>
      <c r="E1763" s="4" t="s">
        <v>5830</v>
      </c>
      <c r="F1763" s="4" t="str">
        <f>HYPERLINK("http://www.primitempi.it/","www.primitempi.it")</f>
        <v>www.primitempi.it</v>
      </c>
    </row>
    <row r="1764" spans="1:6" ht="43.05" customHeight="1" x14ac:dyDescent="0.25">
      <c r="A1764" s="1" t="s">
        <v>5846</v>
      </c>
      <c r="B1764" s="6" t="s">
        <v>5847</v>
      </c>
      <c r="C1764" s="6" t="s">
        <v>5819</v>
      </c>
      <c r="D1764" s="6" t="s">
        <v>5848</v>
      </c>
      <c r="E1764" s="6" t="s">
        <v>5841</v>
      </c>
      <c r="F1764" s="6" t="str">
        <f>HYPERLINK("http://www.imputshop.it/","www.imputshop.it")</f>
        <v>www.imputshop.it</v>
      </c>
    </row>
    <row r="1765" spans="1:6" ht="16.95" customHeight="1" x14ac:dyDescent="0.25">
      <c r="A1765" s="1" t="s">
        <v>5849</v>
      </c>
      <c r="B1765" s="6" t="s">
        <v>5850</v>
      </c>
      <c r="C1765" s="6" t="s">
        <v>5822</v>
      </c>
      <c r="D1765" s="6" t="s">
        <v>5851</v>
      </c>
      <c r="E1765" s="6" t="s">
        <v>5831</v>
      </c>
      <c r="F1765" s="6" t="str">
        <f>HYPERLINK("http://corame.it/","corame.it")</f>
        <v>corame.it</v>
      </c>
    </row>
    <row r="1766" spans="1:6" ht="16.95" customHeight="1" x14ac:dyDescent="0.25">
      <c r="A1766" s="1" t="s">
        <v>5854</v>
      </c>
      <c r="B1766" s="6" t="s">
        <v>5855</v>
      </c>
      <c r="C1766" s="6" t="s">
        <v>5856</v>
      </c>
      <c r="D1766" s="6" t="s">
        <v>5857</v>
      </c>
      <c r="E1766" s="6" t="s">
        <v>5858</v>
      </c>
      <c r="F1766" s="6" t="str">
        <f>HYPERLINK("http://www.lexiapel.com/","www.lexiapel.com")</f>
        <v>www.lexiapel.com</v>
      </c>
    </row>
    <row r="1767" spans="1:6" ht="16.95" customHeight="1" x14ac:dyDescent="0.25">
      <c r="A1767" s="1" t="s">
        <v>5861</v>
      </c>
      <c r="B1767" s="6" t="s">
        <v>5862</v>
      </c>
      <c r="C1767" s="6" t="s">
        <v>5863</v>
      </c>
      <c r="D1767" s="6" t="s">
        <v>5864</v>
      </c>
      <c r="E1767" s="6" t="s">
        <v>5853</v>
      </c>
      <c r="F1767" s="6" t="str">
        <f>HYPERLINK("http://www.frecciablleather.it/","www.frecciablleather.it")</f>
        <v>www.frecciablleather.it</v>
      </c>
    </row>
    <row r="1768" spans="1:6" ht="16.95" customHeight="1" x14ac:dyDescent="0.25">
      <c r="A1768" s="1" t="s">
        <v>5865</v>
      </c>
      <c r="B1768" s="6" t="s">
        <v>5866</v>
      </c>
      <c r="C1768" s="6" t="s">
        <v>5859</v>
      </c>
      <c r="D1768" s="6" t="s">
        <v>5867</v>
      </c>
      <c r="E1768" s="6" t="s">
        <v>5868</v>
      </c>
      <c r="F1768" s="6" t="str">
        <f>HYPERLINK("http://www.gianniserena.it/","www.gianniserena.it")</f>
        <v>www.gianniserena.it</v>
      </c>
    </row>
    <row r="1769" spans="1:6" ht="16.95" customHeight="1" x14ac:dyDescent="0.25">
      <c r="A1769" s="1" t="s">
        <v>5870</v>
      </c>
      <c r="B1769" s="6" t="s">
        <v>5871</v>
      </c>
      <c r="C1769" s="6" t="s">
        <v>5852</v>
      </c>
      <c r="D1769" s="6" t="s">
        <v>5872</v>
      </c>
      <c r="E1769" s="6" t="s">
        <v>5868</v>
      </c>
      <c r="F1769" s="6" t="str">
        <f>HYPERLINK("http://www.stylgrand.com/","www.stylgrand.com")</f>
        <v>www.stylgrand.com</v>
      </c>
    </row>
    <row r="1770" spans="1:6" ht="29.55" customHeight="1" x14ac:dyDescent="0.25">
      <c r="A1770" s="1" t="s">
        <v>5873</v>
      </c>
      <c r="B1770" s="6" t="s">
        <v>5874</v>
      </c>
      <c r="C1770" s="6" t="s">
        <v>5852</v>
      </c>
      <c r="D1770" s="6" t="s">
        <v>5869</v>
      </c>
      <c r="E1770" s="6" t="s">
        <v>5860</v>
      </c>
      <c r="F1770" s="6" t="str">
        <f>HYPERLINK("http://www.calzaturificiopratika.it/","www.calzaturificiopratika.it")</f>
        <v>www.calzaturificiopratika.it</v>
      </c>
    </row>
    <row r="1771" spans="1:6" ht="16.95" customHeight="1" x14ac:dyDescent="0.25">
      <c r="A1771" s="5" t="s">
        <v>5875</v>
      </c>
      <c r="B1771" s="4" t="s">
        <v>5876</v>
      </c>
      <c r="C1771" s="4" t="s">
        <v>5852</v>
      </c>
      <c r="D1771" s="4" t="s">
        <v>5877</v>
      </c>
      <c r="E1771" s="4" t="s">
        <v>5868</v>
      </c>
      <c r="F1771" s="4" t="str">
        <f>HYPERLINK("http://www.ojour.it/","www.ojour.it")</f>
        <v>www.ojour.it</v>
      </c>
    </row>
    <row r="1772" spans="1:6" ht="16.95" customHeight="1" x14ac:dyDescent="0.25">
      <c r="A1772" s="1" t="s">
        <v>5883</v>
      </c>
      <c r="B1772" s="6" t="s">
        <v>5884</v>
      </c>
      <c r="C1772" s="6" t="s">
        <v>5879</v>
      </c>
      <c r="D1772" s="6" t="s">
        <v>5880</v>
      </c>
      <c r="E1772" s="6" t="s">
        <v>5881</v>
      </c>
      <c r="F1772" s="6" t="str">
        <f>HYPERLINK("http://www.bauli.emilioscolari.it/","www.bauli.emilioscolari.it")</f>
        <v>www.bauli.emilioscolari.it</v>
      </c>
    </row>
    <row r="1773" spans="1:6" ht="16.95" customHeight="1" x14ac:dyDescent="0.25">
      <c r="A1773" s="5" t="s">
        <v>5886</v>
      </c>
      <c r="B1773" s="4" t="s">
        <v>5887</v>
      </c>
      <c r="C1773" s="4" t="s">
        <v>5885</v>
      </c>
      <c r="D1773" s="4" t="s">
        <v>5888</v>
      </c>
      <c r="E1773" s="4" t="s">
        <v>5889</v>
      </c>
      <c r="F1773" s="4" t="str">
        <f>HYPERLINK("http://www.ventesimastrada.it/","www.ventesimastrada.it")</f>
        <v>www.ventesimastrada.it</v>
      </c>
    </row>
    <row r="1774" spans="1:6" ht="16.95" customHeight="1" x14ac:dyDescent="0.25">
      <c r="A1774" s="5" t="s">
        <v>5891</v>
      </c>
      <c r="B1774" s="4" t="s">
        <v>5892</v>
      </c>
      <c r="C1774" s="4" t="s">
        <v>5879</v>
      </c>
      <c r="D1774" s="4" t="s">
        <v>5893</v>
      </c>
      <c r="E1774" s="4" t="s">
        <v>5881</v>
      </c>
      <c r="F1774" s="4" t="str">
        <f>HYPERLINK("http://shop.alexade.com/","shop.alexade.com")</f>
        <v>shop.alexade.com</v>
      </c>
    </row>
    <row r="1775" spans="1:6" ht="16.95" customHeight="1" x14ac:dyDescent="0.25">
      <c r="A1775" s="5" t="s">
        <v>5894</v>
      </c>
      <c r="B1775" s="4" t="s">
        <v>5895</v>
      </c>
      <c r="C1775" s="4" t="s">
        <v>5879</v>
      </c>
      <c r="D1775" s="4" t="s">
        <v>5896</v>
      </c>
      <c r="E1775" s="4" t="s">
        <v>5878</v>
      </c>
      <c r="F1775" s="4" t="str">
        <f>HYPERLINK("http://eshop.lavacchettagrassamodena.it/","eshop.lavacchettagrassamodena.it")</f>
        <v>eshop.lavacchettagrassamodena.it</v>
      </c>
    </row>
    <row r="1776" spans="1:6" ht="16.95" customHeight="1" x14ac:dyDescent="0.25">
      <c r="A1776" s="1" t="s">
        <v>5897</v>
      </c>
      <c r="B1776" s="6" t="s">
        <v>5898</v>
      </c>
      <c r="C1776" s="6" t="s">
        <v>5885</v>
      </c>
      <c r="D1776" s="6" t="s">
        <v>5899</v>
      </c>
      <c r="E1776" s="6" t="s">
        <v>5889</v>
      </c>
      <c r="F1776" s="6" t="str">
        <f>HYPERLINK("http://dressedlab.it/","dressedlab.it")</f>
        <v>dressedlab.it</v>
      </c>
    </row>
    <row r="1777" spans="1:6" ht="16.95" customHeight="1" x14ac:dyDescent="0.25">
      <c r="A1777" s="1" t="s">
        <v>5900</v>
      </c>
      <c r="B1777" s="6" t="s">
        <v>5901</v>
      </c>
      <c r="C1777" s="6" t="s">
        <v>5885</v>
      </c>
      <c r="D1777" s="6" t="s">
        <v>5902</v>
      </c>
      <c r="E1777" s="6" t="s">
        <v>5882</v>
      </c>
      <c r="F1777" s="6" t="str">
        <f>HYPERLINK("http://www.risorsefuture.net/","www.risorsefuture.net")</f>
        <v>www.risorsefuture.net</v>
      </c>
    </row>
    <row r="1778" spans="1:6" ht="16.95" customHeight="1" x14ac:dyDescent="0.25">
      <c r="A1778" s="1" t="s">
        <v>5903</v>
      </c>
      <c r="B1778" s="6" t="s">
        <v>5904</v>
      </c>
      <c r="C1778" s="6" t="s">
        <v>5879</v>
      </c>
      <c r="D1778" s="6" t="s">
        <v>5905</v>
      </c>
      <c r="E1778" s="6" t="s">
        <v>5906</v>
      </c>
      <c r="F1778" s="6" t="str">
        <f>HYPERLINK("http://italiandesignpelletterie.it/","italiandesignpelletterie.it")</f>
        <v>italiandesignpelletterie.it</v>
      </c>
    </row>
    <row r="1779" spans="1:6" ht="16.95" customHeight="1" x14ac:dyDescent="0.25">
      <c r="A1779" s="5" t="s">
        <v>5907</v>
      </c>
      <c r="B1779" s="4" t="s">
        <v>5908</v>
      </c>
      <c r="C1779" s="4" t="s">
        <v>5879</v>
      </c>
      <c r="D1779" s="4" t="s">
        <v>5909</v>
      </c>
      <c r="E1779" s="4" t="s">
        <v>5878</v>
      </c>
      <c r="F1779" s="4" t="str">
        <f>HYPERLINK("http://www.wildhog.it/","www.wildhog.it")</f>
        <v>www.wildhog.it</v>
      </c>
    </row>
    <row r="1780" spans="1:6" ht="16.95" customHeight="1" x14ac:dyDescent="0.25">
      <c r="A1780" s="1" t="s">
        <v>5910</v>
      </c>
      <c r="B1780" s="6" t="s">
        <v>5911</v>
      </c>
      <c r="C1780" s="6" t="s">
        <v>5890</v>
      </c>
      <c r="D1780" s="6" t="s">
        <v>5909</v>
      </c>
      <c r="E1780" s="6" t="s">
        <v>5878</v>
      </c>
      <c r="F1780" s="6" t="str">
        <f>HYPERLINK("http://www.scalabrinisrl.com/","www.scalabrinisrl.com")</f>
        <v>www.scalabrinisrl.com</v>
      </c>
    </row>
    <row r="1781" spans="1:6" ht="16.95" customHeight="1" x14ac:dyDescent="0.25">
      <c r="A1781" s="5" t="s">
        <v>5915</v>
      </c>
      <c r="B1781" s="4" t="s">
        <v>5916</v>
      </c>
      <c r="C1781" s="4" t="s">
        <v>5912</v>
      </c>
      <c r="D1781" s="4" t="s">
        <v>5917</v>
      </c>
      <c r="E1781" s="4" t="s">
        <v>5918</v>
      </c>
      <c r="F1781" s="4" t="str">
        <f>HYPERLINK("http://www.teamform.it/","www.teamform.it")</f>
        <v>www.teamform.it</v>
      </c>
    </row>
    <row r="1782" spans="1:6" ht="16.95" customHeight="1" x14ac:dyDescent="0.25">
      <c r="A1782" s="1" t="s">
        <v>5919</v>
      </c>
      <c r="B1782" s="6" t="s">
        <v>5920</v>
      </c>
      <c r="C1782" s="6" t="s">
        <v>5912</v>
      </c>
      <c r="D1782" s="6" t="s">
        <v>5921</v>
      </c>
      <c r="E1782" s="6" t="s">
        <v>5922</v>
      </c>
      <c r="F1782" s="6" t="str">
        <f>HYPERLINK("http://www.alexsrls.com/","www.alexsrls.com")</f>
        <v>www.alexsrls.com</v>
      </c>
    </row>
    <row r="1783" spans="1:6" ht="16.95" customHeight="1" x14ac:dyDescent="0.25">
      <c r="A1783" s="5" t="s">
        <v>5924</v>
      </c>
      <c r="B1783" s="4" t="s">
        <v>5925</v>
      </c>
      <c r="C1783" s="4" t="s">
        <v>5913</v>
      </c>
      <c r="D1783" s="4" t="s">
        <v>5926</v>
      </c>
      <c r="E1783" s="4" t="s">
        <v>5927</v>
      </c>
      <c r="F1783" s="4" t="str">
        <f>HYPERLINK("http://www.civicoundici.com/","www.civicoundici.com")</f>
        <v>www.civicoundici.com</v>
      </c>
    </row>
    <row r="1784" spans="1:6" ht="16.95" customHeight="1" x14ac:dyDescent="0.25">
      <c r="A1784" s="1" t="s">
        <v>5928</v>
      </c>
      <c r="B1784" s="6" t="s">
        <v>5929</v>
      </c>
      <c r="C1784" s="6" t="s">
        <v>5912</v>
      </c>
      <c r="D1784" s="6" t="s">
        <v>5930</v>
      </c>
      <c r="E1784" s="6" t="s">
        <v>5922</v>
      </c>
      <c r="F1784" s="6" t="str">
        <f>HYPERLINK("http://www.bagatto.com/","www.bagatto.com")</f>
        <v>www.bagatto.com</v>
      </c>
    </row>
    <row r="1785" spans="1:6" ht="16.95" customHeight="1" x14ac:dyDescent="0.25">
      <c r="A1785" s="5" t="s">
        <v>5933</v>
      </c>
      <c r="B1785" s="4" t="s">
        <v>5934</v>
      </c>
      <c r="C1785" s="4" t="s">
        <v>5935</v>
      </c>
      <c r="D1785" s="4" t="s">
        <v>5936</v>
      </c>
      <c r="E1785" s="4" t="s">
        <v>5937</v>
      </c>
      <c r="F1785" s="4" t="str">
        <f>HYPERLINK("http://vernizzicinture.it/","vernizzicinture.it")</f>
        <v>vernizzicinture.it</v>
      </c>
    </row>
    <row r="1786" spans="1:6" ht="43.05" customHeight="1" x14ac:dyDescent="0.25">
      <c r="A1786" s="1" t="s">
        <v>5938</v>
      </c>
      <c r="B1786" s="6" t="s">
        <v>5939</v>
      </c>
      <c r="C1786" s="6" t="s">
        <v>5923</v>
      </c>
      <c r="D1786" s="6" t="s">
        <v>5931</v>
      </c>
      <c r="E1786" s="6" t="s">
        <v>5932</v>
      </c>
      <c r="F1786" s="6" t="str">
        <f>HYPERLINK("http://inshoes.italianmoda.com/","inshoes.italianmoda.com")</f>
        <v>inshoes.italianmoda.com</v>
      </c>
    </row>
    <row r="1787" spans="1:6" ht="16.95" customHeight="1" x14ac:dyDescent="0.25">
      <c r="A1787" s="1" t="s">
        <v>5940</v>
      </c>
      <c r="B1787" s="6" t="s">
        <v>5941</v>
      </c>
      <c r="C1787" s="6" t="s">
        <v>5912</v>
      </c>
      <c r="D1787" s="6" t="s">
        <v>5942</v>
      </c>
      <c r="E1787" s="6" t="s">
        <v>5914</v>
      </c>
      <c r="F1787" s="6" t="str">
        <f>HYPERLINK("http://www.calzaturesposa.com/","www.calzaturesposa.com")</f>
        <v>www.calzaturesposa.com</v>
      </c>
    </row>
    <row r="1788" spans="1:6" ht="16.95" customHeight="1" x14ac:dyDescent="0.25">
      <c r="A1788" s="5" t="s">
        <v>5947</v>
      </c>
      <c r="B1788" s="4" t="s">
        <v>5948</v>
      </c>
      <c r="C1788" s="4" t="s">
        <v>5943</v>
      </c>
      <c r="D1788" s="4" t="s">
        <v>5949</v>
      </c>
      <c r="E1788" s="4" t="s">
        <v>5950</v>
      </c>
      <c r="F1788" s="4" t="str">
        <f>HYPERLINK("http://www.suolificioelisa.it/","www.suolificioelisa.it")</f>
        <v>www.suolificioelisa.it</v>
      </c>
    </row>
    <row r="1789" spans="1:6" ht="16.95" customHeight="1" x14ac:dyDescent="0.25">
      <c r="A1789" s="1" t="s">
        <v>5952</v>
      </c>
      <c r="B1789" s="6" t="s">
        <v>5953</v>
      </c>
      <c r="C1789" s="6" t="s">
        <v>5954</v>
      </c>
      <c r="D1789" s="6" t="s">
        <v>5955</v>
      </c>
      <c r="E1789" s="6" t="s">
        <v>5956</v>
      </c>
      <c r="F1789" s="6" t="str">
        <f>HYPERLINK("http://atalasport.it/","atalasport.it")</f>
        <v>atalasport.it</v>
      </c>
    </row>
    <row r="1790" spans="1:6" ht="29.55" customHeight="1" x14ac:dyDescent="0.25">
      <c r="A1790" s="5" t="s">
        <v>5957</v>
      </c>
      <c r="B1790" s="4" t="s">
        <v>5958</v>
      </c>
      <c r="C1790" s="4" t="s">
        <v>5954</v>
      </c>
      <c r="D1790" s="4" t="s">
        <v>5959</v>
      </c>
      <c r="E1790" s="4" t="s">
        <v>5945</v>
      </c>
      <c r="F1790" s="4" t="str">
        <f>HYPERLINK("http://www.francocimadamore.it/","www.francocimadamore.it")</f>
        <v>www.francocimadamore.it</v>
      </c>
    </row>
    <row r="1791" spans="1:6" ht="16.95" customHeight="1" x14ac:dyDescent="0.25">
      <c r="A1791" s="5" t="s">
        <v>5962</v>
      </c>
      <c r="B1791" s="4" t="s">
        <v>5963</v>
      </c>
      <c r="C1791" s="4" t="s">
        <v>5944</v>
      </c>
      <c r="D1791" s="4" t="s">
        <v>5960</v>
      </c>
      <c r="E1791" s="4" t="s">
        <v>5961</v>
      </c>
      <c r="F1791" s="4" t="str">
        <f>HYPERLINK("http://www.conceriastella.com/","www.conceriastella.com")</f>
        <v>www.conceriastella.com</v>
      </c>
    </row>
    <row r="1792" spans="1:6" ht="16.95" customHeight="1" x14ac:dyDescent="0.25">
      <c r="A1792" s="5" t="s">
        <v>5964</v>
      </c>
      <c r="B1792" s="4" t="s">
        <v>5965</v>
      </c>
      <c r="C1792" s="4" t="s">
        <v>5951</v>
      </c>
      <c r="D1792" s="4" t="s">
        <v>5966</v>
      </c>
      <c r="E1792" s="4" t="s">
        <v>5967</v>
      </c>
      <c r="F1792" s="4" t="str">
        <f>HYPERLINK("http://www.regenesi.com/","www.regenesi.com")</f>
        <v>www.regenesi.com</v>
      </c>
    </row>
    <row r="1793" spans="1:6" ht="16.95" customHeight="1" x14ac:dyDescent="0.25">
      <c r="A1793" s="1" t="s">
        <v>5968</v>
      </c>
      <c r="B1793" s="6" t="s">
        <v>5969</v>
      </c>
      <c r="C1793" s="6" t="s">
        <v>5951</v>
      </c>
      <c r="D1793" s="6" t="s">
        <v>5946</v>
      </c>
      <c r="E1793" s="6" t="s">
        <v>5945</v>
      </c>
      <c r="F1793" s="6" t="str">
        <f>HYPERLINK("http://luxurytech.fund/","luxurytech.fund")</f>
        <v>luxurytech.fund</v>
      </c>
    </row>
    <row r="1794" spans="1:6" ht="16.95" customHeight="1" x14ac:dyDescent="0.25">
      <c r="A1794" s="5" t="s">
        <v>5971</v>
      </c>
      <c r="B1794" s="4" t="s">
        <v>5972</v>
      </c>
      <c r="C1794" s="4" t="s">
        <v>5951</v>
      </c>
      <c r="D1794" s="4" t="s">
        <v>5966</v>
      </c>
      <c r="E1794" s="4" t="s">
        <v>5967</v>
      </c>
      <c r="F1794" s="4" t="str">
        <f>HYPERLINK("http://viadazeglio.com/","viadazeglio.com")</f>
        <v>viadazeglio.com</v>
      </c>
    </row>
    <row r="1795" spans="1:6" ht="16.95" customHeight="1" x14ac:dyDescent="0.25">
      <c r="A1795" s="1" t="s">
        <v>5973</v>
      </c>
      <c r="B1795" s="6" t="s">
        <v>5974</v>
      </c>
      <c r="C1795" s="6" t="s">
        <v>5951</v>
      </c>
      <c r="D1795" s="6" t="s">
        <v>5946</v>
      </c>
      <c r="E1795" s="6" t="s">
        <v>5945</v>
      </c>
      <c r="F1795" s="6" t="str">
        <f>HYPERLINK("http://www.brigitteitalia.it/","www.brigitteitalia.it")</f>
        <v>www.brigitteitalia.it</v>
      </c>
    </row>
    <row r="1796" spans="1:6" ht="29.55" customHeight="1" x14ac:dyDescent="0.25">
      <c r="A1796" s="1" t="s">
        <v>5977</v>
      </c>
      <c r="B1796" s="6" t="s">
        <v>5978</v>
      </c>
      <c r="C1796" s="6" t="s">
        <v>5944</v>
      </c>
      <c r="D1796" s="6" t="s">
        <v>5970</v>
      </c>
      <c r="E1796" s="6" t="s">
        <v>5961</v>
      </c>
      <c r="F1796" s="6" t="str">
        <f>HYPERLINK("http://www.yourleather.it/","www.yourleather.it")</f>
        <v>www.yourleather.it</v>
      </c>
    </row>
    <row r="1797" spans="1:6" ht="29.55" customHeight="1" x14ac:dyDescent="0.25">
      <c r="A1797" s="5" t="s">
        <v>5979</v>
      </c>
      <c r="B1797" s="4" t="s">
        <v>5980</v>
      </c>
      <c r="C1797" s="4" t="s">
        <v>5954</v>
      </c>
      <c r="D1797" s="4" t="s">
        <v>5975</v>
      </c>
      <c r="E1797" s="4" t="s">
        <v>5976</v>
      </c>
      <c r="F1797" s="4" t="str">
        <f>HYPERLINK("http://www.calzaturificioevangard.it/","www.calzaturificioevangard.it")</f>
        <v>www.calzaturificioevangard.it</v>
      </c>
    </row>
    <row r="1798" spans="1:6" ht="16.95" customHeight="1" x14ac:dyDescent="0.25">
      <c r="A1798" s="5" t="s">
        <v>5981</v>
      </c>
      <c r="B1798" s="4" t="s">
        <v>5982</v>
      </c>
      <c r="C1798" s="4" t="s">
        <v>5951</v>
      </c>
      <c r="D1798" s="4" t="s">
        <v>5983</v>
      </c>
      <c r="E1798" s="4" t="s">
        <v>5950</v>
      </c>
      <c r="F1798" s="4" t="str">
        <f>HYPERLINK("http://www.abline.it/","www.abline.it")</f>
        <v>www.abline.it</v>
      </c>
    </row>
    <row r="1799" spans="1:6" ht="16.95" customHeight="1" x14ac:dyDescent="0.25">
      <c r="A1799" s="1" t="s">
        <v>5984</v>
      </c>
      <c r="B1799" s="6" t="s">
        <v>5985</v>
      </c>
      <c r="C1799" s="6" t="s">
        <v>5986</v>
      </c>
      <c r="D1799" s="6" t="s">
        <v>5987</v>
      </c>
      <c r="E1799" s="6" t="s">
        <v>5988</v>
      </c>
      <c r="F1799" s="6" t="str">
        <f>HYPERLINK("http://aravec.it/","aravec.it")</f>
        <v>aravec.it</v>
      </c>
    </row>
    <row r="1800" spans="1:6" ht="81.75" customHeight="1" x14ac:dyDescent="0.25">
      <c r="A1800" s="5" t="s">
        <v>5996</v>
      </c>
      <c r="B1800" s="4" t="s">
        <v>5997</v>
      </c>
      <c r="C1800" s="4" t="s">
        <v>5998</v>
      </c>
      <c r="D1800" s="4" t="s">
        <v>5999</v>
      </c>
      <c r="E1800" s="4" t="s">
        <v>6000</v>
      </c>
      <c r="F1800" s="4" t="str">
        <f>HYPERLINK("http://www.valterdifilippo.com/","www.valterdifilippo.com")</f>
        <v>www.valterdifilippo.com</v>
      </c>
    </row>
    <row r="1801" spans="1:6" ht="16.95" customHeight="1" x14ac:dyDescent="0.25">
      <c r="A1801" s="5" t="s">
        <v>6002</v>
      </c>
      <c r="B1801" s="4" t="s">
        <v>6003</v>
      </c>
      <c r="C1801" s="4" t="s">
        <v>5986</v>
      </c>
      <c r="D1801" s="4" t="s">
        <v>6004</v>
      </c>
      <c r="E1801" s="4" t="s">
        <v>5992</v>
      </c>
      <c r="F1801" s="4" t="str">
        <f>HYPERLINK("http://www.damsco.it/","www.damsco.it")</f>
        <v>www.damsco.it</v>
      </c>
    </row>
    <row r="1802" spans="1:6" ht="16.95" customHeight="1" x14ac:dyDescent="0.25">
      <c r="A1802" s="5" t="s">
        <v>6006</v>
      </c>
      <c r="B1802" s="4" t="s">
        <v>6007</v>
      </c>
      <c r="C1802" s="4" t="s">
        <v>5995</v>
      </c>
      <c r="D1802" s="4" t="s">
        <v>6008</v>
      </c>
      <c r="E1802" s="4" t="s">
        <v>5990</v>
      </c>
      <c r="F1802" s="4" t="str">
        <f>HYPERLINK("http://www.serenarooms.it/","www.serenarooms.it")</f>
        <v>www.serenarooms.it</v>
      </c>
    </row>
    <row r="1803" spans="1:6" ht="16.95" customHeight="1" x14ac:dyDescent="0.25">
      <c r="A1803" s="5" t="s">
        <v>6009</v>
      </c>
      <c r="B1803" s="4" t="s">
        <v>6010</v>
      </c>
      <c r="C1803" s="4" t="s">
        <v>5991</v>
      </c>
      <c r="D1803" s="4" t="s">
        <v>6011</v>
      </c>
      <c r="E1803" s="4" t="s">
        <v>6001</v>
      </c>
      <c r="F1803" s="4" t="str">
        <f>HYPERLINK("http://www.woowebrand.com/","www.woowebrand.com")</f>
        <v>www.woowebrand.com</v>
      </c>
    </row>
    <row r="1804" spans="1:6" ht="16.95" customHeight="1" x14ac:dyDescent="0.25">
      <c r="A1804" s="5" t="s">
        <v>6012</v>
      </c>
      <c r="B1804" s="4" t="s">
        <v>6013</v>
      </c>
      <c r="C1804" s="4" t="s">
        <v>5986</v>
      </c>
      <c r="D1804" s="4" t="s">
        <v>5993</v>
      </c>
      <c r="E1804" s="4" t="s">
        <v>5994</v>
      </c>
      <c r="F1804" s="4" t="str">
        <f>HYPERLINK("http://www.dichiararosa.it/","www.dichiararosa.it")</f>
        <v>www.dichiararosa.it</v>
      </c>
    </row>
    <row r="1805" spans="1:6" ht="16.95" customHeight="1" x14ac:dyDescent="0.25">
      <c r="A1805" s="5" t="s">
        <v>6014</v>
      </c>
      <c r="B1805" s="4" t="s">
        <v>6015</v>
      </c>
      <c r="C1805" s="4" t="s">
        <v>5986</v>
      </c>
      <c r="D1805" s="4" t="s">
        <v>6016</v>
      </c>
      <c r="E1805" s="4" t="s">
        <v>6005</v>
      </c>
      <c r="F1805" s="4" t="str">
        <f>HYPERLINK("http://www.lasertekservice.it/","www.lasertekservice.it")</f>
        <v>www.lasertekservice.it</v>
      </c>
    </row>
    <row r="1806" spans="1:6" ht="29.55" customHeight="1" x14ac:dyDescent="0.25">
      <c r="A1806" s="5" t="s">
        <v>6017</v>
      </c>
      <c r="B1806" s="4" t="s">
        <v>6018</v>
      </c>
      <c r="C1806" s="4" t="s">
        <v>5986</v>
      </c>
      <c r="D1806" s="4" t="s">
        <v>5989</v>
      </c>
      <c r="E1806" s="4" t="s">
        <v>5990</v>
      </c>
      <c r="F1806" s="4" t="str">
        <f>HYPERLINK("http://www.guardolificiocampano.it/","www.guardolificiocampano.it")</f>
        <v>www.guardolificiocampano.it</v>
      </c>
    </row>
    <row r="1807" spans="1:6" ht="16.95" customHeight="1" x14ac:dyDescent="0.25">
      <c r="A1807" s="1" t="s">
        <v>6019</v>
      </c>
      <c r="B1807" s="6" t="s">
        <v>6020</v>
      </c>
      <c r="C1807" s="6" t="s">
        <v>6021</v>
      </c>
      <c r="D1807" s="6" t="s">
        <v>6022</v>
      </c>
      <c r="E1807" s="6" t="s">
        <v>6023</v>
      </c>
      <c r="F1807" s="6" t="str">
        <f>HYPERLINK("http://www.toscanibags.it/","www.toscanibags.it")</f>
        <v>www.toscanibags.it</v>
      </c>
    </row>
    <row r="1808" spans="1:6" ht="43.05" customHeight="1" x14ac:dyDescent="0.25">
      <c r="A1808" s="5" t="s">
        <v>6028</v>
      </c>
      <c r="B1808" s="4" t="s">
        <v>6029</v>
      </c>
      <c r="C1808" s="4" t="s">
        <v>6021</v>
      </c>
      <c r="D1808" s="4" t="s">
        <v>6030</v>
      </c>
      <c r="E1808" s="4" t="s">
        <v>6031</v>
      </c>
      <c r="F1808" s="4" t="str">
        <f>HYPERLINK("http://www.cellerini.it/","www.cellerini.it")</f>
        <v>www.cellerini.it</v>
      </c>
    </row>
    <row r="1809" spans="1:6" ht="43.05" customHeight="1" x14ac:dyDescent="0.25">
      <c r="A1809" s="1" t="s">
        <v>6032</v>
      </c>
      <c r="B1809" s="6" t="s">
        <v>6033</v>
      </c>
      <c r="C1809" s="6" t="s">
        <v>6021</v>
      </c>
      <c r="D1809" s="6" t="s">
        <v>6034</v>
      </c>
      <c r="E1809" s="6" t="s">
        <v>6035</v>
      </c>
      <c r="F1809" s="6" t="str">
        <f>HYPERLINK("http://www.borsago.it/","www.borsago.it")</f>
        <v>www.borsago.it</v>
      </c>
    </row>
    <row r="1810" spans="1:6" ht="16.95" customHeight="1" x14ac:dyDescent="0.25">
      <c r="A1810" s="5" t="s">
        <v>6038</v>
      </c>
      <c r="B1810" s="4" t="s">
        <v>6039</v>
      </c>
      <c r="C1810" s="4" t="s">
        <v>6021</v>
      </c>
      <c r="D1810" s="4" t="s">
        <v>6036</v>
      </c>
      <c r="E1810" s="4" t="s">
        <v>6037</v>
      </c>
      <c r="F1810" s="4" t="str">
        <f>HYPERLINK("http://www.dealma.it/","www.dealma.it")</f>
        <v>www.dealma.it</v>
      </c>
    </row>
    <row r="1811" spans="1:6" ht="16.95" customHeight="1" x14ac:dyDescent="0.25">
      <c r="A1811" s="5" t="s">
        <v>6041</v>
      </c>
      <c r="B1811" s="4" t="s">
        <v>6042</v>
      </c>
      <c r="C1811" s="4" t="s">
        <v>6027</v>
      </c>
      <c r="D1811" s="4" t="s">
        <v>6043</v>
      </c>
      <c r="E1811" s="4" t="s">
        <v>6031</v>
      </c>
      <c r="F1811" s="4" t="str">
        <f>HYPERLINK("http://www.teknomodasrl.it/","www.teknomodasrl.it")</f>
        <v>www.teknomodasrl.it</v>
      </c>
    </row>
    <row r="1812" spans="1:6" ht="29.55" customHeight="1" x14ac:dyDescent="0.25">
      <c r="A1812" s="1" t="s">
        <v>6044</v>
      </c>
      <c r="B1812" s="6" t="s">
        <v>6045</v>
      </c>
      <c r="C1812" s="6" t="s">
        <v>6021</v>
      </c>
      <c r="D1812" s="6" t="s">
        <v>6025</v>
      </c>
      <c r="E1812" s="6" t="s">
        <v>6026</v>
      </c>
      <c r="F1812" s="6" t="str">
        <f>HYPERLINK("http://www.flaviapelletterie.com/","www.flaviapelletterie.com")</f>
        <v>www.flaviapelletterie.com</v>
      </c>
    </row>
    <row r="1813" spans="1:6" ht="16.95" customHeight="1" x14ac:dyDescent="0.25">
      <c r="A1813" s="5" t="s">
        <v>6046</v>
      </c>
      <c r="B1813" s="4" t="s">
        <v>6047</v>
      </c>
      <c r="C1813" s="4" t="s">
        <v>6024</v>
      </c>
      <c r="D1813" s="4" t="s">
        <v>6048</v>
      </c>
      <c r="E1813" s="4" t="s">
        <v>6037</v>
      </c>
      <c r="F1813" s="4" t="str">
        <f>HYPERLINK("http://www.alisport.it/","www.alisport.it")</f>
        <v>www.alisport.it</v>
      </c>
    </row>
    <row r="1814" spans="1:6" ht="43.05" customHeight="1" x14ac:dyDescent="0.25">
      <c r="A1814" s="1" t="s">
        <v>6049</v>
      </c>
      <c r="B1814" s="6" t="s">
        <v>6050</v>
      </c>
      <c r="C1814" s="6" t="s">
        <v>6021</v>
      </c>
      <c r="D1814" s="6" t="s">
        <v>6051</v>
      </c>
      <c r="E1814" s="6" t="s">
        <v>6026</v>
      </c>
      <c r="F1814" s="6" t="str">
        <f>HYPERLINK("http://www.bomaitalia.it/","www.bomaitalia.it")</f>
        <v>www.bomaitalia.it</v>
      </c>
    </row>
    <row r="1815" spans="1:6" ht="16.95" customHeight="1" x14ac:dyDescent="0.25">
      <c r="A1815" s="5" t="s">
        <v>6052</v>
      </c>
      <c r="B1815" s="4" t="s">
        <v>6053</v>
      </c>
      <c r="C1815" s="4" t="s">
        <v>6024</v>
      </c>
      <c r="D1815" s="4" t="s">
        <v>6054</v>
      </c>
      <c r="E1815" s="4" t="s">
        <v>6040</v>
      </c>
      <c r="F1815" s="4" t="str">
        <f>HYPERLINK("http://www.vero-verde.com/","www.vero-verde.com")</f>
        <v>www.vero-verde.com</v>
      </c>
    </row>
    <row r="1816" spans="1:6" ht="29.55" customHeight="1" x14ac:dyDescent="0.25">
      <c r="A1816" s="5" t="s">
        <v>6058</v>
      </c>
      <c r="B1816" s="4" t="s">
        <v>6059</v>
      </c>
      <c r="C1816" s="4" t="s">
        <v>6055</v>
      </c>
      <c r="D1816" s="4" t="s">
        <v>6060</v>
      </c>
      <c r="E1816" s="4" t="s">
        <v>6061</v>
      </c>
      <c r="F1816" s="4" t="s">
        <v>6062</v>
      </c>
    </row>
    <row r="1817" spans="1:6" ht="16.95" customHeight="1" x14ac:dyDescent="0.25">
      <c r="A1817" s="1" t="s">
        <v>6063</v>
      </c>
      <c r="B1817" s="6" t="s">
        <v>6064</v>
      </c>
      <c r="C1817" s="6" t="s">
        <v>6055</v>
      </c>
      <c r="D1817" s="6" t="s">
        <v>6065</v>
      </c>
      <c r="E1817" s="6" t="s">
        <v>6066</v>
      </c>
      <c r="F1817" s="6" t="str">
        <f>HYPERLINK("http://www.miviu.it/","www.miviu.it")</f>
        <v>www.miviu.it</v>
      </c>
    </row>
    <row r="1818" spans="1:6" ht="43.05" customHeight="1" x14ac:dyDescent="0.25">
      <c r="A1818" s="1" t="s">
        <v>6067</v>
      </c>
      <c r="B1818" s="6" t="s">
        <v>6068</v>
      </c>
      <c r="C1818" s="6" t="s">
        <v>6057</v>
      </c>
      <c r="D1818" s="6" t="s">
        <v>6069</v>
      </c>
      <c r="E1818" s="6" t="s">
        <v>6056</v>
      </c>
      <c r="F1818" s="6" t="str">
        <f>HYPERLINK("http://www.fdmdesigns.it/","www.fdmdesigns.it")</f>
        <v>www.fdmdesigns.it</v>
      </c>
    </row>
    <row r="1819" spans="1:6" ht="16.95" customHeight="1" x14ac:dyDescent="0.25">
      <c r="A1819" s="1" t="s">
        <v>6070</v>
      </c>
      <c r="B1819" s="6" t="s">
        <v>6071</v>
      </c>
      <c r="C1819" s="6" t="s">
        <v>6072</v>
      </c>
      <c r="D1819" s="6" t="s">
        <v>6073</v>
      </c>
      <c r="E1819" s="6" t="s">
        <v>6074</v>
      </c>
      <c r="F1819" s="6" t="str">
        <f>HYPERLINK("http://www.comancheros.com/","www.comancheros.com")</f>
        <v>www.comancheros.com</v>
      </c>
    </row>
    <row r="1820" spans="1:6" ht="16.95" customHeight="1" x14ac:dyDescent="0.25">
      <c r="A1820" s="5" t="s">
        <v>6075</v>
      </c>
      <c r="B1820" s="4" t="s">
        <v>6076</v>
      </c>
      <c r="C1820" s="4" t="s">
        <v>6057</v>
      </c>
      <c r="D1820" s="4" t="s">
        <v>6077</v>
      </c>
      <c r="E1820" s="4" t="s">
        <v>6074</v>
      </c>
      <c r="F1820" s="4" t="str">
        <f>HYPERLINK("http://plusdesignofficial.com/","plusdesignofficial.com")</f>
        <v>plusdesignofficial.com</v>
      </c>
    </row>
    <row r="1821" spans="1:6" ht="16.95" customHeight="1" x14ac:dyDescent="0.25">
      <c r="A1821" s="5" t="s">
        <v>6078</v>
      </c>
      <c r="B1821" s="4" t="s">
        <v>6079</v>
      </c>
      <c r="C1821" s="4" t="s">
        <v>6057</v>
      </c>
      <c r="D1821" s="4" t="s">
        <v>6080</v>
      </c>
      <c r="E1821" s="4" t="s">
        <v>6056</v>
      </c>
      <c r="F1821" s="4" t="str">
        <f>HYPERLINK("http://www.calzaturegipi.com/","www.calzaturegipi.com")</f>
        <v>www.calzaturegipi.com</v>
      </c>
    </row>
    <row r="1822" spans="1:6" ht="16.95" customHeight="1" x14ac:dyDescent="0.25">
      <c r="A1822" s="5" t="s">
        <v>6081</v>
      </c>
      <c r="B1822" s="4" t="s">
        <v>6082</v>
      </c>
      <c r="C1822" s="4" t="s">
        <v>6072</v>
      </c>
      <c r="D1822" s="4" t="s">
        <v>6083</v>
      </c>
      <c r="E1822" s="4" t="s">
        <v>6056</v>
      </c>
      <c r="F1822" s="4" t="str">
        <f>HYPERLINK("http://www.pisanpell.it/","www.pisanpell.it")</f>
        <v>www.pisanpell.it</v>
      </c>
    </row>
    <row r="1823" spans="1:6" ht="16.95" customHeight="1" x14ac:dyDescent="0.25">
      <c r="A1823" s="1" t="s">
        <v>6084</v>
      </c>
      <c r="B1823" s="6" t="s">
        <v>6085</v>
      </c>
      <c r="C1823" s="6" t="s">
        <v>6086</v>
      </c>
      <c r="D1823" s="6" t="s">
        <v>6087</v>
      </c>
      <c r="E1823" s="6" t="s">
        <v>6088</v>
      </c>
      <c r="F1823" s="6" t="str">
        <f>HYPERLINK("http://bisbag.com/","bisbag.com")</f>
        <v>bisbag.com</v>
      </c>
    </row>
    <row r="1824" spans="1:6" ht="16.95" customHeight="1" x14ac:dyDescent="0.25">
      <c r="A1824" s="5" t="s">
        <v>6090</v>
      </c>
      <c r="B1824" s="4" t="s">
        <v>6091</v>
      </c>
      <c r="C1824" s="4" t="s">
        <v>6086</v>
      </c>
      <c r="D1824" s="4" t="s">
        <v>6092</v>
      </c>
      <c r="E1824" s="4" t="s">
        <v>6089</v>
      </c>
      <c r="F1824" s="4" t="str">
        <f>HYPERLINK("http://www.94punto70.it/","www.94punto70.it")</f>
        <v>www.94punto70.it</v>
      </c>
    </row>
    <row r="1825" spans="1:6" ht="16.95" customHeight="1" x14ac:dyDescent="0.25">
      <c r="A1825" s="1" t="s">
        <v>6093</v>
      </c>
      <c r="B1825" s="6" t="s">
        <v>6094</v>
      </c>
      <c r="C1825" s="6" t="s">
        <v>6086</v>
      </c>
      <c r="D1825" s="6" t="s">
        <v>6087</v>
      </c>
      <c r="E1825" s="6" t="s">
        <v>6088</v>
      </c>
      <c r="F1825" s="6" t="str">
        <f>HYPERLINK("http://robertomantellassi.com/","robertomantellassi.com")</f>
        <v>robertomantellassi.com</v>
      </c>
    </row>
    <row r="1826" spans="1:6" ht="16.95" customHeight="1" x14ac:dyDescent="0.25">
      <c r="A1826" s="5" t="s">
        <v>6095</v>
      </c>
      <c r="B1826" s="4" t="s">
        <v>6096</v>
      </c>
      <c r="C1826" s="4" t="s">
        <v>6097</v>
      </c>
      <c r="D1826" s="4" t="s">
        <v>6098</v>
      </c>
      <c r="E1826" s="4" t="s">
        <v>6099</v>
      </c>
      <c r="F1826" s="4" t="str">
        <f>HYPERLINK("http://www.aldobrue.it/","http://www.aldobrue.it")</f>
        <v>http://www.aldobrue.it</v>
      </c>
    </row>
    <row r="1827" spans="1:6" ht="16.95" customHeight="1" x14ac:dyDescent="0.25">
      <c r="A1827" s="1" t="s">
        <v>6100</v>
      </c>
      <c r="B1827" s="6" t="s">
        <v>6101</v>
      </c>
      <c r="C1827" s="6" t="s">
        <v>6097</v>
      </c>
      <c r="D1827" s="6" t="s">
        <v>6102</v>
      </c>
      <c r="E1827" s="6" t="s">
        <v>6089</v>
      </c>
      <c r="F1827" s="6" t="str">
        <f>HYPERLINK("http://www.calzaturaortopedica.it/","www.calzaturaortopedica.it")</f>
        <v>www.calzaturaortopedica.it</v>
      </c>
    </row>
    <row r="1828" spans="1:6" ht="68.099999999999994" customHeight="1" x14ac:dyDescent="0.25">
      <c r="A1828" s="1" t="s">
        <v>6104</v>
      </c>
      <c r="B1828" s="6" t="s">
        <v>6105</v>
      </c>
      <c r="C1828" s="6" t="s">
        <v>6097</v>
      </c>
      <c r="D1828" s="6" t="s">
        <v>6098</v>
      </c>
      <c r="E1828" s="6" t="s">
        <v>6099</v>
      </c>
      <c r="F1828" s="6" t="str">
        <f>HYPERLINK("http://www.lidomarinozzi.com/","www.lidomarinozzi.com")</f>
        <v>www.lidomarinozzi.com</v>
      </c>
    </row>
    <row r="1829" spans="1:6" ht="16.95" customHeight="1" x14ac:dyDescent="0.25">
      <c r="A1829" s="5" t="s">
        <v>6108</v>
      </c>
      <c r="B1829" s="4" t="s">
        <v>6109</v>
      </c>
      <c r="C1829" s="4" t="s">
        <v>6097</v>
      </c>
      <c r="D1829" s="4" t="s">
        <v>6103</v>
      </c>
      <c r="E1829" s="4" t="s">
        <v>6099</v>
      </c>
      <c r="F1829" s="4" t="str">
        <f>HYPERLINK("http://kyarastyle.com/","kyarastyle.com")</f>
        <v>kyarastyle.com</v>
      </c>
    </row>
    <row r="1830" spans="1:6" ht="29.55" customHeight="1" x14ac:dyDescent="0.25">
      <c r="A1830" s="5" t="s">
        <v>6111</v>
      </c>
      <c r="B1830" s="4" t="s">
        <v>6112</v>
      </c>
      <c r="C1830" s="4" t="s">
        <v>6086</v>
      </c>
      <c r="D1830" s="4" t="s">
        <v>6107</v>
      </c>
      <c r="E1830" s="4" t="s">
        <v>6106</v>
      </c>
      <c r="F1830" s="4" t="str">
        <f>HYPERLINK("http://www.carminetisci.it/","www.carminetisci.it")</f>
        <v>www.carminetisci.it</v>
      </c>
    </row>
    <row r="1831" spans="1:6" ht="16.95" customHeight="1" x14ac:dyDescent="0.25">
      <c r="A1831" s="1" t="s">
        <v>6113</v>
      </c>
      <c r="B1831" s="6" t="s">
        <v>6114</v>
      </c>
      <c r="C1831" s="6" t="s">
        <v>6097</v>
      </c>
      <c r="D1831" s="6" t="s">
        <v>6098</v>
      </c>
      <c r="E1831" s="6" t="s">
        <v>6099</v>
      </c>
      <c r="F1831" s="6" t="str">
        <f>HYPERLINK("http://www.albertomonti.it/","www.albertomonti.it")</f>
        <v>www.albertomonti.it</v>
      </c>
    </row>
    <row r="1832" spans="1:6" ht="29.55" customHeight="1" x14ac:dyDescent="0.25">
      <c r="A1832" s="1" t="s">
        <v>6115</v>
      </c>
      <c r="B1832" s="6" t="s">
        <v>6116</v>
      </c>
      <c r="C1832" s="6" t="s">
        <v>6086</v>
      </c>
      <c r="D1832" s="6" t="s">
        <v>6117</v>
      </c>
      <c r="E1832" s="6" t="s">
        <v>6110</v>
      </c>
      <c r="F1832" s="6" t="str">
        <f>HYPERLINK("http://www.inpell.it/","http://www.inpell.it")</f>
        <v>http://www.inpell.it</v>
      </c>
    </row>
    <row r="1833" spans="1:6" ht="16.95" customHeight="1" x14ac:dyDescent="0.25">
      <c r="A1833" s="1" t="s">
        <v>6118</v>
      </c>
      <c r="B1833" s="6" t="s">
        <v>6119</v>
      </c>
      <c r="C1833" s="6" t="s">
        <v>6120</v>
      </c>
      <c r="D1833" s="6" t="s">
        <v>6121</v>
      </c>
      <c r="E1833" s="6" t="s">
        <v>6122</v>
      </c>
      <c r="F1833" s="6" t="str">
        <f>HYPERLINK("http://paulsilence.com/","paulsilence.com")</f>
        <v>paulsilence.com</v>
      </c>
    </row>
    <row r="1834" spans="1:6" ht="16.95" customHeight="1" x14ac:dyDescent="0.25">
      <c r="A1834" s="5" t="s">
        <v>6123</v>
      </c>
      <c r="B1834" s="4" t="s">
        <v>6124</v>
      </c>
      <c r="C1834" s="4" t="s">
        <v>6120</v>
      </c>
      <c r="D1834" s="4" t="s">
        <v>6125</v>
      </c>
      <c r="E1834" s="4" t="s">
        <v>6126</v>
      </c>
      <c r="F1834" s="4" t="str">
        <f>HYPERLINK("http://www.amwh.it/","www.amwh.it")</f>
        <v>www.amwh.it</v>
      </c>
    </row>
    <row r="1835" spans="1:6" ht="16.95" customHeight="1" x14ac:dyDescent="0.25">
      <c r="A1835" s="5" t="s">
        <v>6127</v>
      </c>
      <c r="B1835" s="4" t="s">
        <v>6128</v>
      </c>
      <c r="C1835" s="4" t="s">
        <v>6129</v>
      </c>
      <c r="D1835" s="4" t="s">
        <v>6130</v>
      </c>
      <c r="E1835" s="4" t="s">
        <v>6131</v>
      </c>
      <c r="F1835" s="4" t="str">
        <f>HYPERLINK("http://www.sirnipelletteria.it/","www.sirnipelletteria.it")</f>
        <v>www.sirnipelletteria.it</v>
      </c>
    </row>
    <row r="1836" spans="1:6" ht="16.95" customHeight="1" x14ac:dyDescent="0.25">
      <c r="A1836" s="5" t="s">
        <v>6132</v>
      </c>
      <c r="B1836" s="4" t="s">
        <v>6133</v>
      </c>
      <c r="C1836" s="4" t="s">
        <v>6129</v>
      </c>
      <c r="D1836" s="4" t="s">
        <v>6134</v>
      </c>
      <c r="E1836" s="4" t="s">
        <v>6135</v>
      </c>
      <c r="F1836" s="4" t="str">
        <f>HYPERLINK("http://www.rendriu.it/","www.rendriu.it")</f>
        <v>www.rendriu.it</v>
      </c>
    </row>
    <row r="1837" spans="1:6" ht="16.95" customHeight="1" x14ac:dyDescent="0.25">
      <c r="A1837" s="1" t="s">
        <v>6138</v>
      </c>
      <c r="B1837" s="6" t="s">
        <v>6139</v>
      </c>
      <c r="C1837" s="6" t="s">
        <v>6136</v>
      </c>
      <c r="D1837" s="6" t="s">
        <v>6137</v>
      </c>
      <c r="E1837" s="6" t="s">
        <v>6126</v>
      </c>
      <c r="F1837" s="6" t="str">
        <f>HYPERLINK("http://www.celesteleather.com/","www.celesteleather.com")</f>
        <v>www.celesteleather.com</v>
      </c>
    </row>
    <row r="1838" spans="1:6" ht="16.95" customHeight="1" x14ac:dyDescent="0.25">
      <c r="A1838" s="5" t="s">
        <v>6140</v>
      </c>
      <c r="B1838" s="4" t="s">
        <v>6141</v>
      </c>
      <c r="C1838" s="4" t="s">
        <v>6129</v>
      </c>
      <c r="D1838" s="4" t="s">
        <v>6142</v>
      </c>
      <c r="E1838" s="4" t="s">
        <v>6143</v>
      </c>
      <c r="F1838" s="4" t="str">
        <f>HYPERLINK("http://www.adpromotionsrl.com/","www.adpromotionsrl.com")</f>
        <v>www.adpromotionsrl.com</v>
      </c>
    </row>
    <row r="1839" spans="1:6" ht="29.55" customHeight="1" x14ac:dyDescent="0.25">
      <c r="A1839" s="5" t="s">
        <v>6145</v>
      </c>
      <c r="B1839" s="4" t="s">
        <v>6146</v>
      </c>
      <c r="C1839" s="4" t="s">
        <v>6147</v>
      </c>
      <c r="D1839" s="4" t="s">
        <v>6148</v>
      </c>
      <c r="E1839" s="4" t="s">
        <v>6149</v>
      </c>
      <c r="F1839" s="4" t="str">
        <f>HYPERLINK("http://matteofossati.it/","matteofossati.it")</f>
        <v>matteofossati.it</v>
      </c>
    </row>
    <row r="1840" spans="1:6" ht="16.95" customHeight="1" x14ac:dyDescent="0.25">
      <c r="A1840" s="1" t="s">
        <v>6150</v>
      </c>
      <c r="B1840" s="6" t="s">
        <v>6151</v>
      </c>
      <c r="C1840" s="6" t="s">
        <v>6147</v>
      </c>
      <c r="D1840" s="6" t="s">
        <v>6152</v>
      </c>
      <c r="E1840" s="6" t="s">
        <v>6153</v>
      </c>
      <c r="F1840" s="6" t="str">
        <f>HYPERLINK("http://www.lasermarc.it/","www.lasermarc.it")</f>
        <v>www.lasermarc.it</v>
      </c>
    </row>
    <row r="1841" spans="1:6" ht="16.95" customHeight="1" x14ac:dyDescent="0.25">
      <c r="A1841" s="5" t="s">
        <v>6156</v>
      </c>
      <c r="B1841" s="4" t="s">
        <v>6157</v>
      </c>
      <c r="C1841" s="4" t="s">
        <v>6158</v>
      </c>
      <c r="D1841" s="4" t="s">
        <v>6159</v>
      </c>
      <c r="E1841" s="4" t="s">
        <v>6153</v>
      </c>
      <c r="F1841" s="4" t="str">
        <f>HYPERLINK("http://www.danton-caparrini.it/","www.danton-caparrini.it")</f>
        <v>www.danton-caparrini.it</v>
      </c>
    </row>
    <row r="1842" spans="1:6" ht="29.55" customHeight="1" x14ac:dyDescent="0.25">
      <c r="A1842" s="1" t="s">
        <v>6160</v>
      </c>
      <c r="B1842" s="6" t="s">
        <v>6161</v>
      </c>
      <c r="C1842" s="6" t="s">
        <v>6144</v>
      </c>
      <c r="D1842" s="6" t="s">
        <v>6162</v>
      </c>
      <c r="E1842" s="6" t="s">
        <v>6149</v>
      </c>
      <c r="F1842" s="6" t="str">
        <f>HYPERLINK("http://valigeriancv.it/","valigeriancv.it")</f>
        <v>valigeriancv.it</v>
      </c>
    </row>
    <row r="1843" spans="1:6" ht="16.95" customHeight="1" x14ac:dyDescent="0.25">
      <c r="A1843" s="5" t="s">
        <v>6164</v>
      </c>
      <c r="B1843" s="4" t="s">
        <v>6165</v>
      </c>
      <c r="C1843" s="4" t="s">
        <v>6158</v>
      </c>
      <c r="D1843" s="4" t="s">
        <v>6166</v>
      </c>
      <c r="E1843" s="4" t="s">
        <v>6163</v>
      </c>
      <c r="F1843" s="4" t="str">
        <f>HYPERLINK("http://www.marioacquaviva.it/","www.marioacquaviva.it")</f>
        <v>www.marioacquaviva.it</v>
      </c>
    </row>
    <row r="1844" spans="1:6" ht="16.95" customHeight="1" x14ac:dyDescent="0.25">
      <c r="A1844" s="1" t="s">
        <v>6167</v>
      </c>
      <c r="B1844" s="6" t="s">
        <v>6168</v>
      </c>
      <c r="C1844" s="6" t="s">
        <v>6155</v>
      </c>
      <c r="D1844" s="6" t="s">
        <v>6162</v>
      </c>
      <c r="E1844" s="6" t="s">
        <v>6149</v>
      </c>
      <c r="F1844" s="6" t="str">
        <f>HYPERLINK("http://www.fisca.biz/","www.fisca.biz")</f>
        <v>www.fisca.biz</v>
      </c>
    </row>
    <row r="1845" spans="1:6" ht="29.55" customHeight="1" x14ac:dyDescent="0.25">
      <c r="A1845" s="5" t="s">
        <v>6169</v>
      </c>
      <c r="B1845" s="4" t="s">
        <v>6170</v>
      </c>
      <c r="C1845" s="4" t="s">
        <v>6158</v>
      </c>
      <c r="D1845" s="4" t="s">
        <v>6171</v>
      </c>
      <c r="E1845" s="4" t="s">
        <v>6153</v>
      </c>
      <c r="F1845" s="4" t="str">
        <f>HYPERLINK("http://www.corbellishoes.com/","www.corbellishoes.com")</f>
        <v>www.corbellishoes.com</v>
      </c>
    </row>
    <row r="1846" spans="1:6" ht="16.95" customHeight="1" x14ac:dyDescent="0.25">
      <c r="A1846" s="5" t="s">
        <v>6173</v>
      </c>
      <c r="B1846" s="4" t="s">
        <v>6174</v>
      </c>
      <c r="C1846" s="4" t="s">
        <v>6158</v>
      </c>
      <c r="D1846" s="4" t="s">
        <v>6172</v>
      </c>
      <c r="E1846" s="4" t="s">
        <v>6154</v>
      </c>
      <c r="F1846" s="4" t="str">
        <f>HYPERLINK("http://www.euroworld.it/","www.euroworld.it")</f>
        <v>www.euroworld.it</v>
      </c>
    </row>
    <row r="1847" spans="1:6" ht="16.95" customHeight="1" x14ac:dyDescent="0.25">
      <c r="A1847" s="5" t="s">
        <v>6177</v>
      </c>
      <c r="B1847" s="4" t="s">
        <v>6178</v>
      </c>
      <c r="C1847" s="4" t="s">
        <v>6179</v>
      </c>
      <c r="D1847" s="4" t="s">
        <v>6180</v>
      </c>
      <c r="E1847" s="4" t="s">
        <v>6181</v>
      </c>
      <c r="F1847" s="4" t="str">
        <f>HYPERLINK("http://www.jcgorreri.it/","www.jcgorreri.it")</f>
        <v>www.jcgorreri.it</v>
      </c>
    </row>
    <row r="1848" spans="1:6" ht="16.95" customHeight="1" x14ac:dyDescent="0.25">
      <c r="A1848" s="5" t="s">
        <v>6182</v>
      </c>
      <c r="B1848" s="4" t="s">
        <v>6183</v>
      </c>
      <c r="C1848" s="4" t="s">
        <v>6179</v>
      </c>
      <c r="D1848" s="4" t="s">
        <v>6184</v>
      </c>
      <c r="E1848" s="4" t="s">
        <v>6185</v>
      </c>
      <c r="F1848" s="4" t="str">
        <f>HYPERLINK("http://www.midifendo.it/","www.midifendo.it")</f>
        <v>www.midifendo.it</v>
      </c>
    </row>
    <row r="1849" spans="1:6" ht="16.95" customHeight="1" x14ac:dyDescent="0.25">
      <c r="A1849" s="1" t="s">
        <v>6186</v>
      </c>
      <c r="B1849" s="6" t="s">
        <v>6187</v>
      </c>
      <c r="C1849" s="6" t="s">
        <v>6175</v>
      </c>
      <c r="D1849" s="6" t="s">
        <v>6184</v>
      </c>
      <c r="E1849" s="6" t="s">
        <v>6185</v>
      </c>
      <c r="F1849" s="6" t="str">
        <f>HYPERLINK("http://www.horizonsrl.it/","www.horizonsrl.it")</f>
        <v>www.horizonsrl.it</v>
      </c>
    </row>
    <row r="1850" spans="1:6" ht="43.05" customHeight="1" x14ac:dyDescent="0.25">
      <c r="A1850" s="1" t="s">
        <v>6188</v>
      </c>
      <c r="B1850" s="6" t="s">
        <v>6189</v>
      </c>
      <c r="C1850" s="6" t="s">
        <v>6179</v>
      </c>
      <c r="D1850" s="6" t="s">
        <v>6190</v>
      </c>
      <c r="E1850" s="6" t="s">
        <v>6176</v>
      </c>
      <c r="F1850" s="6" t="str">
        <f>HYPERLINK("http://www.maqicases.com/","www.maqicases.com")</f>
        <v>www.maqicases.com</v>
      </c>
    </row>
    <row r="1851" spans="1:6" ht="43.05" customHeight="1" x14ac:dyDescent="0.25">
      <c r="A1851" s="5" t="s">
        <v>6194</v>
      </c>
      <c r="B1851" s="4" t="s">
        <v>6195</v>
      </c>
      <c r="C1851" s="4" t="s">
        <v>6179</v>
      </c>
      <c r="D1851" s="4" t="s">
        <v>6196</v>
      </c>
      <c r="E1851" s="4" t="s">
        <v>6185</v>
      </c>
      <c r="F1851" s="4" t="str">
        <f>HYPERLINK("http://aloscafe.com/","aloscafe.com")</f>
        <v>aloscafe.com</v>
      </c>
    </row>
    <row r="1852" spans="1:6" ht="16.95" customHeight="1" x14ac:dyDescent="0.25">
      <c r="A1852" s="1" t="s">
        <v>6197</v>
      </c>
      <c r="B1852" s="6" t="s">
        <v>6198</v>
      </c>
      <c r="C1852" s="6" t="s">
        <v>6191</v>
      </c>
      <c r="D1852" s="6" t="s">
        <v>6192</v>
      </c>
      <c r="E1852" s="6" t="s">
        <v>6193</v>
      </c>
      <c r="F1852" s="6" t="str">
        <f>HYPERLINK("http://www.notoatelier.it/","www.notoatelier.it")</f>
        <v>www.notoatelier.it</v>
      </c>
    </row>
    <row r="1853" spans="1:6" ht="16.95" customHeight="1" x14ac:dyDescent="0.25">
      <c r="A1853" s="5" t="s">
        <v>6199</v>
      </c>
      <c r="B1853" s="4" t="s">
        <v>6200</v>
      </c>
      <c r="C1853" s="4" t="s">
        <v>6191</v>
      </c>
      <c r="D1853" s="4" t="s">
        <v>6201</v>
      </c>
      <c r="E1853" s="4" t="s">
        <v>6185</v>
      </c>
      <c r="F1853" s="4" t="str">
        <f>HYPERLINK("http://www.antonellasrl.it/","www.antonellasrl.it")</f>
        <v>www.antonellasrl.it</v>
      </c>
    </row>
    <row r="1854" spans="1:6" ht="16.95" customHeight="1" x14ac:dyDescent="0.25">
      <c r="A1854" s="5" t="s">
        <v>6207</v>
      </c>
      <c r="B1854" s="4" t="s">
        <v>6208</v>
      </c>
      <c r="C1854" s="4" t="s">
        <v>6206</v>
      </c>
      <c r="D1854" s="4" t="s">
        <v>6204</v>
      </c>
      <c r="E1854" s="4" t="s">
        <v>6205</v>
      </c>
      <c r="F1854" s="4" t="str">
        <f>HYPERLINK("http://www.marcuccigroup.com/","www.marcuccigroup.com")</f>
        <v>www.marcuccigroup.com</v>
      </c>
    </row>
    <row r="1855" spans="1:6" ht="16.95" customHeight="1" x14ac:dyDescent="0.25">
      <c r="A1855" s="5" t="s">
        <v>6209</v>
      </c>
      <c r="B1855" s="4" t="s">
        <v>6210</v>
      </c>
      <c r="C1855" s="4" t="s">
        <v>6211</v>
      </c>
      <c r="D1855" s="4" t="s">
        <v>6212</v>
      </c>
      <c r="E1855" s="4" t="s">
        <v>6203</v>
      </c>
      <c r="F1855" s="4" t="str">
        <f>HYPERLINK("http://www.pliniusshoes.it/","www.pliniusshoes.it")</f>
        <v>www.pliniusshoes.it</v>
      </c>
    </row>
    <row r="1856" spans="1:6" ht="16.95" customHeight="1" x14ac:dyDescent="0.25">
      <c r="A1856" s="5" t="s">
        <v>6217</v>
      </c>
      <c r="B1856" s="4" t="s">
        <v>6218</v>
      </c>
      <c r="C1856" s="4" t="s">
        <v>6202</v>
      </c>
      <c r="D1856" s="4" t="s">
        <v>6215</v>
      </c>
      <c r="E1856" s="4" t="s">
        <v>6216</v>
      </c>
      <c r="F1856" s="4" t="str">
        <f>HYPERLINK("http://www.modelleriafusco.it/","www.modelleriafusco.it")</f>
        <v>www.modelleriafusco.it</v>
      </c>
    </row>
    <row r="1857" spans="1:6" ht="16.95" customHeight="1" x14ac:dyDescent="0.25">
      <c r="A1857" s="5" t="s">
        <v>6219</v>
      </c>
      <c r="B1857" s="4" t="s">
        <v>6220</v>
      </c>
      <c r="C1857" s="4" t="s">
        <v>6202</v>
      </c>
      <c r="D1857" s="4" t="s">
        <v>6213</v>
      </c>
      <c r="E1857" s="4" t="s">
        <v>6214</v>
      </c>
      <c r="F1857" s="4" t="str">
        <f>HYPERLINK("http://lenef.it/","lenef.it")</f>
        <v>lenef.it</v>
      </c>
    </row>
    <row r="1858" spans="1:6" ht="16.95" customHeight="1" x14ac:dyDescent="0.25">
      <c r="A1858" s="1" t="s">
        <v>6221</v>
      </c>
      <c r="B1858" s="6" t="s">
        <v>6222</v>
      </c>
      <c r="C1858" s="6" t="s">
        <v>6202</v>
      </c>
      <c r="D1858" s="6" t="s">
        <v>6213</v>
      </c>
      <c r="E1858" s="6" t="s">
        <v>6214</v>
      </c>
      <c r="F1858" s="6" t="str">
        <f>HYPERLINK("http://www.lorettapettinari.it/","www.lorettapettinari.it")</f>
        <v>www.lorettapettinari.it</v>
      </c>
    </row>
    <row r="1859" spans="1:6" ht="16.95" customHeight="1" x14ac:dyDescent="0.25">
      <c r="A1859" s="5" t="s">
        <v>6226</v>
      </c>
      <c r="B1859" s="4" t="s">
        <v>6227</v>
      </c>
      <c r="C1859" s="4" t="s">
        <v>6223</v>
      </c>
      <c r="D1859" s="4" t="s">
        <v>6224</v>
      </c>
      <c r="E1859" s="4" t="s">
        <v>6225</v>
      </c>
      <c r="F1859" s="4" t="str">
        <f>HYPERLINK("http://www.lucialombardi.it/","www.lucialombardi.it")</f>
        <v>www.lucialombardi.it</v>
      </c>
    </row>
    <row r="1860" spans="1:6" ht="16.95" customHeight="1" x14ac:dyDescent="0.25">
      <c r="A1860" s="5" t="s">
        <v>6228</v>
      </c>
      <c r="B1860" s="4" t="s">
        <v>6229</v>
      </c>
      <c r="C1860" s="4" t="s">
        <v>6230</v>
      </c>
      <c r="D1860" s="4" t="s">
        <v>6224</v>
      </c>
      <c r="E1860" s="4" t="s">
        <v>6225</v>
      </c>
      <c r="F1860" s="4" t="str">
        <f>HYPERLINK("http://www.camg.it/","www.camg.it")</f>
        <v>www.camg.it</v>
      </c>
    </row>
    <row r="1861" spans="1:6" ht="16.95" customHeight="1" x14ac:dyDescent="0.25">
      <c r="A1861" s="5" t="s">
        <v>6232</v>
      </c>
      <c r="B1861" s="4" t="s">
        <v>6233</v>
      </c>
      <c r="C1861" s="4" t="s">
        <v>6230</v>
      </c>
      <c r="D1861" s="4" t="s">
        <v>6231</v>
      </c>
      <c r="E1861" s="4" t="s">
        <v>6225</v>
      </c>
      <c r="F1861" s="4" t="str">
        <f>HYPERLINK("http://www.petris.it/","www.petris.it")</f>
        <v>www.petris.it</v>
      </c>
    </row>
    <row r="1862" spans="1:6" ht="29.55" customHeight="1" x14ac:dyDescent="0.25">
      <c r="A1862" s="5" t="s">
        <v>6237</v>
      </c>
      <c r="B1862" s="4" t="s">
        <v>6238</v>
      </c>
      <c r="C1862" s="4" t="s">
        <v>6239</v>
      </c>
      <c r="D1862" s="4" t="s">
        <v>6240</v>
      </c>
      <c r="E1862" s="4" t="s">
        <v>6241</v>
      </c>
      <c r="F1862" s="4" t="str">
        <f>HYPERLINK("http://www.cristinaalbum.com/","www.cristinaalbum.com")</f>
        <v>www.cristinaalbum.com</v>
      </c>
    </row>
    <row r="1863" spans="1:6" ht="16.95" customHeight="1" x14ac:dyDescent="0.25">
      <c r="A1863" s="1" t="s">
        <v>6242</v>
      </c>
      <c r="B1863" s="6" t="s">
        <v>6243</v>
      </c>
      <c r="C1863" s="6" t="s">
        <v>6244</v>
      </c>
      <c r="D1863" s="6" t="s">
        <v>6245</v>
      </c>
      <c r="E1863" s="6" t="s">
        <v>6246</v>
      </c>
      <c r="F1863" s="6" t="str">
        <f>HYPERLINK("http://www.lanzonishoes.it/","www.lanzonishoes.it")</f>
        <v>www.lanzonishoes.it</v>
      </c>
    </row>
    <row r="1864" spans="1:6" ht="16.95" customHeight="1" x14ac:dyDescent="0.25">
      <c r="A1864" s="1" t="s">
        <v>6250</v>
      </c>
      <c r="B1864" s="6" t="s">
        <v>6251</v>
      </c>
      <c r="C1864" s="6" t="s">
        <v>6239</v>
      </c>
      <c r="D1864" s="6" t="s">
        <v>6252</v>
      </c>
      <c r="E1864" s="6" t="s">
        <v>6249</v>
      </c>
      <c r="F1864" s="6" t="str">
        <f>HYPERLINK("http://scarletvirgo.com/","scarletvirgo.com")</f>
        <v>scarletvirgo.com</v>
      </c>
    </row>
    <row r="1865" spans="1:6" ht="16.95" customHeight="1" x14ac:dyDescent="0.25">
      <c r="A1865" s="5" t="s">
        <v>6253</v>
      </c>
      <c r="B1865" s="4" t="s">
        <v>6254</v>
      </c>
      <c r="C1865" s="4" t="s">
        <v>6234</v>
      </c>
      <c r="D1865" s="4" t="s">
        <v>6247</v>
      </c>
      <c r="E1865" s="4" t="s">
        <v>6248</v>
      </c>
      <c r="F1865" s="4" t="str">
        <f>HYPERLINK("http://www.coparsrl.it/","http://www.coparsrl.it")</f>
        <v>http://www.coparsrl.it</v>
      </c>
    </row>
    <row r="1866" spans="1:6" ht="16.95" customHeight="1" x14ac:dyDescent="0.25">
      <c r="A1866" s="5" t="s">
        <v>6255</v>
      </c>
      <c r="B1866" s="4" t="s">
        <v>6256</v>
      </c>
      <c r="C1866" s="4" t="s">
        <v>6244</v>
      </c>
      <c r="D1866" s="4" t="s">
        <v>6235</v>
      </c>
      <c r="E1866" s="4" t="s">
        <v>6236</v>
      </c>
      <c r="F1866" s="4" t="str">
        <f>HYPERLINK("http://www.vittorionicchia.com/","www.vittorionicchia.com")</f>
        <v>www.vittorionicchia.com</v>
      </c>
    </row>
    <row r="1867" spans="1:6" ht="16.95" customHeight="1" x14ac:dyDescent="0.25">
      <c r="A1867" s="5" t="s">
        <v>6257</v>
      </c>
      <c r="B1867" s="4" t="s">
        <v>6258</v>
      </c>
      <c r="C1867" s="4" t="s">
        <v>6239</v>
      </c>
      <c r="D1867" s="4" t="s">
        <v>6235</v>
      </c>
      <c r="E1867" s="4" t="s">
        <v>6236</v>
      </c>
      <c r="F1867" s="4" t="str">
        <f>HYPERLINK("http://www.annacloudbags.it/","www.annacloudbags.it")</f>
        <v>www.annacloudbags.it</v>
      </c>
    </row>
    <row r="1868" spans="1:6" ht="29.55" customHeight="1" x14ac:dyDescent="0.25">
      <c r="A1868" s="5" t="s">
        <v>6259</v>
      </c>
      <c r="B1868" s="4" t="s">
        <v>6260</v>
      </c>
      <c r="C1868" s="4" t="s">
        <v>6239</v>
      </c>
      <c r="D1868" s="4" t="s">
        <v>6261</v>
      </c>
      <c r="E1868" s="4" t="s">
        <v>6262</v>
      </c>
      <c r="F1868" s="4" t="str">
        <f>HYPERLINK("http://www.easypell.com/","www.easypell.com")</f>
        <v>www.easypell.com</v>
      </c>
    </row>
    <row r="1869" spans="1:6" ht="16.95" customHeight="1" x14ac:dyDescent="0.25">
      <c r="A1869" s="1" t="s">
        <v>6263</v>
      </c>
      <c r="B1869" s="6" t="s">
        <v>6264</v>
      </c>
      <c r="C1869" s="6" t="s">
        <v>6265</v>
      </c>
      <c r="D1869" s="6" t="s">
        <v>6266</v>
      </c>
      <c r="E1869" s="6" t="s">
        <v>6267</v>
      </c>
      <c r="F1869" s="6" t="str">
        <f>HYPERLINK("http://www.robertacenci.it/","www.robertacenci.it")</f>
        <v>www.robertacenci.it</v>
      </c>
    </row>
    <row r="1870" spans="1:6" ht="16.95" customHeight="1" x14ac:dyDescent="0.25">
      <c r="A1870" s="5" t="s">
        <v>6270</v>
      </c>
      <c r="B1870" s="4" t="s">
        <v>6271</v>
      </c>
      <c r="C1870" s="4" t="s">
        <v>6269</v>
      </c>
      <c r="D1870" s="4" t="s">
        <v>6272</v>
      </c>
      <c r="E1870" s="4" t="s">
        <v>6267</v>
      </c>
      <c r="F1870" s="4" t="str">
        <f>HYPERLINK("http://www.gerj.it/","www.gerj.it")</f>
        <v>www.gerj.it</v>
      </c>
    </row>
    <row r="1871" spans="1:6" ht="29.55" customHeight="1" x14ac:dyDescent="0.25">
      <c r="A1871" s="5" t="s">
        <v>6274</v>
      </c>
      <c r="B1871" s="4" t="s">
        <v>6275</v>
      </c>
      <c r="C1871" s="4" t="s">
        <v>6265</v>
      </c>
      <c r="D1871" s="4" t="s">
        <v>6276</v>
      </c>
      <c r="E1871" s="4" t="s">
        <v>6277</v>
      </c>
      <c r="F1871" s="4" t="str">
        <f>HYPERLINK("http://marinicalzature.it/","marinicalzature.it")</f>
        <v>marinicalzature.it</v>
      </c>
    </row>
    <row r="1872" spans="1:6" ht="16.95" customHeight="1" x14ac:dyDescent="0.25">
      <c r="A1872" s="1" t="s">
        <v>6278</v>
      </c>
      <c r="B1872" s="6" t="s">
        <v>6279</v>
      </c>
      <c r="C1872" s="6" t="s">
        <v>6268</v>
      </c>
      <c r="D1872" s="6" t="s">
        <v>6276</v>
      </c>
      <c r="E1872" s="6" t="s">
        <v>6277</v>
      </c>
      <c r="F1872" s="6" t="str">
        <f>HYPERLINK("http://pattyb.it/","pattyb.it")</f>
        <v>pattyb.it</v>
      </c>
    </row>
    <row r="1873" spans="1:6" ht="29.55" customHeight="1" x14ac:dyDescent="0.25">
      <c r="A1873" s="5" t="s">
        <v>6280</v>
      </c>
      <c r="B1873" s="4" t="s">
        <v>6281</v>
      </c>
      <c r="C1873" s="4" t="s">
        <v>6265</v>
      </c>
      <c r="D1873" s="4" t="s">
        <v>6266</v>
      </c>
      <c r="E1873" s="4" t="s">
        <v>6267</v>
      </c>
      <c r="F1873" s="4" t="str">
        <f>HYPERLINK("http://www.bcced.it/","www.bcced.it")</f>
        <v>www.bcced.it</v>
      </c>
    </row>
    <row r="1874" spans="1:6" ht="16.95" customHeight="1" x14ac:dyDescent="0.25">
      <c r="A1874" s="1" t="s">
        <v>6282</v>
      </c>
      <c r="B1874" s="6" t="s">
        <v>6283</v>
      </c>
      <c r="C1874" s="6" t="s">
        <v>6268</v>
      </c>
      <c r="D1874" s="6" t="s">
        <v>6284</v>
      </c>
      <c r="E1874" s="6" t="s">
        <v>6273</v>
      </c>
      <c r="F1874" s="6" t="str">
        <f>HYPERLINK("http://www.dadolab.com/","www.dadolab.com")</f>
        <v>www.dadolab.com</v>
      </c>
    </row>
    <row r="1875" spans="1:6" ht="16.95" customHeight="1" x14ac:dyDescent="0.25">
      <c r="A1875" s="1" t="s">
        <v>6285</v>
      </c>
      <c r="B1875" s="6" t="s">
        <v>6286</v>
      </c>
      <c r="C1875" s="6" t="s">
        <v>6287</v>
      </c>
      <c r="D1875" s="6" t="s">
        <v>6288</v>
      </c>
      <c r="E1875" s="6" t="s">
        <v>6289</v>
      </c>
      <c r="F1875" s="6" t="str">
        <f>HYPERLINK("http://alberto-olivero.com/","alberto-olivero.com")</f>
        <v>alberto-olivero.com</v>
      </c>
    </row>
    <row r="1876" spans="1:6" ht="29.55" customHeight="1" x14ac:dyDescent="0.25">
      <c r="A1876" s="1" t="s">
        <v>6292</v>
      </c>
      <c r="B1876" s="6" t="s">
        <v>6293</v>
      </c>
      <c r="C1876" s="6" t="s">
        <v>6294</v>
      </c>
      <c r="D1876" s="6" t="s">
        <v>6290</v>
      </c>
      <c r="E1876" s="6" t="s">
        <v>6291</v>
      </c>
      <c r="F1876" s="6" t="str">
        <f>HYPERLINK("http://www.blackvenus.it/","www.blackvenus.it")</f>
        <v>www.blackvenus.it</v>
      </c>
    </row>
    <row r="1877" spans="1:6" ht="16.95" customHeight="1" x14ac:dyDescent="0.25">
      <c r="A1877" s="5" t="s">
        <v>6297</v>
      </c>
      <c r="B1877" s="4" t="s">
        <v>6298</v>
      </c>
      <c r="C1877" s="4" t="s">
        <v>6287</v>
      </c>
      <c r="D1877" s="4" t="s">
        <v>6299</v>
      </c>
      <c r="E1877" s="4" t="s">
        <v>6300</v>
      </c>
      <c r="F1877" s="4" t="str">
        <f>HYPERLINK("http://www.blu-style.com/","www.blu-style.com")</f>
        <v>www.blu-style.com</v>
      </c>
    </row>
    <row r="1878" spans="1:6" ht="16.95" customHeight="1" x14ac:dyDescent="0.25">
      <c r="A1878" s="1" t="s">
        <v>6304</v>
      </c>
      <c r="B1878" s="6" t="s">
        <v>6305</v>
      </c>
      <c r="C1878" s="6" t="s">
        <v>6294</v>
      </c>
      <c r="D1878" s="6" t="s">
        <v>6301</v>
      </c>
      <c r="E1878" s="6" t="s">
        <v>6302</v>
      </c>
      <c r="F1878" s="6" t="str">
        <f>HYPERLINK("http://www.cbmadeinitaly.com/","www.cbmadeinitaly.com")</f>
        <v>www.cbmadeinitaly.com</v>
      </c>
    </row>
    <row r="1879" spans="1:6" ht="16.95" customHeight="1" x14ac:dyDescent="0.25">
      <c r="A1879" s="1" t="s">
        <v>6306</v>
      </c>
      <c r="B1879" s="6" t="s">
        <v>6307</v>
      </c>
      <c r="C1879" s="6" t="s">
        <v>6287</v>
      </c>
      <c r="D1879" s="6" t="s">
        <v>6308</v>
      </c>
      <c r="E1879" s="6" t="s">
        <v>6296</v>
      </c>
      <c r="F1879" s="6" t="str">
        <f>HYPERLINK("http://www.cp1963.com/","www.cp1963.com")</f>
        <v>www.cp1963.com</v>
      </c>
    </row>
    <row r="1880" spans="1:6" ht="29.55" customHeight="1" x14ac:dyDescent="0.25">
      <c r="A1880" s="5" t="s">
        <v>6309</v>
      </c>
      <c r="B1880" s="4" t="s">
        <v>6310</v>
      </c>
      <c r="C1880" s="4" t="s">
        <v>6287</v>
      </c>
      <c r="D1880" s="4" t="s">
        <v>6303</v>
      </c>
      <c r="E1880" s="4" t="s">
        <v>6295</v>
      </c>
      <c r="F1880" s="4" t="str">
        <f>HYPERLINK("http://www.marcelmartillo.it/","www.marcelmartillo.it")</f>
        <v>www.marcelmartillo.it</v>
      </c>
    </row>
    <row r="1881" spans="1:6" ht="16.95" customHeight="1" x14ac:dyDescent="0.25">
      <c r="A1881" s="5" t="s">
        <v>6311</v>
      </c>
      <c r="B1881" s="4" t="s">
        <v>6312</v>
      </c>
      <c r="C1881" s="4" t="s">
        <v>6287</v>
      </c>
      <c r="D1881" s="4" t="s">
        <v>6301</v>
      </c>
      <c r="E1881" s="4" t="s">
        <v>6302</v>
      </c>
      <c r="F1881" s="4" t="str">
        <f>HYPERLINK("http://www.fedorami.com/","www.fedorami.com")</f>
        <v>www.fedorami.com</v>
      </c>
    </row>
    <row r="1882" spans="1:6" ht="16.95" customHeight="1" x14ac:dyDescent="0.25">
      <c r="A1882" s="1" t="s">
        <v>6313</v>
      </c>
      <c r="B1882" s="6" t="s">
        <v>6314</v>
      </c>
      <c r="C1882" s="6" t="s">
        <v>6287</v>
      </c>
      <c r="D1882" s="6" t="s">
        <v>6301</v>
      </c>
      <c r="E1882" s="6" t="s">
        <v>6302</v>
      </c>
      <c r="F1882" s="6" t="str">
        <f>HYPERLINK("http://www.gambadelegn.com/","www.gambadelegn.com")</f>
        <v>www.gambadelegn.com</v>
      </c>
    </row>
    <row r="1883" spans="1:6" ht="16.95" customHeight="1" x14ac:dyDescent="0.25">
      <c r="A1883" s="5" t="s">
        <v>6315</v>
      </c>
      <c r="B1883" s="4" t="s">
        <v>6316</v>
      </c>
      <c r="C1883" s="4" t="s">
        <v>6287</v>
      </c>
      <c r="D1883" s="4" t="s">
        <v>6301</v>
      </c>
      <c r="E1883" s="4" t="s">
        <v>6302</v>
      </c>
      <c r="F1883" s="4" t="str">
        <f>HYPERLINK("http://shedyr.com/","shedyr.com")</f>
        <v>shedyr.com</v>
      </c>
    </row>
    <row r="1884" spans="1:6" ht="16.95" customHeight="1" x14ac:dyDescent="0.25">
      <c r="A1884" s="1" t="s">
        <v>6320</v>
      </c>
      <c r="B1884" s="6" t="s">
        <v>6321</v>
      </c>
      <c r="C1884" s="6" t="s">
        <v>6317</v>
      </c>
      <c r="D1884" s="6" t="s">
        <v>6322</v>
      </c>
      <c r="E1884" s="6" t="s">
        <v>6323</v>
      </c>
      <c r="F1884" s="6" t="str">
        <f>HYPERLINK("http://www.atechccavo.it/","www.atechccavo.it")</f>
        <v>www.atechccavo.it</v>
      </c>
    </row>
    <row r="1885" spans="1:6" ht="16.95" customHeight="1" x14ac:dyDescent="0.25">
      <c r="A1885" s="1" t="s">
        <v>6327</v>
      </c>
      <c r="B1885" s="6" t="s">
        <v>6328</v>
      </c>
      <c r="C1885" s="6" t="s">
        <v>6324</v>
      </c>
      <c r="D1885" s="6" t="s">
        <v>6325</v>
      </c>
      <c r="E1885" s="6" t="s">
        <v>6326</v>
      </c>
      <c r="F1885" s="6" t="str">
        <f>HYPERLINK("http://www.lucanencioni.it/","www.lucanencioni.it")</f>
        <v>www.lucanencioni.it</v>
      </c>
    </row>
    <row r="1886" spans="1:6" ht="43.05" customHeight="1" x14ac:dyDescent="0.25">
      <c r="A1886" s="1" t="s">
        <v>6330</v>
      </c>
      <c r="B1886" s="6" t="s">
        <v>6331</v>
      </c>
      <c r="C1886" s="6" t="s">
        <v>6324</v>
      </c>
      <c r="D1886" s="6" t="s">
        <v>6332</v>
      </c>
      <c r="E1886" s="6" t="s">
        <v>6333</v>
      </c>
      <c r="F1886" s="6" t="str">
        <f>HYPERLINK("http://mascherinesubito.it/","mascherinesubito.it")</f>
        <v>mascherinesubito.it</v>
      </c>
    </row>
    <row r="1887" spans="1:6" ht="16.95" customHeight="1" x14ac:dyDescent="0.25">
      <c r="A1887" s="5" t="s">
        <v>6335</v>
      </c>
      <c r="B1887" s="4" t="s">
        <v>6336</v>
      </c>
      <c r="C1887" s="4" t="s">
        <v>6334</v>
      </c>
      <c r="D1887" s="4" t="s">
        <v>6337</v>
      </c>
      <c r="E1887" s="4" t="s">
        <v>6333</v>
      </c>
      <c r="F1887" s="4" t="str">
        <f>HYPERLINK("http://www.artemenko.it/","www.artemenko.it")</f>
        <v>www.artemenko.it</v>
      </c>
    </row>
    <row r="1888" spans="1:6" ht="16.95" customHeight="1" x14ac:dyDescent="0.25">
      <c r="A1888" s="5" t="s">
        <v>6338</v>
      </c>
      <c r="B1888" s="4" t="s">
        <v>6339</v>
      </c>
      <c r="C1888" s="4" t="s">
        <v>6317</v>
      </c>
      <c r="D1888" s="4" t="s">
        <v>6340</v>
      </c>
      <c r="E1888" s="4" t="s">
        <v>6341</v>
      </c>
      <c r="F1888" s="4" t="str">
        <f>HYPERLINK("http://www.aeapelletteria.it/","www.aeapelletteria.it")</f>
        <v>www.aeapelletteria.it</v>
      </c>
    </row>
    <row r="1889" spans="1:6" ht="16.95" customHeight="1" x14ac:dyDescent="0.25">
      <c r="A1889" s="5" t="s">
        <v>6342</v>
      </c>
      <c r="B1889" s="4" t="s">
        <v>6343</v>
      </c>
      <c r="C1889" s="4" t="s">
        <v>6329</v>
      </c>
      <c r="D1889" s="4" t="s">
        <v>6344</v>
      </c>
      <c r="E1889" s="4" t="s">
        <v>6345</v>
      </c>
      <c r="F1889" s="4" t="str">
        <f>HYPERLINK("http://en.moryle.com/","en.moryle.com")</f>
        <v>en.moryle.com</v>
      </c>
    </row>
    <row r="1890" spans="1:6" ht="16.95" customHeight="1" x14ac:dyDescent="0.25">
      <c r="A1890" s="5" t="s">
        <v>6346</v>
      </c>
      <c r="B1890" s="4" t="s">
        <v>6347</v>
      </c>
      <c r="C1890" s="4" t="s">
        <v>6324</v>
      </c>
      <c r="D1890" s="4" t="s">
        <v>6348</v>
      </c>
      <c r="E1890" s="4" t="s">
        <v>6349</v>
      </c>
      <c r="F1890" s="4" t="str">
        <f>HYPERLINK("http://les-italiennes.it/","les-italiennes.it")</f>
        <v>les-italiennes.it</v>
      </c>
    </row>
    <row r="1891" spans="1:6" ht="16.95" customHeight="1" x14ac:dyDescent="0.25">
      <c r="A1891" s="1" t="s">
        <v>6350</v>
      </c>
      <c r="B1891" s="6" t="s">
        <v>6351</v>
      </c>
      <c r="C1891" s="6" t="s">
        <v>6324</v>
      </c>
      <c r="D1891" s="6" t="s">
        <v>6352</v>
      </c>
      <c r="E1891" s="6" t="s">
        <v>6353</v>
      </c>
      <c r="F1891" s="6" t="str">
        <f>HYPERLINK("http://trenta7.com/","trenta7.com")</f>
        <v>trenta7.com</v>
      </c>
    </row>
    <row r="1892" spans="1:6" ht="43.05" customHeight="1" x14ac:dyDescent="0.25">
      <c r="A1892" s="5" t="s">
        <v>6354</v>
      </c>
      <c r="B1892" s="4" t="s">
        <v>6355</v>
      </c>
      <c r="C1892" s="4" t="s">
        <v>6329</v>
      </c>
      <c r="D1892" s="4" t="s">
        <v>6356</v>
      </c>
      <c r="E1892" s="4" t="s">
        <v>6319</v>
      </c>
      <c r="F1892" s="4" t="str">
        <f>HYPERLINK("http://www.imarinsol.it/","www.imarinsol.it")</f>
        <v>www.imarinsol.it</v>
      </c>
    </row>
    <row r="1893" spans="1:6" ht="29.55" customHeight="1" x14ac:dyDescent="0.25">
      <c r="A1893" s="5" t="s">
        <v>6357</v>
      </c>
      <c r="B1893" s="4" t="s">
        <v>6358</v>
      </c>
      <c r="C1893" s="4" t="s">
        <v>6317</v>
      </c>
      <c r="D1893" s="4" t="s">
        <v>6359</v>
      </c>
      <c r="E1893" s="4" t="s">
        <v>6318</v>
      </c>
      <c r="F1893" s="4" t="str">
        <f>HYPERLINK("http://agavesartoriaetica.it/","agavesartoriaetica.it")</f>
        <v>agavesartoriaetica.it</v>
      </c>
    </row>
    <row r="1894" spans="1:6" ht="43.05" customHeight="1" x14ac:dyDescent="0.25">
      <c r="A1894" s="5" t="s">
        <v>6363</v>
      </c>
      <c r="B1894" s="4" t="s">
        <v>6364</v>
      </c>
      <c r="C1894" s="4" t="s">
        <v>6365</v>
      </c>
      <c r="D1894" s="4" t="s">
        <v>6361</v>
      </c>
      <c r="E1894" s="4" t="s">
        <v>6362</v>
      </c>
      <c r="F1894" s="4" t="str">
        <f>HYPERLINK("http://www.domenicofesta.com/","www.domenicofesta.com")</f>
        <v>www.domenicofesta.com</v>
      </c>
    </row>
    <row r="1895" spans="1:6" ht="16.95" customHeight="1" x14ac:dyDescent="0.25">
      <c r="A1895" s="1" t="s">
        <v>6366</v>
      </c>
      <c r="B1895" s="6" t="s">
        <v>6367</v>
      </c>
      <c r="C1895" s="6" t="s">
        <v>6368</v>
      </c>
      <c r="D1895" s="6" t="s">
        <v>6369</v>
      </c>
      <c r="E1895" s="6" t="s">
        <v>6362</v>
      </c>
      <c r="F1895" s="6" t="str">
        <f>HYPERLINK("http://www.conceriasaturnia.it/","www.conceriasaturnia.it")</f>
        <v>www.conceriasaturnia.it</v>
      </c>
    </row>
    <row r="1896" spans="1:6" ht="16.95" customHeight="1" x14ac:dyDescent="0.25">
      <c r="A1896" s="1" t="s">
        <v>6371</v>
      </c>
      <c r="B1896" s="6" t="s">
        <v>6372</v>
      </c>
      <c r="C1896" s="6" t="s">
        <v>6365</v>
      </c>
      <c r="D1896" s="6" t="s">
        <v>6373</v>
      </c>
      <c r="E1896" s="6" t="s">
        <v>6374</v>
      </c>
      <c r="F1896" s="6" t="str">
        <f>HYPERLINK("http://www.martinab.it/","www.martinab.it")</f>
        <v>www.martinab.it</v>
      </c>
    </row>
    <row r="1897" spans="1:6" ht="16.95" customHeight="1" x14ac:dyDescent="0.25">
      <c r="A1897" s="1" t="s">
        <v>6375</v>
      </c>
      <c r="B1897" s="6" t="s">
        <v>6376</v>
      </c>
      <c r="C1897" s="6" t="s">
        <v>6365</v>
      </c>
      <c r="D1897" s="6" t="s">
        <v>6377</v>
      </c>
      <c r="E1897" s="6" t="s">
        <v>6374</v>
      </c>
      <c r="F1897" s="6" t="str">
        <f>HYPERLINK("http://www.planetshoes.it/","www.planetshoes.it")</f>
        <v>www.planetshoes.it</v>
      </c>
    </row>
    <row r="1898" spans="1:6" ht="43.05" customHeight="1" x14ac:dyDescent="0.25">
      <c r="A1898" s="5" t="s">
        <v>6378</v>
      </c>
      <c r="B1898" s="4" t="s">
        <v>6379</v>
      </c>
      <c r="C1898" s="4" t="s">
        <v>6360</v>
      </c>
      <c r="D1898" s="4" t="s">
        <v>6380</v>
      </c>
      <c r="E1898" s="4" t="s">
        <v>6381</v>
      </c>
      <c r="F1898" s="4" t="str">
        <f>HYPERLINK("http://photoalbumftp.altervista.org/","photoalbumftp.altervista.org")</f>
        <v>photoalbumftp.altervista.org</v>
      </c>
    </row>
    <row r="1899" spans="1:6" ht="16.95" customHeight="1" x14ac:dyDescent="0.25">
      <c r="A1899" s="5" t="s">
        <v>6383</v>
      </c>
      <c r="B1899" s="4" t="s">
        <v>6384</v>
      </c>
      <c r="C1899" s="4" t="s">
        <v>6360</v>
      </c>
      <c r="D1899" s="4" t="s">
        <v>6380</v>
      </c>
      <c r="E1899" s="4" t="s">
        <v>6381</v>
      </c>
      <c r="F1899" s="4" t="str">
        <f>HYPERLINK("http://www.salvatoresardisco.it/","www.salvatoresardisco.it")</f>
        <v>www.salvatoresardisco.it</v>
      </c>
    </row>
    <row r="1900" spans="1:6" ht="16.95" customHeight="1" x14ac:dyDescent="0.25">
      <c r="A1900" s="1" t="s">
        <v>6385</v>
      </c>
      <c r="B1900" s="6" t="s">
        <v>6386</v>
      </c>
      <c r="C1900" s="6" t="s">
        <v>6365</v>
      </c>
      <c r="D1900" s="6" t="s">
        <v>6387</v>
      </c>
      <c r="E1900" s="6" t="s">
        <v>6382</v>
      </c>
      <c r="F1900" s="6" t="str">
        <f>HYPERLINK("http://www.trendesit.it/","www.trendesit.it")</f>
        <v>www.trendesit.it</v>
      </c>
    </row>
    <row r="1901" spans="1:6" ht="16.95" customHeight="1" x14ac:dyDescent="0.25">
      <c r="A1901" s="5" t="s">
        <v>6388</v>
      </c>
      <c r="B1901" s="4" t="s">
        <v>6389</v>
      </c>
      <c r="C1901" s="4" t="s">
        <v>6360</v>
      </c>
      <c r="D1901" s="4" t="s">
        <v>6370</v>
      </c>
      <c r="E1901" s="4" t="s">
        <v>6362</v>
      </c>
      <c r="F1901" s="4" t="str">
        <f>HYPERLINK("http://biaborse.it/","biaborse.it")</f>
        <v>biaborse.it</v>
      </c>
    </row>
    <row r="1902" spans="1:6" ht="16.95" customHeight="1" x14ac:dyDescent="0.25">
      <c r="A1902" s="5" t="s">
        <v>6390</v>
      </c>
      <c r="B1902" s="4" t="s">
        <v>6391</v>
      </c>
      <c r="C1902" s="4" t="s">
        <v>6365</v>
      </c>
      <c r="D1902" s="4" t="s">
        <v>6392</v>
      </c>
      <c r="E1902" s="4" t="s">
        <v>6393</v>
      </c>
      <c r="F1902" s="4" t="str">
        <f>HYPERLINK("http://61dinoi.com/","61dinoi.com")</f>
        <v>61dinoi.com</v>
      </c>
    </row>
    <row r="1903" spans="1:6" ht="16.95" customHeight="1" x14ac:dyDescent="0.25">
      <c r="A1903" s="1" t="s">
        <v>6401</v>
      </c>
      <c r="B1903" s="6" t="s">
        <v>6402</v>
      </c>
      <c r="C1903" s="6" t="s">
        <v>6396</v>
      </c>
      <c r="D1903" s="6" t="s">
        <v>6403</v>
      </c>
      <c r="E1903" s="6" t="s">
        <v>6398</v>
      </c>
      <c r="F1903" s="6" t="str">
        <f>HYPERLINK("http://kilesa.fashion/","kilesa.fashion")</f>
        <v>kilesa.fashion</v>
      </c>
    </row>
    <row r="1904" spans="1:6" ht="16.95" customHeight="1" x14ac:dyDescent="0.25">
      <c r="A1904" s="1" t="s">
        <v>6405</v>
      </c>
      <c r="B1904" s="6" t="s">
        <v>6406</v>
      </c>
      <c r="C1904" s="6" t="s">
        <v>6395</v>
      </c>
      <c r="D1904" s="6" t="s">
        <v>6407</v>
      </c>
      <c r="E1904" s="6" t="s">
        <v>6404</v>
      </c>
      <c r="F1904" s="6" t="str">
        <f>HYPERLINK("http://www.nottinghamshoes.it/","www.nottinghamshoes.it")</f>
        <v>www.nottinghamshoes.it</v>
      </c>
    </row>
    <row r="1905" spans="1:6" ht="43.05" customHeight="1" x14ac:dyDescent="0.25">
      <c r="A1905" s="1" t="s">
        <v>6408</v>
      </c>
      <c r="B1905" s="6" t="s">
        <v>6409</v>
      </c>
      <c r="C1905" s="6" t="s">
        <v>6396</v>
      </c>
      <c r="D1905" s="6" t="s">
        <v>6410</v>
      </c>
      <c r="E1905" s="6" t="s">
        <v>6404</v>
      </c>
      <c r="F1905" s="6" t="str">
        <f>HYPERLINK("http://eledor.shop/","eledor.shop")</f>
        <v>eledor.shop</v>
      </c>
    </row>
    <row r="1906" spans="1:6" ht="29.55" customHeight="1" x14ac:dyDescent="0.25">
      <c r="A1906" s="5" t="s">
        <v>6411</v>
      </c>
      <c r="B1906" s="4" t="s">
        <v>6412</v>
      </c>
      <c r="C1906" s="4" t="s">
        <v>6394</v>
      </c>
      <c r="D1906" s="4" t="s">
        <v>6413</v>
      </c>
      <c r="E1906" s="4" t="s">
        <v>6399</v>
      </c>
      <c r="F1906" s="4" t="str">
        <f>HYPERLINK("http://mengoni-angela-srl-01483770432.quantofattura.com/","mengoni-angela-srl-01483770432.quantofattura.com")</f>
        <v>mengoni-angela-srl-01483770432.quantofattura.com</v>
      </c>
    </row>
    <row r="1907" spans="1:6" ht="16.95" customHeight="1" x14ac:dyDescent="0.25">
      <c r="A1907" s="5" t="s">
        <v>6414</v>
      </c>
      <c r="B1907" s="4" t="s">
        <v>6415</v>
      </c>
      <c r="C1907" s="4" t="s">
        <v>6395</v>
      </c>
      <c r="D1907" s="4" t="s">
        <v>6416</v>
      </c>
      <c r="E1907" s="4" t="s">
        <v>6417</v>
      </c>
      <c r="F1907" s="4" t="str">
        <f>HYPERLINK("http://www.re49.it/","www.re49.it")</f>
        <v>www.re49.it</v>
      </c>
    </row>
    <row r="1908" spans="1:6" ht="29.55" customHeight="1" x14ac:dyDescent="0.25">
      <c r="A1908" s="1" t="s">
        <v>6418</v>
      </c>
      <c r="B1908" s="6" t="s">
        <v>6419</v>
      </c>
      <c r="C1908" s="6" t="s">
        <v>6397</v>
      </c>
      <c r="D1908" s="6" t="s">
        <v>6420</v>
      </c>
      <c r="E1908" s="6" t="s">
        <v>6398</v>
      </c>
      <c r="F1908" s="6" t="str">
        <f>HYPERLINK("http://www.frecciadelsud.it/","www.frecciadelsud.it")</f>
        <v>www.frecciadelsud.it</v>
      </c>
    </row>
    <row r="1909" spans="1:6" ht="43.05" customHeight="1" x14ac:dyDescent="0.25">
      <c r="A1909" s="5" t="s">
        <v>6421</v>
      </c>
      <c r="B1909" s="4" t="s">
        <v>6422</v>
      </c>
      <c r="C1909" s="4" t="s">
        <v>6396</v>
      </c>
      <c r="D1909" s="4" t="s">
        <v>6423</v>
      </c>
      <c r="E1909" s="4" t="s">
        <v>6400</v>
      </c>
      <c r="F1909" s="4" t="str">
        <f>HYPERLINK("http://ritaglidig.com/","ritaglidig.com")</f>
        <v>ritaglidig.com</v>
      </c>
    </row>
    <row r="1910" spans="1:6" ht="16.95" customHeight="1" x14ac:dyDescent="0.25">
      <c r="A1910" s="5" t="s">
        <v>6429</v>
      </c>
      <c r="B1910" s="4" t="s">
        <v>6430</v>
      </c>
      <c r="C1910" s="4" t="s">
        <v>6424</v>
      </c>
      <c r="D1910" s="4" t="s">
        <v>6431</v>
      </c>
      <c r="E1910" s="4" t="s">
        <v>6432</v>
      </c>
      <c r="F1910" s="4" t="str">
        <f>HYPERLINK("http://www.luckyskins.it/","www.luckyskins.it")</f>
        <v>www.luckyskins.it</v>
      </c>
    </row>
    <row r="1911" spans="1:6" ht="16.95" customHeight="1" x14ac:dyDescent="0.25">
      <c r="A1911" s="5" t="s">
        <v>6434</v>
      </c>
      <c r="B1911" s="4" t="s">
        <v>6435</v>
      </c>
      <c r="C1911" s="4" t="s">
        <v>6425</v>
      </c>
      <c r="D1911" s="4" t="s">
        <v>6436</v>
      </c>
      <c r="E1911" s="4" t="s">
        <v>6437</v>
      </c>
      <c r="F1911" s="4" t="str">
        <f>HYPERLINK("http://www.macrilia.it/","www.macrilia.it")</f>
        <v>www.macrilia.it</v>
      </c>
    </row>
    <row r="1912" spans="1:6" ht="29.55" customHeight="1" x14ac:dyDescent="0.25">
      <c r="A1912" s="5" t="s">
        <v>6438</v>
      </c>
      <c r="B1912" s="4" t="s">
        <v>6439</v>
      </c>
      <c r="C1912" s="4" t="s">
        <v>6425</v>
      </c>
      <c r="D1912" s="4" t="s">
        <v>6440</v>
      </c>
      <c r="E1912" s="4" t="s">
        <v>6432</v>
      </c>
      <c r="F1912" s="4" t="str">
        <f>HYPERLINK("http://www.mychoicebags.it/","www.mychoicebags.it")</f>
        <v>www.mychoicebags.it</v>
      </c>
    </row>
    <row r="1913" spans="1:6" ht="16.95" customHeight="1" x14ac:dyDescent="0.25">
      <c r="A1913" s="5" t="s">
        <v>6441</v>
      </c>
      <c r="B1913" s="4" t="s">
        <v>6442</v>
      </c>
      <c r="C1913" s="4" t="s">
        <v>6428</v>
      </c>
      <c r="D1913" s="4" t="s">
        <v>6443</v>
      </c>
      <c r="E1913" s="4" t="s">
        <v>6433</v>
      </c>
      <c r="F1913" s="4" t="str">
        <f>HYPERLINK("http://tirogiro.it/","tirogiro.it")</f>
        <v>tirogiro.it</v>
      </c>
    </row>
    <row r="1914" spans="1:6" ht="29.55" customHeight="1" x14ac:dyDescent="0.25">
      <c r="A1914" s="5" t="s">
        <v>6444</v>
      </c>
      <c r="B1914" s="4" t="s">
        <v>6445</v>
      </c>
      <c r="C1914" s="4" t="s">
        <v>6425</v>
      </c>
      <c r="D1914" s="4" t="s">
        <v>6426</v>
      </c>
      <c r="E1914" s="4" t="s">
        <v>6427</v>
      </c>
      <c r="F1914" s="4" t="str">
        <f>HYPERLINK("http://zerolabfirenze.it/","zerolabfirenze.it")</f>
        <v>zerolabfirenze.it</v>
      </c>
    </row>
    <row r="1915" spans="1:6" ht="68.099999999999994" customHeight="1" x14ac:dyDescent="0.25">
      <c r="A1915" s="1" t="s">
        <v>6446</v>
      </c>
      <c r="B1915" s="6" t="s">
        <v>6447</v>
      </c>
      <c r="C1915" s="6" t="s">
        <v>6428</v>
      </c>
      <c r="D1915" s="6" t="s">
        <v>6440</v>
      </c>
      <c r="E1915" s="6" t="s">
        <v>6432</v>
      </c>
      <c r="F1915" s="6" t="str">
        <f>HYPERLINK("http://www.bottegacapri.it/","www.bottegacapri.it")</f>
        <v>www.bottegacapri.it</v>
      </c>
    </row>
    <row r="1916" spans="1:6" ht="16.95" customHeight="1" x14ac:dyDescent="0.25">
      <c r="A1916" s="5" t="s">
        <v>6448</v>
      </c>
      <c r="B1916" s="4" t="s">
        <v>6449</v>
      </c>
      <c r="C1916" s="4" t="s">
        <v>6450</v>
      </c>
      <c r="D1916" s="4" t="s">
        <v>6451</v>
      </c>
      <c r="E1916" s="4" t="s">
        <v>6452</v>
      </c>
      <c r="F1916" s="4" t="str">
        <f>HYPERLINK("http://www.car-lo.it/","www.car-lo.it")</f>
        <v>www.car-lo.it</v>
      </c>
    </row>
    <row r="1917" spans="1:6" ht="16.95" customHeight="1" x14ac:dyDescent="0.25">
      <c r="A1917" s="1" t="s">
        <v>6453</v>
      </c>
      <c r="B1917" s="6" t="s">
        <v>6454</v>
      </c>
      <c r="C1917" s="6" t="s">
        <v>6424</v>
      </c>
      <c r="D1917" s="6" t="s">
        <v>6455</v>
      </c>
      <c r="E1917" s="6" t="s">
        <v>6456</v>
      </c>
      <c r="F1917" s="6" t="str">
        <f>HYPERLINK("http://www.tempiodigiano.net/","www.tempiodigiano.net")</f>
        <v>www.tempiodigiano.net</v>
      </c>
    </row>
    <row r="1918" spans="1:6" ht="16.95" customHeight="1" x14ac:dyDescent="0.25">
      <c r="A1918" s="5" t="s">
        <v>6457</v>
      </c>
      <c r="B1918" s="4" t="s">
        <v>6458</v>
      </c>
      <c r="C1918" s="4" t="s">
        <v>6425</v>
      </c>
      <c r="D1918" s="4" t="s">
        <v>6443</v>
      </c>
      <c r="E1918" s="4" t="s">
        <v>6433</v>
      </c>
      <c r="F1918" s="4" t="str">
        <f>HYPERLINK("http://maglow.it/","maglow.it")</f>
        <v>maglow.it</v>
      </c>
    </row>
    <row r="1919" spans="1:6" ht="16.95" customHeight="1" x14ac:dyDescent="0.25">
      <c r="A1919" s="5" t="s">
        <v>6461</v>
      </c>
      <c r="B1919" s="4" t="s">
        <v>6462</v>
      </c>
      <c r="C1919" s="4" t="s">
        <v>6463</v>
      </c>
      <c r="D1919" s="4" t="s">
        <v>6464</v>
      </c>
      <c r="E1919" s="4" t="s">
        <v>6465</v>
      </c>
      <c r="F1919" s="4" t="str">
        <f>HYPERLINK("http://www.jeannot.it/","www.jeannot.it")</f>
        <v>www.jeannot.it</v>
      </c>
    </row>
    <row r="1920" spans="1:6" ht="43.05" customHeight="1" x14ac:dyDescent="0.25">
      <c r="A1920" s="1" t="s">
        <v>6466</v>
      </c>
      <c r="B1920" s="6" t="s">
        <v>6467</v>
      </c>
      <c r="C1920" s="6" t="s">
        <v>6468</v>
      </c>
      <c r="D1920" s="6" t="s">
        <v>6469</v>
      </c>
      <c r="E1920" s="6" t="s">
        <v>6470</v>
      </c>
      <c r="F1920" s="6" t="str">
        <f>HYPERLINK("http://bussolabag.com/","bussolabag.com")</f>
        <v>bussolabag.com</v>
      </c>
    </row>
    <row r="1921" spans="1:6" ht="16.95" customHeight="1" x14ac:dyDescent="0.25">
      <c r="A1921" s="5" t="s">
        <v>6471</v>
      </c>
      <c r="B1921" s="4" t="s">
        <v>6472</v>
      </c>
      <c r="C1921" s="4" t="s">
        <v>6473</v>
      </c>
      <c r="D1921" s="4" t="s">
        <v>6474</v>
      </c>
      <c r="E1921" s="4" t="s">
        <v>6475</v>
      </c>
      <c r="F1921" s="4" t="str">
        <f>HYPERLINK("http://runc6.com/","runc6.com")</f>
        <v>runc6.com</v>
      </c>
    </row>
    <row r="1922" spans="1:6" ht="29.55" customHeight="1" x14ac:dyDescent="0.25">
      <c r="A1922" s="1" t="s">
        <v>6476</v>
      </c>
      <c r="B1922" s="6" t="s">
        <v>6477</v>
      </c>
      <c r="C1922" s="6" t="s">
        <v>6478</v>
      </c>
      <c r="D1922" s="6" t="s">
        <v>6479</v>
      </c>
      <c r="E1922" s="6" t="s">
        <v>6480</v>
      </c>
      <c r="F1922" s="6" t="str">
        <f>HYPERLINK("http://www.gevopel.com/","www.gevopel.com")</f>
        <v>www.gevopel.com</v>
      </c>
    </row>
    <row r="1923" spans="1:6" ht="16.95" customHeight="1" x14ac:dyDescent="0.25">
      <c r="A1923" s="1" t="s">
        <v>6481</v>
      </c>
      <c r="B1923" s="6" t="s">
        <v>6482</v>
      </c>
      <c r="C1923" s="6" t="s">
        <v>6459</v>
      </c>
      <c r="D1923" s="6" t="s">
        <v>6483</v>
      </c>
      <c r="E1923" s="6" t="s">
        <v>6480</v>
      </c>
      <c r="F1923" s="6" t="str">
        <f>HYPERLINK("http://www.moalto.com/","www.moalto.com")</f>
        <v>www.moalto.com</v>
      </c>
    </row>
    <row r="1924" spans="1:6" ht="16.95" customHeight="1" x14ac:dyDescent="0.25">
      <c r="A1924" s="5" t="s">
        <v>6484</v>
      </c>
      <c r="B1924" s="4" t="s">
        <v>6485</v>
      </c>
      <c r="C1924" s="4" t="s">
        <v>6468</v>
      </c>
      <c r="D1924" s="4" t="s">
        <v>6486</v>
      </c>
      <c r="E1924" s="4" t="s">
        <v>6487</v>
      </c>
      <c r="F1924" s="4" t="str">
        <f>HYPERLINK("http://www.avanblanc.com/","www.avanblanc.com")</f>
        <v>www.avanblanc.com</v>
      </c>
    </row>
    <row r="1925" spans="1:6" ht="16.95" customHeight="1" x14ac:dyDescent="0.25">
      <c r="A1925" s="1" t="s">
        <v>6488</v>
      </c>
      <c r="B1925" s="6" t="s">
        <v>6489</v>
      </c>
      <c r="C1925" s="6" t="s">
        <v>6468</v>
      </c>
      <c r="D1925" s="6" t="s">
        <v>6490</v>
      </c>
      <c r="E1925" s="6" t="s">
        <v>6491</v>
      </c>
      <c r="F1925" s="6" t="str">
        <f>HYPERLINK("http://www.lalusac.it/","www.lalusac.it")</f>
        <v>www.lalusac.it</v>
      </c>
    </row>
    <row r="1926" spans="1:6" ht="16.95" customHeight="1" x14ac:dyDescent="0.25">
      <c r="A1926" s="5" t="s">
        <v>6492</v>
      </c>
      <c r="B1926" s="4" t="s">
        <v>6493</v>
      </c>
      <c r="C1926" s="4" t="s">
        <v>6478</v>
      </c>
      <c r="D1926" s="4" t="s">
        <v>6494</v>
      </c>
      <c r="E1926" s="4" t="s">
        <v>6487</v>
      </c>
      <c r="F1926" s="4" t="str">
        <f>HYPERLINK("http://www.guanaco.it/","http://www.guanaco.it")</f>
        <v>http://www.guanaco.it</v>
      </c>
    </row>
    <row r="1927" spans="1:6" ht="43.05" customHeight="1" x14ac:dyDescent="0.25">
      <c r="A1927" s="1" t="s">
        <v>6495</v>
      </c>
      <c r="B1927" s="6" t="s">
        <v>6496</v>
      </c>
      <c r="C1927" s="6" t="s">
        <v>6459</v>
      </c>
      <c r="D1927" s="6" t="s">
        <v>6497</v>
      </c>
      <c r="E1927" s="6" t="s">
        <v>6460</v>
      </c>
      <c r="F1927" s="6" t="str">
        <f>HYPERLINK("http://laboratoriocavallaccio.it/","laboratoriocavallaccio.it")</f>
        <v>laboratoriocavallaccio.it</v>
      </c>
    </row>
    <row r="1928" spans="1:6" ht="16.95" customHeight="1" x14ac:dyDescent="0.25">
      <c r="A1928" s="5" t="s">
        <v>6498</v>
      </c>
      <c r="B1928" s="4" t="s">
        <v>6499</v>
      </c>
      <c r="C1928" s="4" t="s">
        <v>6468</v>
      </c>
      <c r="D1928" s="4" t="s">
        <v>6500</v>
      </c>
      <c r="E1928" s="4" t="s">
        <v>6470</v>
      </c>
      <c r="F1928" s="4" t="str">
        <f>HYPERLINK("http://valeriagodi.com/","valeriagodi.com")</f>
        <v>valeriagodi.com</v>
      </c>
    </row>
    <row r="1929" spans="1:6" ht="16.95" customHeight="1" x14ac:dyDescent="0.25">
      <c r="A1929" s="5" t="s">
        <v>6501</v>
      </c>
      <c r="B1929" s="4" t="s">
        <v>6502</v>
      </c>
      <c r="C1929" s="4" t="s">
        <v>6459</v>
      </c>
      <c r="D1929" s="4" t="s">
        <v>6503</v>
      </c>
      <c r="E1929" s="4" t="s">
        <v>6487</v>
      </c>
      <c r="F1929" s="4" t="str">
        <f>HYPERLINK("http://alessandroteri.com/","alessandroteri.com")</f>
        <v>alessandroteri.com</v>
      </c>
    </row>
    <row r="1930" spans="1:6" ht="29.55" customHeight="1" x14ac:dyDescent="0.25">
      <c r="A1930" s="1" t="s">
        <v>6504</v>
      </c>
      <c r="B1930" s="6" t="s">
        <v>6505</v>
      </c>
      <c r="C1930" s="6" t="s">
        <v>6468</v>
      </c>
      <c r="D1930" s="6" t="s">
        <v>6483</v>
      </c>
      <c r="E1930" s="6" t="s">
        <v>6480</v>
      </c>
      <c r="F1930" s="6" t="str">
        <f>HYPERLINK("http://www.marchionnicollezioni.it/","www.marchionnicollezioni.it")</f>
        <v>www.marchionnicollezioni.it</v>
      </c>
    </row>
    <row r="1931" spans="1:6" ht="16.95" customHeight="1" x14ac:dyDescent="0.25">
      <c r="A1931" s="1" t="s">
        <v>6506</v>
      </c>
      <c r="B1931" s="6" t="s">
        <v>6507</v>
      </c>
      <c r="C1931" s="6" t="s">
        <v>6459</v>
      </c>
      <c r="D1931" s="6" t="s">
        <v>6508</v>
      </c>
      <c r="E1931" s="6" t="s">
        <v>6465</v>
      </c>
      <c r="F1931" s="6" t="str">
        <f>HYPERLINK("http://www.poker-shoes.it/","www.poker-shoes.it")</f>
        <v>www.poker-shoes.it</v>
      </c>
    </row>
    <row r="1932" spans="1:6" ht="16.95" customHeight="1" x14ac:dyDescent="0.25">
      <c r="A1932" s="5" t="s">
        <v>6509</v>
      </c>
      <c r="B1932" s="4" t="s">
        <v>6510</v>
      </c>
      <c r="C1932" s="4" t="s">
        <v>6459</v>
      </c>
      <c r="D1932" s="4" t="s">
        <v>6511</v>
      </c>
      <c r="E1932" s="4" t="s">
        <v>6487</v>
      </c>
      <c r="F1932" s="4" t="str">
        <f>HYPERLINK("http://www.edoardoelorenzo.it/","www.edoardoelorenzo.it")</f>
        <v>www.edoardoelorenzo.it</v>
      </c>
    </row>
    <row r="1933" spans="1:6" ht="16.95" customHeight="1" x14ac:dyDescent="0.25">
      <c r="A1933" s="5" t="s">
        <v>6512</v>
      </c>
      <c r="B1933" s="4" t="s">
        <v>6513</v>
      </c>
      <c r="C1933" s="4" t="s">
        <v>6459</v>
      </c>
      <c r="D1933" s="4" t="s">
        <v>6514</v>
      </c>
      <c r="E1933" s="4" t="s">
        <v>6470</v>
      </c>
      <c r="F1933" s="4" t="str">
        <f>HYPERLINK("http://vendramini.it/","vendramini.it")</f>
        <v>vendramini.it</v>
      </c>
    </row>
    <row r="1934" spans="1:6" ht="16.95" customHeight="1" x14ac:dyDescent="0.25">
      <c r="A1934" s="1" t="s">
        <v>6515</v>
      </c>
      <c r="B1934" s="6" t="s">
        <v>6516</v>
      </c>
      <c r="C1934" s="6" t="s">
        <v>6463</v>
      </c>
      <c r="D1934" s="6" t="s">
        <v>6517</v>
      </c>
      <c r="E1934" s="6" t="s">
        <v>6480</v>
      </c>
      <c r="F1934" s="6" t="str">
        <f>HYPERLINK("http://www.v-design.it/","www.v-design.it")</f>
        <v>www.v-design.it</v>
      </c>
    </row>
    <row r="1935" spans="1:6" ht="16.95" customHeight="1" x14ac:dyDescent="0.25">
      <c r="A1935" s="1" t="s">
        <v>6518</v>
      </c>
      <c r="B1935" s="6" t="s">
        <v>6519</v>
      </c>
      <c r="C1935" s="6" t="s">
        <v>6468</v>
      </c>
      <c r="D1935" s="6" t="s">
        <v>6483</v>
      </c>
      <c r="E1935" s="6" t="s">
        <v>6480</v>
      </c>
      <c r="F1935" s="6" t="str">
        <f>HYPERLINK("http://www.luraworld.com/","www.luraworld.com")</f>
        <v>www.luraworld.com</v>
      </c>
    </row>
    <row r="1936" spans="1:6" ht="16.95" customHeight="1" x14ac:dyDescent="0.25">
      <c r="A1936" s="5" t="s">
        <v>6520</v>
      </c>
      <c r="B1936" s="4" t="s">
        <v>6521</v>
      </c>
      <c r="C1936" s="4" t="s">
        <v>6468</v>
      </c>
      <c r="D1936" s="4" t="s">
        <v>6511</v>
      </c>
      <c r="E1936" s="4" t="s">
        <v>6487</v>
      </c>
      <c r="F1936" s="4" t="str">
        <f>HYPERLINK("http://www.manifatturefirenze.it/","www.manifatturefirenze.it")</f>
        <v>www.manifatturefirenze.it</v>
      </c>
    </row>
    <row r="1937" spans="1:6" ht="29.55" customHeight="1" x14ac:dyDescent="0.25">
      <c r="A1937" s="1" t="s">
        <v>6529</v>
      </c>
      <c r="B1937" s="6" t="s">
        <v>6530</v>
      </c>
      <c r="C1937" s="6" t="s">
        <v>6522</v>
      </c>
      <c r="D1937" s="6" t="s">
        <v>6523</v>
      </c>
      <c r="E1937" s="6" t="s">
        <v>6524</v>
      </c>
      <c r="F1937" s="6" t="str">
        <f>HYPERLINK("http://www.pelletteriesim.it/","www.pelletteriesim.it")</f>
        <v>www.pelletteriesim.it</v>
      </c>
    </row>
    <row r="1938" spans="1:6" ht="16.95" customHeight="1" x14ac:dyDescent="0.25">
      <c r="A1938" s="1" t="s">
        <v>6531</v>
      </c>
      <c r="B1938" s="6" t="s">
        <v>6532</v>
      </c>
      <c r="C1938" s="6" t="s">
        <v>6533</v>
      </c>
      <c r="D1938" s="6" t="s">
        <v>6534</v>
      </c>
      <c r="E1938" s="6" t="s">
        <v>6526</v>
      </c>
      <c r="F1938" s="6" t="str">
        <f>HYPERLINK("http://tecnocoinn.it/","tecnocoinn.it")</f>
        <v>tecnocoinn.it</v>
      </c>
    </row>
    <row r="1939" spans="1:6" ht="16.95" customHeight="1" x14ac:dyDescent="0.25">
      <c r="A1939" s="1" t="s">
        <v>6535</v>
      </c>
      <c r="B1939" s="6" t="s">
        <v>6536</v>
      </c>
      <c r="C1939" s="6" t="s">
        <v>6533</v>
      </c>
      <c r="D1939" s="6" t="s">
        <v>6534</v>
      </c>
      <c r="E1939" s="6" t="s">
        <v>6526</v>
      </c>
      <c r="F1939" s="6" t="str">
        <f>HYPERLINK("http://www.irpel.it/","www.irpel.it")</f>
        <v>www.irpel.it</v>
      </c>
    </row>
    <row r="1940" spans="1:6" ht="29.55" customHeight="1" x14ac:dyDescent="0.25">
      <c r="A1940" s="5" t="s">
        <v>6537</v>
      </c>
      <c r="B1940" s="4" t="s">
        <v>6538</v>
      </c>
      <c r="C1940" s="4" t="s">
        <v>6528</v>
      </c>
      <c r="D1940" s="4" t="s">
        <v>6539</v>
      </c>
      <c r="E1940" s="4" t="s">
        <v>6540</v>
      </c>
      <c r="F1940" s="4" t="str">
        <f>HYPERLINK("http://www.albertoguardiani.com/","www.albertoguardiani.com")</f>
        <v>www.albertoguardiani.com</v>
      </c>
    </row>
    <row r="1941" spans="1:6" ht="29.55" customHeight="1" x14ac:dyDescent="0.25">
      <c r="A1941" s="1" t="s">
        <v>6541</v>
      </c>
      <c r="B1941" s="6" t="s">
        <v>6542</v>
      </c>
      <c r="C1941" s="6" t="s">
        <v>6543</v>
      </c>
      <c r="D1941" s="6" t="s">
        <v>6544</v>
      </c>
      <c r="E1941" s="6" t="s">
        <v>6524</v>
      </c>
      <c r="F1941" s="6" t="str">
        <f>HYPERLINK("http://www.tacchificiofidia.it/","www.tacchificiofidia.it")</f>
        <v>www.tacchificiofidia.it</v>
      </c>
    </row>
    <row r="1942" spans="1:6" ht="16.95" customHeight="1" x14ac:dyDescent="0.25">
      <c r="A1942" s="5" t="s">
        <v>6545</v>
      </c>
      <c r="B1942" s="4" t="s">
        <v>6546</v>
      </c>
      <c r="C1942" s="4" t="s">
        <v>6522</v>
      </c>
      <c r="D1942" s="4" t="s">
        <v>6547</v>
      </c>
      <c r="E1942" s="4" t="s">
        <v>6548</v>
      </c>
      <c r="F1942" s="4" t="str">
        <f>HYPERLINK("http://www.vitussi.com/","www.vitussi.com")</f>
        <v>www.vitussi.com</v>
      </c>
    </row>
    <row r="1943" spans="1:6" ht="16.95" customHeight="1" x14ac:dyDescent="0.25">
      <c r="A1943" s="5" t="s">
        <v>6549</v>
      </c>
      <c r="B1943" s="4" t="s">
        <v>6550</v>
      </c>
      <c r="C1943" s="4" t="s">
        <v>6522</v>
      </c>
      <c r="D1943" s="4" t="s">
        <v>6525</v>
      </c>
      <c r="E1943" s="4" t="s">
        <v>6526</v>
      </c>
      <c r="F1943" s="4" t="str">
        <f>HYPERLINK("http://www.baggeans.com/","www.baggeans.com")</f>
        <v>www.baggeans.com</v>
      </c>
    </row>
    <row r="1944" spans="1:6" ht="16.95" customHeight="1" x14ac:dyDescent="0.25">
      <c r="A1944" s="5" t="s">
        <v>6551</v>
      </c>
      <c r="B1944" s="4" t="s">
        <v>6552</v>
      </c>
      <c r="C1944" s="4" t="s">
        <v>6528</v>
      </c>
      <c r="D1944" s="4" t="s">
        <v>6553</v>
      </c>
      <c r="E1944" s="4" t="s">
        <v>6527</v>
      </c>
      <c r="F1944" s="4" t="str">
        <f>HYPERLINK("http://www.miticashoes.com/","http://www.miticashoes.com")</f>
        <v>http://www.miticashoes.com</v>
      </c>
    </row>
    <row r="1945" spans="1:6" ht="16.95" customHeight="1" x14ac:dyDescent="0.25">
      <c r="A1945" s="1" t="s">
        <v>6560</v>
      </c>
      <c r="B1945" s="6" t="s">
        <v>6561</v>
      </c>
      <c r="C1945" s="6" t="s">
        <v>6562</v>
      </c>
      <c r="D1945" s="6" t="s">
        <v>6563</v>
      </c>
      <c r="E1945" s="6" t="s">
        <v>6564</v>
      </c>
      <c r="F1945" s="6" t="str">
        <f>HYPERLINK("http://schedoni.com/","schedoni.com")</f>
        <v>schedoni.com</v>
      </c>
    </row>
    <row r="1946" spans="1:6" ht="16.95" customHeight="1" x14ac:dyDescent="0.25">
      <c r="A1946" s="5" t="s">
        <v>6565</v>
      </c>
      <c r="B1946" s="4" t="s">
        <v>6566</v>
      </c>
      <c r="C1946" s="4" t="s">
        <v>6557</v>
      </c>
      <c r="D1946" s="4" t="s">
        <v>6558</v>
      </c>
      <c r="E1946" s="4" t="s">
        <v>6559</v>
      </c>
      <c r="F1946" s="4" t="str">
        <f>HYPERLINK("http://www.beeworkers.it/","www.beeworkers.it")</f>
        <v>www.beeworkers.it</v>
      </c>
    </row>
    <row r="1947" spans="1:6" ht="16.95" customHeight="1" x14ac:dyDescent="0.25">
      <c r="A1947" s="1" t="s">
        <v>6567</v>
      </c>
      <c r="B1947" s="6" t="s">
        <v>6568</v>
      </c>
      <c r="C1947" s="6" t="s">
        <v>6562</v>
      </c>
      <c r="D1947" s="6" t="s">
        <v>6555</v>
      </c>
      <c r="E1947" s="6" t="s">
        <v>6556</v>
      </c>
      <c r="F1947" s="6" t="str">
        <f>HYPERLINK("http://www.kontessaccessori.it/","www.kontessaccessori.it")</f>
        <v>www.kontessaccessori.it</v>
      </c>
    </row>
    <row r="1948" spans="1:6" ht="16.95" customHeight="1" x14ac:dyDescent="0.25">
      <c r="A1948" s="5" t="s">
        <v>6571</v>
      </c>
      <c r="B1948" s="4" t="s">
        <v>6572</v>
      </c>
      <c r="C1948" s="4" t="s">
        <v>6570</v>
      </c>
      <c r="D1948" s="4" t="s">
        <v>6563</v>
      </c>
      <c r="E1948" s="4" t="s">
        <v>6564</v>
      </c>
      <c r="F1948" s="4" t="str">
        <f>HYPERLINK("http://www.gait-tech.it/","www.gait-tech.it")</f>
        <v>www.gait-tech.it</v>
      </c>
    </row>
    <row r="1949" spans="1:6" ht="16.95" customHeight="1" x14ac:dyDescent="0.25">
      <c r="A1949" s="1" t="s">
        <v>6575</v>
      </c>
      <c r="B1949" s="6" t="s">
        <v>6576</v>
      </c>
      <c r="C1949" s="6" t="s">
        <v>6562</v>
      </c>
      <c r="D1949" s="6" t="s">
        <v>6577</v>
      </c>
      <c r="E1949" s="6" t="s">
        <v>6564</v>
      </c>
      <c r="F1949" s="6" t="str">
        <f>HYPERLINK("http://pugnettiparmabags.com/","pugnettiparmabags.com")</f>
        <v>pugnettiparmabags.com</v>
      </c>
    </row>
    <row r="1950" spans="1:6" ht="16.95" customHeight="1" x14ac:dyDescent="0.25">
      <c r="A1950" s="5" t="s">
        <v>6579</v>
      </c>
      <c r="B1950" s="4" t="s">
        <v>6580</v>
      </c>
      <c r="C1950" s="4" t="s">
        <v>6557</v>
      </c>
      <c r="D1950" s="4" t="s">
        <v>6573</v>
      </c>
      <c r="E1950" s="4" t="s">
        <v>6574</v>
      </c>
      <c r="F1950" s="4" t="str">
        <f>HYPERLINK("http://dzoye.com/","dzoye.com")</f>
        <v>dzoye.com</v>
      </c>
    </row>
    <row r="1951" spans="1:6" ht="16.95" customHeight="1" x14ac:dyDescent="0.25">
      <c r="A1951" s="1" t="s">
        <v>6581</v>
      </c>
      <c r="B1951" s="6" t="s">
        <v>6582</v>
      </c>
      <c r="C1951" s="6" t="s">
        <v>6554</v>
      </c>
      <c r="D1951" s="6" t="s">
        <v>6578</v>
      </c>
      <c r="E1951" s="6" t="s">
        <v>6559</v>
      </c>
      <c r="F1951" s="6" t="str">
        <f>HYPERLINK("http://www.salutebenessere.vi.it/","www.salutebenessere.vi.it")</f>
        <v>www.salutebenessere.vi.it</v>
      </c>
    </row>
    <row r="1952" spans="1:6" ht="16.95" customHeight="1" x14ac:dyDescent="0.25">
      <c r="A1952" s="5" t="s">
        <v>6583</v>
      </c>
      <c r="B1952" s="4" t="s">
        <v>6584</v>
      </c>
      <c r="C1952" s="4" t="s">
        <v>6554</v>
      </c>
      <c r="D1952" s="4" t="s">
        <v>6585</v>
      </c>
      <c r="E1952" s="4" t="s">
        <v>6559</v>
      </c>
      <c r="F1952" s="4" t="str">
        <f>HYPERLINK("http://www.smartmaterials.it/","www.smartmaterials.it")</f>
        <v>www.smartmaterials.it</v>
      </c>
    </row>
    <row r="1953" spans="1:6" ht="16.95" customHeight="1" x14ac:dyDescent="0.25">
      <c r="A1953" s="5" t="s">
        <v>6586</v>
      </c>
      <c r="B1953" s="4" t="s">
        <v>6587</v>
      </c>
      <c r="C1953" s="4" t="s">
        <v>6562</v>
      </c>
      <c r="D1953" s="4" t="s">
        <v>6588</v>
      </c>
      <c r="E1953" s="4" t="s">
        <v>6589</v>
      </c>
      <c r="F1953" s="4" t="str">
        <f>HYPERLINK("http://disix.it/","disix.it")</f>
        <v>disix.it</v>
      </c>
    </row>
    <row r="1954" spans="1:6" ht="16.95" customHeight="1" x14ac:dyDescent="0.25">
      <c r="A1954" s="1" t="s">
        <v>6590</v>
      </c>
      <c r="B1954" s="6" t="s">
        <v>6591</v>
      </c>
      <c r="C1954" s="6" t="s">
        <v>6557</v>
      </c>
      <c r="D1954" s="6" t="s">
        <v>6573</v>
      </c>
      <c r="E1954" s="6" t="s">
        <v>6574</v>
      </c>
      <c r="F1954" s="6" t="str">
        <f>HYPERLINK("http://www.fuoriserie.it/","www.fuoriserie.it")</f>
        <v>www.fuoriserie.it</v>
      </c>
    </row>
    <row r="1955" spans="1:6" ht="16.95" customHeight="1" x14ac:dyDescent="0.25">
      <c r="A1955" s="5" t="s">
        <v>6592</v>
      </c>
      <c r="B1955" s="4" t="s">
        <v>6593</v>
      </c>
      <c r="C1955" s="4" t="s">
        <v>6557</v>
      </c>
      <c r="D1955" s="4" t="s">
        <v>6569</v>
      </c>
      <c r="E1955" s="4" t="s">
        <v>6556</v>
      </c>
      <c r="F1955" s="4" t="str">
        <f>HYPERLINK("http://www.fdl-global.com/","www.fdl-global.com")</f>
        <v>www.fdl-global.com</v>
      </c>
    </row>
    <row r="1956" spans="1:6" ht="16.95" customHeight="1" x14ac:dyDescent="0.25">
      <c r="A1956" s="5" t="s">
        <v>6595</v>
      </c>
      <c r="B1956" s="4" t="s">
        <v>6596</v>
      </c>
      <c r="C1956" s="4" t="s">
        <v>6597</v>
      </c>
      <c r="D1956" s="4" t="s">
        <v>6598</v>
      </c>
      <c r="E1956" s="4" t="s">
        <v>6599</v>
      </c>
      <c r="F1956" s="4" t="str">
        <f>HYPERLINK("http://www.fideliodog.it/","www.fideliodog.it")</f>
        <v>www.fideliodog.it</v>
      </c>
    </row>
    <row r="1957" spans="1:6" ht="43.05" customHeight="1" x14ac:dyDescent="0.25">
      <c r="A1957" s="1" t="s">
        <v>6600</v>
      </c>
      <c r="B1957" s="6" t="s">
        <v>6601</v>
      </c>
      <c r="C1957" s="6" t="s">
        <v>6602</v>
      </c>
      <c r="D1957" s="6" t="s">
        <v>6603</v>
      </c>
      <c r="E1957" s="6" t="s">
        <v>6604</v>
      </c>
      <c r="F1957" s="6" t="str">
        <f>HYPERLINK("http://oljimmy.shop/","oljimmy.shop")</f>
        <v>oljimmy.shop</v>
      </c>
    </row>
    <row r="1958" spans="1:6" ht="16.95" customHeight="1" x14ac:dyDescent="0.25">
      <c r="A1958" s="5" t="s">
        <v>6605</v>
      </c>
      <c r="B1958" s="4" t="s">
        <v>6606</v>
      </c>
      <c r="C1958" s="4" t="s">
        <v>6597</v>
      </c>
      <c r="D1958" s="4" t="s">
        <v>6607</v>
      </c>
      <c r="E1958" s="4" t="s">
        <v>6608</v>
      </c>
      <c r="F1958" s="4" t="str">
        <f>HYPERLINK("http://www.pelletteriag4.com/","www.pelletteriag4.com")</f>
        <v>www.pelletteriag4.com</v>
      </c>
    </row>
    <row r="1959" spans="1:6" ht="16.95" customHeight="1" x14ac:dyDescent="0.25">
      <c r="A1959" s="1" t="s">
        <v>6610</v>
      </c>
      <c r="B1959" s="6" t="s">
        <v>6611</v>
      </c>
      <c r="C1959" s="6" t="s">
        <v>6602</v>
      </c>
      <c r="D1959" s="6" t="s">
        <v>6612</v>
      </c>
      <c r="E1959" s="6" t="s">
        <v>6613</v>
      </c>
      <c r="F1959" s="6" t="str">
        <f>HYPERLINK("http://www.pisanospa.com/","www.pisanospa.com")</f>
        <v>www.pisanospa.com</v>
      </c>
    </row>
    <row r="1960" spans="1:6" ht="16.95" customHeight="1" x14ac:dyDescent="0.25">
      <c r="A1960" s="5" t="s">
        <v>6614</v>
      </c>
      <c r="B1960" s="4" t="s">
        <v>6615</v>
      </c>
      <c r="C1960" s="4" t="s">
        <v>6597</v>
      </c>
      <c r="D1960" s="4" t="s">
        <v>6616</v>
      </c>
      <c r="E1960" s="4" t="s">
        <v>6617</v>
      </c>
      <c r="F1960" s="4" t="str">
        <f>HYPERLINK("http://www.clutchebag.com/","www.clutchebag.com")</f>
        <v>www.clutchebag.com</v>
      </c>
    </row>
    <row r="1961" spans="1:6" ht="29.55" customHeight="1" x14ac:dyDescent="0.25">
      <c r="A1961" s="1" t="s">
        <v>6621</v>
      </c>
      <c r="B1961" s="6" t="s">
        <v>6622</v>
      </c>
      <c r="C1961" s="6" t="s">
        <v>6602</v>
      </c>
      <c r="D1961" s="6" t="s">
        <v>6623</v>
      </c>
      <c r="E1961" s="6" t="s">
        <v>6620</v>
      </c>
      <c r="F1961" s="6" t="str">
        <f>HYPERLINK("http://www.balducci.it/","www.balducci.it")</f>
        <v>www.balducci.it</v>
      </c>
    </row>
    <row r="1962" spans="1:6" ht="16.95" customHeight="1" x14ac:dyDescent="0.25">
      <c r="A1962" s="1" t="s">
        <v>6624</v>
      </c>
      <c r="B1962" s="6" t="s">
        <v>6625</v>
      </c>
      <c r="C1962" s="6" t="s">
        <v>6594</v>
      </c>
      <c r="D1962" s="6" t="s">
        <v>6626</v>
      </c>
      <c r="E1962" s="6" t="s">
        <v>6627</v>
      </c>
      <c r="F1962" s="6" t="str">
        <f>HYPERLINK("http://spiderstraps.com/","spiderstraps.com")</f>
        <v>spiderstraps.com</v>
      </c>
    </row>
    <row r="1963" spans="1:6" ht="43.05" customHeight="1" x14ac:dyDescent="0.25">
      <c r="A1963" s="5" t="s">
        <v>6628</v>
      </c>
      <c r="B1963" s="4" t="s">
        <v>6629</v>
      </c>
      <c r="C1963" s="4" t="s">
        <v>6597</v>
      </c>
      <c r="D1963" s="4" t="s">
        <v>6630</v>
      </c>
      <c r="E1963" s="4" t="s">
        <v>6631</v>
      </c>
      <c r="F1963" s="4" t="str">
        <f>HYPERLINK("http://www.veterestyle.it/","www.veterestyle.it")</f>
        <v>www.veterestyle.it</v>
      </c>
    </row>
    <row r="1964" spans="1:6" ht="16.95" customHeight="1" x14ac:dyDescent="0.25">
      <c r="A1964" s="1" t="s">
        <v>6632</v>
      </c>
      <c r="B1964" s="6" t="s">
        <v>6633</v>
      </c>
      <c r="C1964" s="6" t="s">
        <v>6597</v>
      </c>
      <c r="D1964" s="6" t="s">
        <v>6634</v>
      </c>
      <c r="E1964" s="6" t="s">
        <v>6620</v>
      </c>
      <c r="F1964" s="6" t="str">
        <f>HYPERLINK("http://borserevenge.it/","borserevenge.it")</f>
        <v>borserevenge.it</v>
      </c>
    </row>
    <row r="1965" spans="1:6" ht="16.95" customHeight="1" x14ac:dyDescent="0.25">
      <c r="A1965" s="5" t="s">
        <v>6635</v>
      </c>
      <c r="B1965" s="4" t="s">
        <v>6636</v>
      </c>
      <c r="C1965" s="4" t="s">
        <v>6602</v>
      </c>
      <c r="D1965" s="4" t="s">
        <v>6637</v>
      </c>
      <c r="E1965" s="4" t="s">
        <v>6608</v>
      </c>
      <c r="F1965" s="4" t="str">
        <f>HYPERLINK("http://nothinkshoes.com/","nothinkshoes.com")</f>
        <v>nothinkshoes.com</v>
      </c>
    </row>
    <row r="1966" spans="1:6" ht="16.95" customHeight="1" x14ac:dyDescent="0.25">
      <c r="A1966" s="1" t="s">
        <v>6638</v>
      </c>
      <c r="B1966" s="6" t="s">
        <v>6639</v>
      </c>
      <c r="C1966" s="6" t="s">
        <v>6597</v>
      </c>
      <c r="D1966" s="6" t="s">
        <v>6640</v>
      </c>
      <c r="E1966" s="6" t="s">
        <v>6617</v>
      </c>
      <c r="F1966" s="6" t="str">
        <f>HYPERLINK("http://www.mykap.it/","www.mykap.it")</f>
        <v>www.mykap.it</v>
      </c>
    </row>
    <row r="1967" spans="1:6" ht="16.95" customHeight="1" x14ac:dyDescent="0.25">
      <c r="A1967" s="5" t="s">
        <v>6641</v>
      </c>
      <c r="B1967" s="4" t="s">
        <v>6642</v>
      </c>
      <c r="C1967" s="4" t="s">
        <v>6618</v>
      </c>
      <c r="D1967" s="4" t="s">
        <v>6619</v>
      </c>
      <c r="E1967" s="4" t="s">
        <v>6620</v>
      </c>
      <c r="F1967" s="4" t="str">
        <f>HYPERLINK("http://www.ligian.it/","www.ligian.it")</f>
        <v>www.ligian.it</v>
      </c>
    </row>
    <row r="1968" spans="1:6" ht="29.55" customHeight="1" x14ac:dyDescent="0.25">
      <c r="A1968" s="1" t="s">
        <v>6643</v>
      </c>
      <c r="B1968" s="6" t="s">
        <v>6644</v>
      </c>
      <c r="C1968" s="6" t="s">
        <v>6645</v>
      </c>
      <c r="D1968" s="6" t="s">
        <v>6646</v>
      </c>
      <c r="E1968" s="6" t="s">
        <v>6620</v>
      </c>
      <c r="F1968" s="6" t="s">
        <v>6647</v>
      </c>
    </row>
    <row r="1969" spans="1:6" ht="16.95" customHeight="1" x14ac:dyDescent="0.25">
      <c r="A1969" s="5" t="s">
        <v>6648</v>
      </c>
      <c r="B1969" s="4" t="s">
        <v>6649</v>
      </c>
      <c r="C1969" s="4" t="s">
        <v>6602</v>
      </c>
      <c r="D1969" s="4" t="s">
        <v>6650</v>
      </c>
      <c r="E1969" s="4" t="s">
        <v>6604</v>
      </c>
      <c r="F1969" s="4" t="str">
        <f>HYPERLINK("http://www.tradinnovazione.it/","www.tradinnovazione.it")</f>
        <v>www.tradinnovazione.it</v>
      </c>
    </row>
    <row r="1970" spans="1:6" ht="16.95" customHeight="1" x14ac:dyDescent="0.25">
      <c r="A1970" s="1" t="s">
        <v>6652</v>
      </c>
      <c r="B1970" s="6" t="s">
        <v>6653</v>
      </c>
      <c r="C1970" s="6" t="s">
        <v>6594</v>
      </c>
      <c r="D1970" s="6" t="s">
        <v>6609</v>
      </c>
      <c r="E1970" s="6" t="s">
        <v>6604</v>
      </c>
      <c r="F1970" s="6" t="str">
        <f>HYPERLINK("http://www.verapellami.it/","www.verapellami.it")</f>
        <v>www.verapellami.it</v>
      </c>
    </row>
    <row r="1971" spans="1:6" ht="29.55" customHeight="1" x14ac:dyDescent="0.25">
      <c r="A1971" s="5" t="s">
        <v>6655</v>
      </c>
      <c r="B1971" s="4" t="s">
        <v>6656</v>
      </c>
      <c r="C1971" s="4" t="s">
        <v>6594</v>
      </c>
      <c r="D1971" s="4" t="s">
        <v>6654</v>
      </c>
      <c r="E1971" s="4" t="s">
        <v>6651</v>
      </c>
      <c r="F1971" s="4" t="str">
        <f>HYPERLINK("http://www.expoleathers.com/","www.expoleathers.com")</f>
        <v>www.expoleathers.com</v>
      </c>
    </row>
    <row r="1972" spans="1:6" ht="29.55" customHeight="1" x14ac:dyDescent="0.25">
      <c r="A1972" s="1" t="s">
        <v>6657</v>
      </c>
      <c r="B1972" s="6" t="s">
        <v>6658</v>
      </c>
      <c r="C1972" s="6" t="s">
        <v>6659</v>
      </c>
      <c r="D1972" s="6" t="s">
        <v>6660</v>
      </c>
      <c r="E1972" s="6" t="s">
        <v>6661</v>
      </c>
      <c r="F1972" s="6" t="str">
        <f>HYPERLINK("http://www.nuovasalutebenessere.it/","www.nuovasalutebenessere.it")</f>
        <v>www.nuovasalutebenessere.it</v>
      </c>
    </row>
    <row r="1973" spans="1:6" ht="29.55" customHeight="1" x14ac:dyDescent="0.25">
      <c r="A1973" s="1" t="s">
        <v>6663</v>
      </c>
      <c r="B1973" s="6" t="s">
        <v>6664</v>
      </c>
      <c r="C1973" s="6" t="s">
        <v>6662</v>
      </c>
      <c r="D1973" s="6" t="s">
        <v>6660</v>
      </c>
      <c r="E1973" s="6" t="s">
        <v>6661</v>
      </c>
      <c r="F1973" s="6" t="str">
        <f>HYPERLINK("http://www.stilman.it/","www.stilman.it")</f>
        <v>www.stilman.it</v>
      </c>
    </row>
    <row r="1974" spans="1:6" ht="16.95" customHeight="1" x14ac:dyDescent="0.25">
      <c r="A1974" s="5" t="s">
        <v>6665</v>
      </c>
      <c r="B1974" s="4" t="s">
        <v>6666</v>
      </c>
      <c r="C1974" s="4" t="s">
        <v>6667</v>
      </c>
      <c r="D1974" s="4" t="s">
        <v>6668</v>
      </c>
      <c r="E1974" s="4" t="s">
        <v>6661</v>
      </c>
      <c r="F1974" s="4" t="str">
        <f>HYPERLINK("http://www.lunarossaleathers.com/","www.lunarossaleathers.com")</f>
        <v>www.lunarossaleathers.com</v>
      </c>
    </row>
    <row r="1975" spans="1:6" ht="29.55" customHeight="1" x14ac:dyDescent="0.25">
      <c r="A1975" s="1" t="s">
        <v>6669</v>
      </c>
      <c r="B1975" s="6" t="s">
        <v>6670</v>
      </c>
      <c r="C1975" s="6" t="s">
        <v>6667</v>
      </c>
      <c r="D1975" s="6" t="s">
        <v>6668</v>
      </c>
      <c r="E1975" s="6" t="s">
        <v>6661</v>
      </c>
      <c r="F1975" s="6" t="str">
        <f>HYPERLINK("http://www.francoefigli.com/","www.francoefigli.com")</f>
        <v>www.francoefigli.com</v>
      </c>
    </row>
    <row r="1976" spans="1:6" ht="43.05" customHeight="1" x14ac:dyDescent="0.25">
      <c r="A1976" s="5" t="s">
        <v>6671</v>
      </c>
      <c r="B1976" s="4" t="s">
        <v>6672</v>
      </c>
      <c r="C1976" s="4" t="s">
        <v>6667</v>
      </c>
      <c r="D1976" s="4" t="s">
        <v>6668</v>
      </c>
      <c r="E1976" s="4" t="s">
        <v>6661</v>
      </c>
      <c r="F1976" s="4" t="str">
        <f>HYPERLINK("http://ambraleather.com/","ambraleather.com")</f>
        <v>ambraleather.com</v>
      </c>
    </row>
    <row r="1977" spans="1:6" ht="43.05" customHeight="1" x14ac:dyDescent="0.25">
      <c r="A1977" s="5" t="s">
        <v>6673</v>
      </c>
      <c r="B1977" s="4" t="s">
        <v>6674</v>
      </c>
      <c r="C1977" s="4" t="s">
        <v>6667</v>
      </c>
      <c r="D1977" s="4" t="s">
        <v>6668</v>
      </c>
      <c r="E1977" s="4" t="s">
        <v>6661</v>
      </c>
      <c r="F1977" s="4" t="str">
        <f>HYPERLINK("http://www.conceriatigre.com/","www.conceriatigre.com")</f>
        <v>www.conceriatigre.com</v>
      </c>
    </row>
    <row r="1978" spans="1:6" ht="16.95" customHeight="1" x14ac:dyDescent="0.25">
      <c r="A1978" s="5" t="s">
        <v>6676</v>
      </c>
      <c r="B1978" s="4" t="s">
        <v>6677</v>
      </c>
      <c r="C1978" s="4" t="s">
        <v>6659</v>
      </c>
      <c r="D1978" s="4" t="s">
        <v>6675</v>
      </c>
      <c r="E1978" s="4" t="s">
        <v>6661</v>
      </c>
      <c r="F1978" s="4" t="str">
        <f>HYPERLINK("http://www.standerbags.com/","www.standerbags.com")</f>
        <v>www.standerbags.com</v>
      </c>
    </row>
    <row r="1979" spans="1:6" ht="16.95" customHeight="1" x14ac:dyDescent="0.25">
      <c r="A1979" s="1" t="s">
        <v>6678</v>
      </c>
      <c r="B1979" s="6" t="s">
        <v>6679</v>
      </c>
      <c r="C1979" s="6" t="s">
        <v>6680</v>
      </c>
      <c r="D1979" s="6" t="s">
        <v>6681</v>
      </c>
      <c r="E1979" s="6" t="s">
        <v>6682</v>
      </c>
      <c r="F1979" s="6" t="str">
        <f>HYPERLINK("http://www.valigeria-alex.com/","www.valigeria-alex.com")</f>
        <v>www.valigeria-alex.com</v>
      </c>
    </row>
    <row r="1980" spans="1:6" ht="16.95" customHeight="1" x14ac:dyDescent="0.25">
      <c r="A1980" s="1" t="s">
        <v>6684</v>
      </c>
      <c r="B1980" s="6" t="s">
        <v>6685</v>
      </c>
      <c r="C1980" s="6" t="s">
        <v>6662</v>
      </c>
      <c r="D1980" s="6" t="s">
        <v>6683</v>
      </c>
      <c r="E1980" s="6" t="s">
        <v>6661</v>
      </c>
      <c r="F1980" s="6" t="str">
        <f>HYPERLINK("http://www.diadora.it/","www.diadora.it")</f>
        <v>www.diadora.it</v>
      </c>
    </row>
    <row r="1981" spans="1:6" ht="16.95" customHeight="1" x14ac:dyDescent="0.25">
      <c r="A1981" s="5" t="s">
        <v>6689</v>
      </c>
      <c r="B1981" s="4" t="s">
        <v>6690</v>
      </c>
      <c r="C1981" s="4" t="s">
        <v>6691</v>
      </c>
      <c r="D1981" s="4" t="s">
        <v>6687</v>
      </c>
      <c r="E1981" s="4" t="s">
        <v>6688</v>
      </c>
      <c r="F1981" s="4" t="str">
        <f>HYPERLINK("http://www.diellemanifatture.it/","www.diellemanifatture.it")</f>
        <v>www.diellemanifatture.it</v>
      </c>
    </row>
    <row r="1982" spans="1:6" ht="16.95" customHeight="1" x14ac:dyDescent="0.25">
      <c r="A1982" s="1" t="s">
        <v>6692</v>
      </c>
      <c r="B1982" s="6" t="s">
        <v>6693</v>
      </c>
      <c r="C1982" s="6" t="s">
        <v>6694</v>
      </c>
      <c r="D1982" s="6" t="s">
        <v>6695</v>
      </c>
      <c r="E1982" s="6" t="s">
        <v>6696</v>
      </c>
      <c r="F1982" s="6" t="str">
        <f>HYPERLINK("http://www.selenaneilux.com/","www.selenaneilux.com")</f>
        <v>www.selenaneilux.com</v>
      </c>
    </row>
    <row r="1983" spans="1:6" ht="16.95" customHeight="1" x14ac:dyDescent="0.25">
      <c r="A1983" s="1" t="s">
        <v>6701</v>
      </c>
      <c r="B1983" s="6" t="s">
        <v>6702</v>
      </c>
      <c r="C1983" s="6" t="s">
        <v>6686</v>
      </c>
      <c r="D1983" s="6" t="s">
        <v>6699</v>
      </c>
      <c r="E1983" s="6" t="s">
        <v>6700</v>
      </c>
      <c r="F1983" s="6" t="str">
        <f>HYPERLINK("http://dynamic-cleats.it/","dynamic-cleats.it")</f>
        <v>dynamic-cleats.it</v>
      </c>
    </row>
    <row r="1984" spans="1:6" ht="29.55" customHeight="1" x14ac:dyDescent="0.25">
      <c r="A1984" s="1" t="s">
        <v>6703</v>
      </c>
      <c r="B1984" s="6" t="s">
        <v>6704</v>
      </c>
      <c r="C1984" s="6" t="s">
        <v>6694</v>
      </c>
      <c r="D1984" s="6" t="s">
        <v>6699</v>
      </c>
      <c r="E1984" s="6" t="s">
        <v>6700</v>
      </c>
      <c r="F1984" s="6" t="str">
        <f>HYPERLINK("http://www.aviasrl.it/","www.aviasrl.it")</f>
        <v>www.aviasrl.it</v>
      </c>
    </row>
    <row r="1985" spans="1:6" ht="29.55" customHeight="1" x14ac:dyDescent="0.25">
      <c r="A1985" s="1" t="s">
        <v>6706</v>
      </c>
      <c r="B1985" s="6" t="s">
        <v>6707</v>
      </c>
      <c r="C1985" s="6" t="s">
        <v>6686</v>
      </c>
      <c r="D1985" s="6" t="s">
        <v>6705</v>
      </c>
      <c r="E1985" s="6" t="s">
        <v>6697</v>
      </c>
      <c r="F1985" s="6" t="str">
        <f>HYPERLINK("http://www.carli1937.it/","www.carli1937.it")</f>
        <v>www.carli1937.it</v>
      </c>
    </row>
    <row r="1986" spans="1:6" ht="16.95" customHeight="1" x14ac:dyDescent="0.25">
      <c r="A1986" s="5" t="s">
        <v>6708</v>
      </c>
      <c r="B1986" s="4" t="s">
        <v>6709</v>
      </c>
      <c r="C1986" s="4" t="s">
        <v>6686</v>
      </c>
      <c r="D1986" s="4" t="s">
        <v>6710</v>
      </c>
      <c r="E1986" s="4" t="s">
        <v>6698</v>
      </c>
      <c r="F1986" s="4" t="str">
        <f>HYPERLINK("http://www.sebastianmilano.com/","www.sebastianmilano.com")</f>
        <v>www.sebastianmilano.com</v>
      </c>
    </row>
    <row r="1987" spans="1:6" ht="43.05" customHeight="1" x14ac:dyDescent="0.25">
      <c r="A1987" s="5" t="s">
        <v>6713</v>
      </c>
      <c r="B1987" s="4" t="s">
        <v>6714</v>
      </c>
      <c r="C1987" s="4" t="s">
        <v>6715</v>
      </c>
      <c r="D1987" s="4" t="s">
        <v>6711</v>
      </c>
      <c r="E1987" s="4" t="s">
        <v>6697</v>
      </c>
      <c r="F1987" s="4" t="str">
        <f>HYPERLINK("http://www.zingonicounters.com/","www.zingonicounters.com")</f>
        <v>www.zingonicounters.com</v>
      </c>
    </row>
    <row r="1988" spans="1:6" ht="43.05" customHeight="1" x14ac:dyDescent="0.25">
      <c r="A1988" s="1" t="s">
        <v>6716</v>
      </c>
      <c r="B1988" s="6" t="s">
        <v>6717</v>
      </c>
      <c r="C1988" s="6" t="s">
        <v>6712</v>
      </c>
      <c r="D1988" s="6" t="s">
        <v>6711</v>
      </c>
      <c r="E1988" s="6" t="s">
        <v>6697</v>
      </c>
      <c r="F1988" s="6" t="str">
        <f>HYPERLINK("http://www.bluehides.com/","www.bluehides.com")</f>
        <v>www.bluehides.com</v>
      </c>
    </row>
    <row r="1989" spans="1:6" ht="29.55" customHeight="1" x14ac:dyDescent="0.25">
      <c r="A1989" s="1" t="s">
        <v>6718</v>
      </c>
      <c r="B1989" s="6" t="s">
        <v>6719</v>
      </c>
      <c r="C1989" s="6" t="s">
        <v>6712</v>
      </c>
      <c r="D1989" s="6" t="s">
        <v>6711</v>
      </c>
      <c r="E1989" s="6" t="s">
        <v>6697</v>
      </c>
      <c r="F1989" s="6" t="str">
        <f>HYPERLINK("http://www.conceriarcm.it/","www.conceriarcm.it")</f>
        <v>www.conceriarcm.it</v>
      </c>
    </row>
    <row r="1990" spans="1:6" ht="16.95" customHeight="1" x14ac:dyDescent="0.25">
      <c r="A1990" s="5" t="s">
        <v>6723</v>
      </c>
      <c r="B1990" s="4" t="s">
        <v>6724</v>
      </c>
      <c r="C1990" s="4" t="s">
        <v>6725</v>
      </c>
      <c r="D1990" s="4" t="s">
        <v>6721</v>
      </c>
      <c r="E1990" s="4" t="s">
        <v>6722</v>
      </c>
      <c r="F1990" s="4" t="str">
        <f>HYPERLINK("http://www.lissatriceflacco.com/","www.lissatriceflacco.com")</f>
        <v>www.lissatriceflacco.com</v>
      </c>
    </row>
    <row r="1991" spans="1:6" ht="29.55" customHeight="1" x14ac:dyDescent="0.25">
      <c r="A1991" s="5" t="s">
        <v>6726</v>
      </c>
      <c r="B1991" s="4" t="s">
        <v>6727</v>
      </c>
      <c r="C1991" s="4" t="s">
        <v>6720</v>
      </c>
      <c r="D1991" s="4" t="s">
        <v>6721</v>
      </c>
      <c r="E1991" s="4" t="s">
        <v>6722</v>
      </c>
      <c r="F1991" s="4" t="str">
        <f>HYPERLINK("http://www.tuttocuoio.it/","www.tuttocuoio.it")</f>
        <v>www.tuttocuoio.it</v>
      </c>
    </row>
    <row r="1992" spans="1:6" ht="16.95" customHeight="1" x14ac:dyDescent="0.25">
      <c r="A1992" s="1" t="s">
        <v>6731</v>
      </c>
      <c r="B1992" s="6" t="s">
        <v>6732</v>
      </c>
      <c r="C1992" s="6" t="s">
        <v>6728</v>
      </c>
      <c r="D1992" s="6" t="s">
        <v>6729</v>
      </c>
      <c r="E1992" s="6" t="s">
        <v>6730</v>
      </c>
      <c r="F1992" s="6" t="str">
        <f>HYPERLINK("http://easy-shoes.it/","easy-shoes.it")</f>
        <v>easy-shoes.it</v>
      </c>
    </row>
    <row r="1993" spans="1:6" ht="29.55" customHeight="1" x14ac:dyDescent="0.25">
      <c r="A1993" s="5" t="s">
        <v>6733</v>
      </c>
      <c r="B1993" s="4" t="s">
        <v>6734</v>
      </c>
      <c r="C1993" s="4" t="s">
        <v>6728</v>
      </c>
      <c r="D1993" s="4" t="s">
        <v>6735</v>
      </c>
      <c r="E1993" s="4" t="s">
        <v>6736</v>
      </c>
      <c r="F1993" s="4" t="str">
        <f>HYPERLINK("http://maripe.com/","maripe.com")</f>
        <v>maripe.com</v>
      </c>
    </row>
    <row r="1994" spans="1:6" ht="29.55" customHeight="1" x14ac:dyDescent="0.25">
      <c r="A1994" s="5" t="s">
        <v>6741</v>
      </c>
      <c r="B1994" s="4" t="s">
        <v>6742</v>
      </c>
      <c r="C1994" s="4" t="s">
        <v>6737</v>
      </c>
      <c r="D1994" s="4" t="s">
        <v>6738</v>
      </c>
      <c r="E1994" s="4" t="s">
        <v>6739</v>
      </c>
      <c r="F1994" s="4" t="str">
        <f>HYPERLINK("http://mauro-produzione-pelletterie-srl-09022731211.quantofattura.com/","mauro-produzione-pelletterie-srl-09022731211.quantofattura.com")</f>
        <v>mauro-produzione-pelletterie-srl-09022731211.quantofattura.com</v>
      </c>
    </row>
    <row r="1995" spans="1:6" ht="16.95" customHeight="1" x14ac:dyDescent="0.25">
      <c r="A1995" s="5" t="s">
        <v>6745</v>
      </c>
      <c r="B1995" s="4" t="s">
        <v>6746</v>
      </c>
      <c r="C1995" s="4" t="s">
        <v>6743</v>
      </c>
      <c r="D1995" s="4" t="s">
        <v>6747</v>
      </c>
      <c r="E1995" s="4" t="s">
        <v>6748</v>
      </c>
      <c r="F1995" s="4" t="str">
        <f>HYPERLINK("http://www.mentietalenti.it/","www.mentietalenti.it")</f>
        <v>www.mentietalenti.it</v>
      </c>
    </row>
    <row r="1996" spans="1:6" ht="68.099999999999994" customHeight="1" x14ac:dyDescent="0.25">
      <c r="A1996" s="5" t="s">
        <v>6751</v>
      </c>
      <c r="B1996" s="4" t="s">
        <v>6752</v>
      </c>
      <c r="C1996" s="4" t="s">
        <v>6737</v>
      </c>
      <c r="D1996" s="4" t="s">
        <v>6749</v>
      </c>
      <c r="E1996" s="4" t="s">
        <v>6750</v>
      </c>
      <c r="F1996" s="4" t="str">
        <f>HYPERLINK("http://robdemilan.it/","robdemilan.it")</f>
        <v>robdemilan.it</v>
      </c>
    </row>
    <row r="1997" spans="1:6" ht="29.55" customHeight="1" x14ac:dyDescent="0.25">
      <c r="A1997" s="1" t="s">
        <v>6753</v>
      </c>
      <c r="B1997" s="6" t="s">
        <v>6754</v>
      </c>
      <c r="C1997" s="6" t="s">
        <v>6744</v>
      </c>
      <c r="D1997" s="6" t="s">
        <v>6749</v>
      </c>
      <c r="E1997" s="6" t="s">
        <v>6750</v>
      </c>
      <c r="F1997" s="6" t="str">
        <f>HYPERLINK("http://www.pelletteriaabe.com/","www.pelletteriaabe.com")</f>
        <v>www.pelletteriaabe.com</v>
      </c>
    </row>
    <row r="1998" spans="1:6" ht="16.95" customHeight="1" x14ac:dyDescent="0.25">
      <c r="A1998" s="5" t="s">
        <v>6758</v>
      </c>
      <c r="B1998" s="4" t="s">
        <v>6759</v>
      </c>
      <c r="C1998" s="4" t="s">
        <v>6740</v>
      </c>
      <c r="D1998" s="4" t="s">
        <v>6755</v>
      </c>
      <c r="E1998" s="4" t="s">
        <v>6756</v>
      </c>
      <c r="F1998" s="4" t="str">
        <f>HYPERLINK("http://www.gp-srl.it/","www.gp-srl.it")</f>
        <v>www.gp-srl.it</v>
      </c>
    </row>
    <row r="1999" spans="1:6" ht="29.55" customHeight="1" x14ac:dyDescent="0.25">
      <c r="A1999" s="5" t="s">
        <v>6760</v>
      </c>
      <c r="B1999" s="4" t="s">
        <v>6761</v>
      </c>
      <c r="C1999" s="4" t="s">
        <v>6743</v>
      </c>
      <c r="D1999" s="4" t="s">
        <v>6755</v>
      </c>
      <c r="E1999" s="4" t="s">
        <v>6756</v>
      </c>
      <c r="F1999" s="4" t="str">
        <f>HYPERLINK("http://www.fornarina.it/","www.fornarina.it")</f>
        <v>www.fornarina.it</v>
      </c>
    </row>
    <row r="2000" spans="1:6" ht="29.55" customHeight="1" x14ac:dyDescent="0.25">
      <c r="A2000" s="5" t="s">
        <v>6762</v>
      </c>
      <c r="B2000" s="4" t="s">
        <v>6763</v>
      </c>
      <c r="C2000" s="4" t="s">
        <v>6757</v>
      </c>
      <c r="D2000" s="4" t="s">
        <v>6755</v>
      </c>
      <c r="E2000" s="4" t="s">
        <v>6756</v>
      </c>
      <c r="F2000" s="4" t="str">
        <f>HYPERLINK("http://www.ctc.it/","www.ctc.it")</f>
        <v>www.ctc.it</v>
      </c>
    </row>
    <row r="2001" spans="1:6" ht="43.05" customHeight="1" x14ac:dyDescent="0.25">
      <c r="A2001" s="1" t="s">
        <v>6764</v>
      </c>
      <c r="B2001" s="6" t="s">
        <v>6765</v>
      </c>
      <c r="C2001" s="6" t="s">
        <v>6743</v>
      </c>
      <c r="D2001" s="6" t="s">
        <v>6766</v>
      </c>
      <c r="E2001" s="6" t="s">
        <v>6767</v>
      </c>
      <c r="F2001" s="6" t="str">
        <f>HYPERLINK("http://www.diciottopiu.it/","www.diciottopiu.it")</f>
        <v>www.diciottopiu.it</v>
      </c>
    </row>
    <row r="2002" spans="1:6" ht="29.55" customHeight="1" x14ac:dyDescent="0.25">
      <c r="A2002" s="5" t="s">
        <v>6770</v>
      </c>
      <c r="B2002" s="4" t="s">
        <v>6771</v>
      </c>
      <c r="C2002" s="4" t="s">
        <v>6772</v>
      </c>
      <c r="D2002" s="4" t="s">
        <v>6768</v>
      </c>
      <c r="E2002" s="4" t="s">
        <v>6769</v>
      </c>
      <c r="F2002" s="4" t="str">
        <f>HYPERLINK("http://www.tecnosuolesrl.com/","www.tecnosuolesrl.com")</f>
        <v>www.tecnosuolesrl.com</v>
      </c>
    </row>
    <row r="2003" spans="1:6" ht="29.55" customHeight="1" x14ac:dyDescent="0.25">
      <c r="A2003" s="1" t="s">
        <v>6773</v>
      </c>
      <c r="B2003" s="6" t="s">
        <v>6774</v>
      </c>
      <c r="C2003" s="6" t="s">
        <v>6775</v>
      </c>
      <c r="D2003" s="6" t="s">
        <v>6768</v>
      </c>
      <c r="E2003" s="6" t="s">
        <v>6769</v>
      </c>
      <c r="F2003" s="6" t="str">
        <f>HYPERLINK("http://www.filanto.it/","www.filanto.it")</f>
        <v>www.filanto.it</v>
      </c>
    </row>
    <row r="2004" spans="1:6" ht="29.55" customHeight="1" x14ac:dyDescent="0.25">
      <c r="A2004" s="1" t="s">
        <v>6778</v>
      </c>
      <c r="B2004" s="6" t="s">
        <v>6779</v>
      </c>
      <c r="C2004" s="6" t="s">
        <v>6775</v>
      </c>
      <c r="D2004" s="6" t="s">
        <v>6776</v>
      </c>
      <c r="E2004" s="6" t="s">
        <v>6777</v>
      </c>
      <c r="F2004" s="6" t="str">
        <f>HYPERLINK("http://www.xbaccoshoes.it/","www.xbaccoshoes.it")</f>
        <v>www.xbaccoshoes.it</v>
      </c>
    </row>
    <row r="2005" spans="1:6" ht="16.95" customHeight="1" x14ac:dyDescent="0.25">
      <c r="A2005" s="1" t="s">
        <v>6780</v>
      </c>
      <c r="B2005" s="6" t="s">
        <v>6781</v>
      </c>
      <c r="C2005" s="6" t="s">
        <v>6782</v>
      </c>
      <c r="D2005" s="6" t="s">
        <v>6783</v>
      </c>
      <c r="E2005" s="6" t="s">
        <v>6784</v>
      </c>
      <c r="F2005" s="6" t="str">
        <f>HYPERLINK("http://www.catedianagiotti.it/","www.catedianagiotti.it")</f>
        <v>www.catedianagiotti.it</v>
      </c>
    </row>
    <row r="2006" spans="1:6" ht="16.95" customHeight="1" x14ac:dyDescent="0.25">
      <c r="A2006" s="5" t="s">
        <v>6786</v>
      </c>
      <c r="B2006" s="4" t="s">
        <v>6787</v>
      </c>
      <c r="C2006" s="4" t="s">
        <v>6785</v>
      </c>
      <c r="D2006" s="4" t="s">
        <v>6783</v>
      </c>
      <c r="E2006" s="4" t="s">
        <v>6784</v>
      </c>
      <c r="F2006" s="4" t="str">
        <f>HYPERLINK("http://carlos.it/","carlos.it")</f>
        <v>carlos.it</v>
      </c>
    </row>
    <row r="2007" spans="1:6" ht="29.55" customHeight="1" x14ac:dyDescent="0.25">
      <c r="A2007" s="5" t="s">
        <v>6788</v>
      </c>
      <c r="B2007" s="4" t="s">
        <v>6789</v>
      </c>
      <c r="C2007" s="4" t="s">
        <v>6785</v>
      </c>
      <c r="D2007" s="4" t="s">
        <v>6790</v>
      </c>
      <c r="E2007" s="4" t="s">
        <v>6791</v>
      </c>
      <c r="F2007" s="4" t="str">
        <f>HYPERLINK("http://www.cardsrl.com/","www.cardsrl.com")</f>
        <v>www.cardsrl.com</v>
      </c>
    </row>
    <row r="2008" spans="1:6" ht="16.95" customHeight="1" x14ac:dyDescent="0.25">
      <c r="A2008" s="1" t="s">
        <v>6794</v>
      </c>
      <c r="B2008" s="6" t="s">
        <v>6795</v>
      </c>
      <c r="C2008" s="6" t="s">
        <v>6785</v>
      </c>
      <c r="D2008" s="6" t="s">
        <v>6792</v>
      </c>
      <c r="E2008" s="6" t="s">
        <v>6793</v>
      </c>
      <c r="F2008" s="6" t="str">
        <f>HYPERLINK("http://www.jpdavid.it/","www.jpdavid.it")</f>
        <v>www.jpdavid.it</v>
      </c>
    </row>
    <row r="2009" spans="1:6" ht="55.65" customHeight="1" x14ac:dyDescent="0.25">
      <c r="A2009" s="1" t="s">
        <v>6796</v>
      </c>
      <c r="B2009" s="6" t="s">
        <v>6797</v>
      </c>
      <c r="C2009" s="6" t="s">
        <v>6785</v>
      </c>
      <c r="D2009" s="6" t="s">
        <v>6792</v>
      </c>
      <c r="E2009" s="6" t="s">
        <v>6793</v>
      </c>
      <c r="F2009" s="6" t="str">
        <f>HYPERLINK("http://www.coraf.it/","www.coraf.it")</f>
        <v>www.coraf.it</v>
      </c>
    </row>
    <row r="2010" spans="1:6" ht="16.95" customHeight="1" x14ac:dyDescent="0.25">
      <c r="A2010" s="1" t="s">
        <v>6798</v>
      </c>
      <c r="B2010" s="6" t="s">
        <v>6799</v>
      </c>
      <c r="C2010" s="6" t="s">
        <v>6785</v>
      </c>
      <c r="D2010" s="6" t="s">
        <v>6792</v>
      </c>
      <c r="E2010" s="6" t="s">
        <v>6793</v>
      </c>
      <c r="F2010" s="6" t="str">
        <f>HYPERLINK("http://www.gi-pi.it/","www.gi-pi.it")</f>
        <v>www.gi-pi.it</v>
      </c>
    </row>
    <row r="2011" spans="1:6" ht="16.95" customHeight="1" x14ac:dyDescent="0.25">
      <c r="A2011" s="1" t="s">
        <v>6802</v>
      </c>
      <c r="B2011" s="6" t="s">
        <v>6803</v>
      </c>
      <c r="C2011" s="6" t="s">
        <v>6785</v>
      </c>
      <c r="D2011" s="6" t="s">
        <v>6800</v>
      </c>
      <c r="E2011" s="6" t="s">
        <v>6801</v>
      </c>
      <c r="F2011" s="6" t="str">
        <f>HYPERLINK("http://www.brunomagli.it/","www.brunomagli.it")</f>
        <v>www.brunomagli.it</v>
      </c>
    </row>
    <row r="2012" spans="1:6" ht="16.95" customHeight="1" x14ac:dyDescent="0.25">
      <c r="A2012" s="5" t="s">
        <v>6807</v>
      </c>
      <c r="B2012" s="4" t="s">
        <v>6808</v>
      </c>
      <c r="C2012" s="4" t="s">
        <v>6804</v>
      </c>
      <c r="D2012" s="4" t="s">
        <v>6805</v>
      </c>
      <c r="E2012" s="4" t="s">
        <v>6806</v>
      </c>
      <c r="F2012" s="4" t="str">
        <f>HYPERLINK("http://www.leatherplus.it/","www.leatherplus.it")</f>
        <v>www.leatherplus.it</v>
      </c>
    </row>
    <row r="2013" spans="1:6" ht="29.55" customHeight="1" x14ac:dyDescent="0.25">
      <c r="A2013" s="1" t="s">
        <v>6809</v>
      </c>
      <c r="B2013" s="6" t="s">
        <v>6810</v>
      </c>
      <c r="C2013" s="6" t="s">
        <v>6811</v>
      </c>
      <c r="D2013" s="6" t="s">
        <v>6805</v>
      </c>
      <c r="E2013" s="6" t="s">
        <v>6806</v>
      </c>
      <c r="F2013" s="6" t="str">
        <f>HYPERLINK("http://www.joyitalia.com/","www.joyitalia.com")</f>
        <v>www.joyitalia.com</v>
      </c>
    </row>
    <row r="2014" spans="1:6" ht="29.55" customHeight="1" x14ac:dyDescent="0.25">
      <c r="A2014" s="5" t="s">
        <v>6812</v>
      </c>
      <c r="B2014" s="4" t="s">
        <v>6813</v>
      </c>
      <c r="C2014" s="4" t="s">
        <v>6804</v>
      </c>
      <c r="D2014" s="4" t="s">
        <v>6805</v>
      </c>
      <c r="E2014" s="4" t="s">
        <v>6806</v>
      </c>
      <c r="F2014" s="4" t="str">
        <f>HYPERLINK("http://www.sevenstars.it/","www.sevenstars.it")</f>
        <v>www.sevenstars.it</v>
      </c>
    </row>
    <row r="2015" spans="1:6" ht="29.55" customHeight="1" x14ac:dyDescent="0.25">
      <c r="A2015" s="5" t="s">
        <v>6818</v>
      </c>
      <c r="B2015" s="4" t="s">
        <v>6819</v>
      </c>
      <c r="C2015" s="4" t="s">
        <v>6814</v>
      </c>
      <c r="D2015" s="4" t="s">
        <v>6817</v>
      </c>
      <c r="E2015" s="4" t="s">
        <v>6815</v>
      </c>
      <c r="F2015" s="4" t="str">
        <f>HYPERLINK("http://www.splendorplast.it/","http://www.splendorplast.it")</f>
        <v>http://www.splendorplast.it</v>
      </c>
    </row>
    <row r="2016" spans="1:6" ht="16.95" customHeight="1" x14ac:dyDescent="0.25">
      <c r="A2016" s="5" t="s">
        <v>6822</v>
      </c>
      <c r="B2016" s="4" t="s">
        <v>6823</v>
      </c>
      <c r="C2016" s="4" t="s">
        <v>6816</v>
      </c>
      <c r="D2016" s="4" t="s">
        <v>6824</v>
      </c>
      <c r="E2016" s="4" t="s">
        <v>6825</v>
      </c>
      <c r="F2016" s="4" t="str">
        <f>HYPERLINK("http://www.rossetti.it/","www.rossetti.it")</f>
        <v>www.rossetti.it</v>
      </c>
    </row>
    <row r="2017" spans="1:6" ht="16.95" customHeight="1" x14ac:dyDescent="0.25">
      <c r="A2017" s="1" t="s">
        <v>6826</v>
      </c>
      <c r="B2017" s="6" t="s">
        <v>6827</v>
      </c>
      <c r="C2017" s="6" t="s">
        <v>6816</v>
      </c>
      <c r="D2017" s="6" t="s">
        <v>6828</v>
      </c>
      <c r="E2017" s="6" t="s">
        <v>6829</v>
      </c>
      <c r="F2017" s="6" t="str">
        <f>HYPERLINK("http://www.diesel.com/","www.diesel.com")</f>
        <v>www.diesel.com</v>
      </c>
    </row>
    <row r="2018" spans="1:6" ht="16.95" customHeight="1" x14ac:dyDescent="0.25">
      <c r="A2018" s="1" t="s">
        <v>6830</v>
      </c>
      <c r="B2018" s="6" t="s">
        <v>6831</v>
      </c>
      <c r="C2018" s="6" t="s">
        <v>6816</v>
      </c>
      <c r="D2018" s="6" t="s">
        <v>6820</v>
      </c>
      <c r="E2018" s="6" t="s">
        <v>6821</v>
      </c>
      <c r="F2018" s="6" t="str">
        <f>HYPERLINK("http://www.bromasrl.it/","www.bromasrl.it")</f>
        <v>www.bromasrl.it</v>
      </c>
    </row>
    <row r="2019" spans="1:6" ht="29.55" customHeight="1" x14ac:dyDescent="0.25">
      <c r="A2019" s="5" t="s">
        <v>6832</v>
      </c>
      <c r="B2019" s="4" t="s">
        <v>6833</v>
      </c>
      <c r="C2019" s="4" t="s">
        <v>6804</v>
      </c>
      <c r="D2019" s="4" t="s">
        <v>6834</v>
      </c>
      <c r="E2019" s="4" t="s">
        <v>6835</v>
      </c>
      <c r="F2019" s="4" t="str">
        <f>HYPERLINK("http://www.italianleathergroup.it/","www.italianleathergroup.it")</f>
        <v>www.italianleathergroup.it</v>
      </c>
    </row>
    <row r="2020" spans="1:6" ht="16.95" customHeight="1" x14ac:dyDescent="0.25">
      <c r="A2020" s="1" t="s">
        <v>6836</v>
      </c>
      <c r="B2020" s="6" t="s">
        <v>6837</v>
      </c>
      <c r="C2020" s="6" t="s">
        <v>6804</v>
      </c>
      <c r="D2020" s="6" t="s">
        <v>6838</v>
      </c>
      <c r="E2020" s="6" t="s">
        <v>6821</v>
      </c>
      <c r="F2020" s="6" t="str">
        <f>HYPERLINK("http://www.thecutproduction.it/","www.thecutproduction.it")</f>
        <v>www.thecutproduction.it</v>
      </c>
    </row>
    <row r="2021" spans="1:6" ht="16.95" customHeight="1" x14ac:dyDescent="0.25">
      <c r="A2021" s="5" t="s">
        <v>6839</v>
      </c>
      <c r="B2021" s="4" t="s">
        <v>6840</v>
      </c>
      <c r="C2021" s="4" t="s">
        <v>6816</v>
      </c>
      <c r="D2021" s="4" t="s">
        <v>6841</v>
      </c>
      <c r="E2021" s="4" t="s">
        <v>6829</v>
      </c>
      <c r="F2021" s="4" t="str">
        <f>HYPERLINK("http://www.salmasovenezia.it/","www.salmasovenezia.it")</f>
        <v>www.salmasovenezia.it</v>
      </c>
    </row>
    <row r="2022" spans="1:6" ht="16.95" customHeight="1" x14ac:dyDescent="0.25">
      <c r="A2022" s="5" t="s">
        <v>6842</v>
      </c>
      <c r="B2022" s="4" t="s">
        <v>6843</v>
      </c>
      <c r="C2022" s="4" t="s">
        <v>6816</v>
      </c>
      <c r="D2022" s="4" t="s">
        <v>6844</v>
      </c>
      <c r="E2022" s="4" t="s">
        <v>6815</v>
      </c>
      <c r="F2022" s="4" t="str">
        <f>HYPERLINK("http://www.fabigroup.it/","www.fabigroup.it")</f>
        <v>www.fabigroup.it</v>
      </c>
    </row>
    <row r="2023" spans="1:6" ht="16.95" customHeight="1" x14ac:dyDescent="0.25">
      <c r="A2023" s="1" t="s">
        <v>6849</v>
      </c>
      <c r="B2023" s="6" t="s">
        <v>6850</v>
      </c>
      <c r="C2023" s="6" t="s">
        <v>6851</v>
      </c>
      <c r="D2023" s="6" t="s">
        <v>6852</v>
      </c>
      <c r="E2023" s="6" t="s">
        <v>6848</v>
      </c>
      <c r="F2023" s="6" t="str">
        <f>HYPERLINK("http://calicantoluxurybags.it/","calicantoluxurybags.it")</f>
        <v>calicantoluxurybags.it</v>
      </c>
    </row>
    <row r="2024" spans="1:6" ht="16.95" customHeight="1" x14ac:dyDescent="0.25">
      <c r="A2024" s="5" t="s">
        <v>6853</v>
      </c>
      <c r="B2024" s="4" t="s">
        <v>6854</v>
      </c>
      <c r="C2024" s="4" t="s">
        <v>6855</v>
      </c>
      <c r="D2024" s="4" t="s">
        <v>6852</v>
      </c>
      <c r="E2024" s="4" t="s">
        <v>6848</v>
      </c>
      <c r="F2024" s="4" t="str">
        <f>HYPERLINK("http://www.suolalfa.it/","www.suolalfa.it")</f>
        <v>www.suolalfa.it</v>
      </c>
    </row>
    <row r="2025" spans="1:6" ht="16.95" customHeight="1" x14ac:dyDescent="0.25">
      <c r="A2025" s="1" t="s">
        <v>6856</v>
      </c>
      <c r="B2025" s="6" t="s">
        <v>6857</v>
      </c>
      <c r="C2025" s="6" t="s">
        <v>6845</v>
      </c>
      <c r="D2025" s="6" t="s">
        <v>6858</v>
      </c>
      <c r="E2025" s="6" t="s">
        <v>6847</v>
      </c>
      <c r="F2025" s="6" t="str">
        <f>HYPERLINK("http://www.toscano.it/","www.toscano.it")</f>
        <v>www.toscano.it</v>
      </c>
    </row>
    <row r="2026" spans="1:6" ht="16.95" customHeight="1" x14ac:dyDescent="0.25">
      <c r="A2026" s="1" t="s">
        <v>6859</v>
      </c>
      <c r="B2026" s="6" t="s">
        <v>6860</v>
      </c>
      <c r="C2026" s="6" t="s">
        <v>6861</v>
      </c>
      <c r="D2026" s="6" t="s">
        <v>6862</v>
      </c>
      <c r="E2026" s="6" t="s">
        <v>6847</v>
      </c>
      <c r="F2026" s="6" t="str">
        <f>HYPERLINK("http://www.theflexx.com/","www.theflexx.com")</f>
        <v>www.theflexx.com</v>
      </c>
    </row>
    <row r="2027" spans="1:6" ht="29.55" customHeight="1" x14ac:dyDescent="0.25">
      <c r="A2027" s="5" t="s">
        <v>6863</v>
      </c>
      <c r="B2027" s="4" t="s">
        <v>6864</v>
      </c>
      <c r="C2027" s="4" t="s">
        <v>6846</v>
      </c>
      <c r="D2027" s="4" t="s">
        <v>6865</v>
      </c>
      <c r="E2027" s="4" t="s">
        <v>6866</v>
      </c>
      <c r="F2027" s="4" t="str">
        <f>HYPERLINK("http://www.ottierre.it/","www.ottierre.it")</f>
        <v>www.ottierre.it</v>
      </c>
    </row>
    <row r="2028" spans="1:6" ht="16.95" customHeight="1" x14ac:dyDescent="0.25">
      <c r="A2028" s="1" t="s">
        <v>6868</v>
      </c>
      <c r="B2028" s="6" t="s">
        <v>6869</v>
      </c>
      <c r="C2028" s="6" t="s">
        <v>6851</v>
      </c>
      <c r="D2028" s="6" t="s">
        <v>6867</v>
      </c>
      <c r="E2028" s="6" t="s">
        <v>6848</v>
      </c>
      <c r="F2028" s="6" t="str">
        <f>HYPERLINK("http://www.carreraaccessori.it/","www.carreraaccessori.it")</f>
        <v>www.carreraaccessori.it</v>
      </c>
    </row>
    <row r="2029" spans="1:6" ht="16.95" customHeight="1" x14ac:dyDescent="0.25">
      <c r="A2029" s="5" t="s">
        <v>6872</v>
      </c>
      <c r="B2029" s="4" t="s">
        <v>6873</v>
      </c>
      <c r="C2029" s="4" t="s">
        <v>6870</v>
      </c>
      <c r="D2029" s="4" t="s">
        <v>6874</v>
      </c>
      <c r="E2029" s="4" t="s">
        <v>6875</v>
      </c>
      <c r="F2029" s="4" t="str">
        <f>HYPERLINK("http://www.ideacalzature.it/","www.ideacalzature.it")</f>
        <v>www.ideacalzature.it</v>
      </c>
    </row>
    <row r="2030" spans="1:6" ht="16.95" customHeight="1" x14ac:dyDescent="0.25">
      <c r="A2030" s="1" t="s">
        <v>6877</v>
      </c>
      <c r="B2030" s="6" t="s">
        <v>6878</v>
      </c>
      <c r="C2030" s="6" t="s">
        <v>6870</v>
      </c>
      <c r="D2030" s="6" t="s">
        <v>6876</v>
      </c>
      <c r="E2030" s="6" t="s">
        <v>6871</v>
      </c>
      <c r="F2030" s="6" t="str">
        <f>HYPERLINK("http://www.effegishoes.it/","www.effegishoes.it")</f>
        <v>www.effegishoes.it</v>
      </c>
    </row>
    <row r="2031" spans="1:6" ht="16.95" customHeight="1" x14ac:dyDescent="0.25">
      <c r="A2031" s="1" t="s">
        <v>6881</v>
      </c>
      <c r="B2031" s="6" t="s">
        <v>6882</v>
      </c>
      <c r="C2031" s="6" t="s">
        <v>6880</v>
      </c>
      <c r="D2031" s="6" t="s">
        <v>6883</v>
      </c>
      <c r="E2031" s="6" t="s">
        <v>6879</v>
      </c>
      <c r="F2031" s="6" t="str">
        <f>HYPERLINK("http://www.tastesrl.it/","www.tastesrl.it")</f>
        <v>www.tastesrl.it</v>
      </c>
    </row>
    <row r="2032" spans="1:6" ht="16.95" customHeight="1" x14ac:dyDescent="0.25">
      <c r="A2032" s="1" t="s">
        <v>6884</v>
      </c>
      <c r="B2032" s="6" t="s">
        <v>6885</v>
      </c>
      <c r="C2032" s="6" t="s">
        <v>6870</v>
      </c>
      <c r="D2032" s="6" t="s">
        <v>6886</v>
      </c>
      <c r="E2032" s="6" t="s">
        <v>6871</v>
      </c>
      <c r="F2032" s="6" t="str">
        <f>HYPERLINK("http://www.hidnander.com/","www.hidnander.com")</f>
        <v>www.hidnander.com</v>
      </c>
    </row>
    <row r="2033" spans="1:6" ht="16.95" customHeight="1" x14ac:dyDescent="0.25">
      <c r="A2033" s="5" t="s">
        <v>6887</v>
      </c>
      <c r="B2033" s="4" t="s">
        <v>6888</v>
      </c>
      <c r="C2033" s="4" t="s">
        <v>6889</v>
      </c>
      <c r="D2033" s="4" t="s">
        <v>6890</v>
      </c>
      <c r="E2033" s="4" t="s">
        <v>6891</v>
      </c>
      <c r="F2033" s="4" t="str">
        <f>HYPERLINK("http://www.idealsuole.it/","http://www.idealsuole.it")</f>
        <v>http://www.idealsuole.it</v>
      </c>
    </row>
    <row r="2034" spans="1:6" ht="16.95" customHeight="1" x14ac:dyDescent="0.25">
      <c r="A2034" s="5" t="s">
        <v>6893</v>
      </c>
      <c r="B2034" s="4" t="s">
        <v>6894</v>
      </c>
      <c r="C2034" s="4" t="s">
        <v>6895</v>
      </c>
      <c r="D2034" s="4" t="s">
        <v>6890</v>
      </c>
      <c r="E2034" s="4" t="s">
        <v>6891</v>
      </c>
      <c r="F2034" s="4" t="str">
        <f>HYPERLINK("http://abocca.co/","abocca.co")</f>
        <v>abocca.co</v>
      </c>
    </row>
    <row r="2035" spans="1:6" ht="29.55" customHeight="1" x14ac:dyDescent="0.25">
      <c r="A2035" s="1" t="s">
        <v>6897</v>
      </c>
      <c r="B2035" s="6" t="s">
        <v>6898</v>
      </c>
      <c r="C2035" s="6" t="s">
        <v>6899</v>
      </c>
      <c r="D2035" s="6" t="s">
        <v>6896</v>
      </c>
      <c r="E2035" s="6" t="s">
        <v>6891</v>
      </c>
      <c r="F2035" s="6" t="str">
        <f>HYPERLINK("http://www.redwoodshoes.it/","www.redwoodshoes.it")</f>
        <v>www.redwoodshoes.it</v>
      </c>
    </row>
    <row r="2036" spans="1:6" ht="16.95" customHeight="1" x14ac:dyDescent="0.25">
      <c r="A2036" s="5" t="s">
        <v>6900</v>
      </c>
      <c r="B2036" s="4" t="s">
        <v>6901</v>
      </c>
      <c r="C2036" s="4" t="s">
        <v>6892</v>
      </c>
      <c r="D2036" s="4" t="s">
        <v>6902</v>
      </c>
      <c r="E2036" s="4" t="s">
        <v>6903</v>
      </c>
      <c r="F2036" s="4" t="str">
        <f>HYPERLINK("http://www.savoda.it/","www.savoda.it")</f>
        <v>www.savoda.it</v>
      </c>
    </row>
    <row r="2037" spans="1:6" ht="16.95" customHeight="1" x14ac:dyDescent="0.25">
      <c r="A2037" s="1" t="s">
        <v>6904</v>
      </c>
      <c r="B2037" s="6" t="s">
        <v>6905</v>
      </c>
      <c r="C2037" s="6" t="s">
        <v>6895</v>
      </c>
      <c r="D2037" s="6" t="s">
        <v>6890</v>
      </c>
      <c r="E2037" s="6" t="s">
        <v>6891</v>
      </c>
      <c r="F2037" s="6" t="str">
        <f>HYPERLINK("http://www.formentini.it/","www.formentini.it")</f>
        <v>www.formentini.it</v>
      </c>
    </row>
    <row r="2038" spans="1:6" ht="16.95" customHeight="1" x14ac:dyDescent="0.25">
      <c r="A2038" s="1" t="s">
        <v>6910</v>
      </c>
      <c r="B2038" s="6" t="s">
        <v>6911</v>
      </c>
      <c r="C2038" s="6" t="s">
        <v>6907</v>
      </c>
      <c r="D2038" s="6" t="s">
        <v>6908</v>
      </c>
      <c r="E2038" s="6" t="s">
        <v>6909</v>
      </c>
      <c r="F2038" s="6" t="str">
        <f>HYPERLINK("http://www.tranceriavaltenna.it/","www.tranceriavaltenna.it")</f>
        <v>www.tranceriavaltenna.it</v>
      </c>
    </row>
    <row r="2039" spans="1:6" ht="16.95" customHeight="1" x14ac:dyDescent="0.25">
      <c r="A2039" s="1" t="s">
        <v>6915</v>
      </c>
      <c r="B2039" s="6" t="s">
        <v>6916</v>
      </c>
      <c r="C2039" s="6" t="s">
        <v>6914</v>
      </c>
      <c r="D2039" s="6" t="s">
        <v>6917</v>
      </c>
      <c r="E2039" s="6" t="s">
        <v>6918</v>
      </c>
      <c r="F2039" s="6" t="str">
        <f>HYPERLINK("http://nannini.it/","nannini.it")</f>
        <v>nannini.it</v>
      </c>
    </row>
    <row r="2040" spans="1:6" ht="16.95" customHeight="1" x14ac:dyDescent="0.25">
      <c r="A2040" s="1" t="s">
        <v>6919</v>
      </c>
      <c r="B2040" s="6" t="s">
        <v>6920</v>
      </c>
      <c r="C2040" s="6" t="s">
        <v>6906</v>
      </c>
      <c r="D2040" s="6" t="s">
        <v>6921</v>
      </c>
      <c r="E2040" s="6" t="s">
        <v>6909</v>
      </c>
      <c r="F2040" s="6" t="str">
        <f>HYPERLINK("http://www.2hbdanceshoes.com/","www.2hbdanceshoes.com")</f>
        <v>www.2hbdanceshoes.com</v>
      </c>
    </row>
    <row r="2041" spans="1:6" ht="16.95" customHeight="1" x14ac:dyDescent="0.25">
      <c r="A2041" s="5" t="s">
        <v>6922</v>
      </c>
      <c r="B2041" s="4" t="s">
        <v>6923</v>
      </c>
      <c r="C2041" s="4" t="s">
        <v>6906</v>
      </c>
      <c r="D2041" s="4" t="s">
        <v>6924</v>
      </c>
      <c r="E2041" s="4" t="s">
        <v>6925</v>
      </c>
      <c r="F2041" s="4" t="str">
        <f>HYPERLINK("http://www.calzaturificiocimici.it/","www.calzaturificiocimici.it")</f>
        <v>www.calzaturificiocimici.it</v>
      </c>
    </row>
    <row r="2042" spans="1:6" ht="16.95" customHeight="1" x14ac:dyDescent="0.25">
      <c r="A2042" s="1" t="s">
        <v>6926</v>
      </c>
      <c r="B2042" s="6" t="s">
        <v>6927</v>
      </c>
      <c r="C2042" s="6" t="s">
        <v>6906</v>
      </c>
      <c r="D2042" s="6" t="s">
        <v>6912</v>
      </c>
      <c r="E2042" s="6" t="s">
        <v>6913</v>
      </c>
      <c r="F2042" s="6" t="str">
        <f>HYPERLINK("http://www.nebulonie.com/","www.nebulonie.com")</f>
        <v>www.nebulonie.com</v>
      </c>
    </row>
    <row r="2043" spans="1:6" ht="29.55" customHeight="1" x14ac:dyDescent="0.25">
      <c r="A2043" s="5" t="s">
        <v>6928</v>
      </c>
      <c r="B2043" s="4" t="s">
        <v>6929</v>
      </c>
      <c r="C2043" s="4" t="s">
        <v>6906</v>
      </c>
      <c r="D2043" s="4" t="s">
        <v>6921</v>
      </c>
      <c r="E2043" s="4" t="s">
        <v>6909</v>
      </c>
      <c r="F2043" s="4" t="str">
        <f>HYPERLINK("http://www.ipak.it/","www.ipak.it")</f>
        <v>www.ipak.it</v>
      </c>
    </row>
    <row r="2044" spans="1:6" ht="29.55" customHeight="1" x14ac:dyDescent="0.25">
      <c r="A2044" s="5" t="s">
        <v>6931</v>
      </c>
      <c r="B2044" s="4" t="s">
        <v>6932</v>
      </c>
      <c r="C2044" s="4" t="s">
        <v>6930</v>
      </c>
      <c r="D2044" s="4" t="s">
        <v>6933</v>
      </c>
      <c r="E2044" s="4" t="s">
        <v>6918</v>
      </c>
      <c r="F2044" s="4" t="str">
        <f>HYPERLINK("http://www.brenda.it/","http://www.brenda.it")</f>
        <v>http://www.brenda.it</v>
      </c>
    </row>
    <row r="2045" spans="1:6" ht="16.95" customHeight="1" x14ac:dyDescent="0.25">
      <c r="A2045" s="5" t="s">
        <v>6934</v>
      </c>
      <c r="B2045" s="4" t="s">
        <v>6935</v>
      </c>
      <c r="C2045" s="4" t="s">
        <v>6936</v>
      </c>
      <c r="D2045" s="4" t="s">
        <v>6937</v>
      </c>
      <c r="E2045" s="4" t="s">
        <v>6938</v>
      </c>
      <c r="F2045" s="4" t="str">
        <f>HYPERLINK("http://www.cmp-bags.it/","www.cmp-bags.it")</f>
        <v>www.cmp-bags.it</v>
      </c>
    </row>
    <row r="2046" spans="1:6" ht="29.55" customHeight="1" x14ac:dyDescent="0.25">
      <c r="A2046" s="1" t="s">
        <v>6939</v>
      </c>
      <c r="B2046" s="6" t="s">
        <v>6940</v>
      </c>
      <c r="C2046" s="6" t="s">
        <v>6941</v>
      </c>
      <c r="D2046" s="6" t="s">
        <v>6942</v>
      </c>
      <c r="E2046" s="6" t="s">
        <v>6943</v>
      </c>
      <c r="F2046" s="6" t="str">
        <f>HYPERLINK("http://www.sangiustese2a.it/","www.sangiustese2a.it")</f>
        <v>www.sangiustese2a.it</v>
      </c>
    </row>
    <row r="2047" spans="1:6" ht="16.95" customHeight="1" x14ac:dyDescent="0.25">
      <c r="A2047" s="5" t="s">
        <v>6946</v>
      </c>
      <c r="B2047" s="4" t="s">
        <v>6947</v>
      </c>
      <c r="C2047" s="4" t="s">
        <v>6941</v>
      </c>
      <c r="D2047" s="4" t="s">
        <v>6948</v>
      </c>
      <c r="E2047" s="4" t="s">
        <v>6943</v>
      </c>
      <c r="F2047" s="4" t="str">
        <f>HYPERLINK("http://www.aelleenmode.it/","www.aelleenmode.it")</f>
        <v>www.aelleenmode.it</v>
      </c>
    </row>
    <row r="2048" spans="1:6" ht="16.95" customHeight="1" x14ac:dyDescent="0.25">
      <c r="A2048" s="1" t="s">
        <v>6949</v>
      </c>
      <c r="B2048" s="6" t="s">
        <v>6950</v>
      </c>
      <c r="C2048" s="6" t="s">
        <v>6941</v>
      </c>
      <c r="D2048" s="6" t="s">
        <v>6951</v>
      </c>
      <c r="E2048" s="6" t="s">
        <v>6945</v>
      </c>
      <c r="F2048" s="6" t="str">
        <f>HYPERLINK("http://www.viadelleville.it/","www.viadelleville.it")</f>
        <v>www.viadelleville.it</v>
      </c>
    </row>
    <row r="2049" spans="1:6" ht="16.95" customHeight="1" x14ac:dyDescent="0.25">
      <c r="A2049" s="5" t="s">
        <v>6953</v>
      </c>
      <c r="B2049" s="4" t="s">
        <v>6954</v>
      </c>
      <c r="C2049" s="4" t="s">
        <v>6941</v>
      </c>
      <c r="D2049" s="4" t="s">
        <v>6955</v>
      </c>
      <c r="E2049" s="4" t="s">
        <v>6944</v>
      </c>
      <c r="F2049" s="4" t="str">
        <f>HYPERLINK("http://www.viamercanti.it/","www.viamercanti.it")</f>
        <v>www.viamercanti.it</v>
      </c>
    </row>
    <row r="2050" spans="1:6" ht="16.95" customHeight="1" x14ac:dyDescent="0.25">
      <c r="A2050" s="5" t="s">
        <v>6956</v>
      </c>
      <c r="B2050" s="4" t="s">
        <v>6957</v>
      </c>
      <c r="C2050" s="4" t="s">
        <v>6941</v>
      </c>
      <c r="D2050" s="4" t="s">
        <v>6952</v>
      </c>
      <c r="E2050" s="4" t="s">
        <v>6944</v>
      </c>
      <c r="F2050" s="4" t="str">
        <f>HYPERLINK("http://jeroldwilton.it/","jeroldwilton.it")</f>
        <v>jeroldwilton.it</v>
      </c>
    </row>
    <row r="2051" spans="1:6" ht="16.95" customHeight="1" x14ac:dyDescent="0.25">
      <c r="A2051" s="1" t="s">
        <v>6958</v>
      </c>
      <c r="B2051" s="6" t="s">
        <v>6959</v>
      </c>
      <c r="C2051" s="6" t="s">
        <v>6941</v>
      </c>
      <c r="D2051" s="6" t="s">
        <v>6942</v>
      </c>
      <c r="E2051" s="6" t="s">
        <v>6943</v>
      </c>
      <c r="F2051" s="6" t="str">
        <f>HYPERLINK("http://www.erikarocchi.it/","www.erikarocchi.it")</f>
        <v>www.erikarocchi.it</v>
      </c>
    </row>
    <row r="2052" spans="1:6" ht="16.95" customHeight="1" x14ac:dyDescent="0.25">
      <c r="A2052" s="5" t="s">
        <v>6960</v>
      </c>
      <c r="B2052" s="4" t="s">
        <v>6961</v>
      </c>
      <c r="C2052" s="4" t="s">
        <v>6936</v>
      </c>
      <c r="D2052" s="4" t="s">
        <v>6962</v>
      </c>
      <c r="E2052" s="4" t="s">
        <v>6943</v>
      </c>
      <c r="F2052" s="4" t="str">
        <f>HYPERLINK("http://www.pieroguidi.it/","www.pieroguidi.it")</f>
        <v>www.pieroguidi.it</v>
      </c>
    </row>
    <row r="2053" spans="1:6" ht="29.55" customHeight="1" x14ac:dyDescent="0.25">
      <c r="A2053" s="1" t="s">
        <v>6968</v>
      </c>
      <c r="B2053" s="6" t="s">
        <v>6969</v>
      </c>
      <c r="C2053" s="6" t="s">
        <v>6964</v>
      </c>
      <c r="D2053" s="6" t="s">
        <v>6965</v>
      </c>
      <c r="E2053" s="6" t="s">
        <v>6966</v>
      </c>
      <c r="F2053" s="6" t="str">
        <f>HYPERLINK("http://www.tavares.it/","www.tavares.it")</f>
        <v>www.tavares.it</v>
      </c>
    </row>
    <row r="2054" spans="1:6" ht="16.95" customHeight="1" x14ac:dyDescent="0.25">
      <c r="A2054" s="5" t="s">
        <v>6970</v>
      </c>
      <c r="B2054" s="4" t="s">
        <v>6971</v>
      </c>
      <c r="C2054" s="4" t="s">
        <v>6972</v>
      </c>
      <c r="D2054" s="4" t="s">
        <v>6973</v>
      </c>
      <c r="E2054" s="4" t="s">
        <v>6966</v>
      </c>
      <c r="F2054" s="4" t="str">
        <f>HYPERLINK("http://www.silveredegroup.com/","www.silveredegroup.com")</f>
        <v>www.silveredegroup.com</v>
      </c>
    </row>
    <row r="2055" spans="1:6" ht="29.55" customHeight="1" x14ac:dyDescent="0.25">
      <c r="A2055" s="1" t="s">
        <v>6974</v>
      </c>
      <c r="B2055" s="6" t="s">
        <v>6975</v>
      </c>
      <c r="C2055" s="6" t="s">
        <v>6967</v>
      </c>
      <c r="D2055" s="6" t="s">
        <v>6976</v>
      </c>
      <c r="E2055" s="6" t="s">
        <v>6963</v>
      </c>
      <c r="F2055" s="6" t="str">
        <f>HYPERLINK("http://www.gasgroupsrl.it/","www.gasgroupsrl.it")</f>
        <v>www.gasgroupsrl.it</v>
      </c>
    </row>
    <row r="2056" spans="1:6" ht="16.95" customHeight="1" x14ac:dyDescent="0.25">
      <c r="A2056" s="1" t="s">
        <v>6977</v>
      </c>
      <c r="B2056" s="6" t="s">
        <v>6978</v>
      </c>
      <c r="C2056" s="6" t="s">
        <v>6964</v>
      </c>
      <c r="D2056" s="6" t="s">
        <v>6979</v>
      </c>
      <c r="E2056" s="6" t="s">
        <v>6963</v>
      </c>
      <c r="F2056" s="6" t="str">
        <f>HYPERLINK("http://www.lartigianaviareggina.it/","www.lartigianaviareggina.it")</f>
        <v>www.lartigianaviareggina.it</v>
      </c>
    </row>
    <row r="2057" spans="1:6" ht="29.55" customHeight="1" x14ac:dyDescent="0.25">
      <c r="A2057" s="1" t="s">
        <v>6983</v>
      </c>
      <c r="B2057" s="6" t="s">
        <v>6984</v>
      </c>
      <c r="C2057" s="6" t="s">
        <v>6980</v>
      </c>
      <c r="D2057" s="6" t="s">
        <v>6981</v>
      </c>
      <c r="E2057" s="6" t="s">
        <v>6982</v>
      </c>
      <c r="F2057" s="6" t="str">
        <f>HYPERLINK("http://www.lavorazionepellamicentanni.it/","www.lavorazionepellamicentanni.it")</f>
        <v>www.lavorazionepellamicentanni.it</v>
      </c>
    </row>
    <row r="2058" spans="1:6" ht="16.95" customHeight="1" x14ac:dyDescent="0.25">
      <c r="A2058" s="5" t="s">
        <v>6986</v>
      </c>
      <c r="B2058" s="4" t="s">
        <v>6987</v>
      </c>
      <c r="C2058" s="4" t="s">
        <v>6988</v>
      </c>
      <c r="D2058" s="4" t="s">
        <v>6989</v>
      </c>
      <c r="E2058" s="4" t="s">
        <v>6990</v>
      </c>
      <c r="F2058" s="4" t="str">
        <f>HYPERLINK("http://www.piepelletteria.it/","www.piepelletteria.it")</f>
        <v>www.piepelletteria.it</v>
      </c>
    </row>
    <row r="2059" spans="1:6" ht="29.55" customHeight="1" x14ac:dyDescent="0.25">
      <c r="A2059" s="5" t="s">
        <v>6993</v>
      </c>
      <c r="B2059" s="4" t="s">
        <v>6994</v>
      </c>
      <c r="C2059" s="4" t="s">
        <v>6985</v>
      </c>
      <c r="D2059" s="4" t="s">
        <v>6995</v>
      </c>
      <c r="E2059" s="4" t="s">
        <v>6992</v>
      </c>
      <c r="F2059" s="4" t="str">
        <f>HYPERLINK("http://www.ortopediapicenaap.it/","www.ortopediapicenaap.it")</f>
        <v>www.ortopediapicenaap.it</v>
      </c>
    </row>
    <row r="2060" spans="1:6" ht="16.95" customHeight="1" x14ac:dyDescent="0.25">
      <c r="A2060" s="1" t="s">
        <v>6996</v>
      </c>
      <c r="B2060" s="6" t="s">
        <v>6997</v>
      </c>
      <c r="C2060" s="6" t="s">
        <v>6988</v>
      </c>
      <c r="D2060" s="6" t="s">
        <v>6998</v>
      </c>
      <c r="E2060" s="6" t="s">
        <v>6991</v>
      </c>
      <c r="F2060" s="6" t="str">
        <f>HYPERLINK("http://pelletteria2a.it/","pelletteria2a.it")</f>
        <v>pelletteria2a.it</v>
      </c>
    </row>
    <row r="2061" spans="1:6" ht="16.95" customHeight="1" x14ac:dyDescent="0.25">
      <c r="A2061" s="5" t="s">
        <v>6999</v>
      </c>
      <c r="B2061" s="4" t="s">
        <v>7000</v>
      </c>
      <c r="C2061" s="4" t="s">
        <v>6988</v>
      </c>
      <c r="D2061" s="4" t="s">
        <v>7001</v>
      </c>
      <c r="E2061" s="4" t="s">
        <v>7002</v>
      </c>
      <c r="F2061" s="4" t="str">
        <f>HYPERLINK("http://www.ilcinturino.it/","www.ilcinturino.it")</f>
        <v>www.ilcinturino.it</v>
      </c>
    </row>
    <row r="2062" spans="1:6" ht="43.05" customHeight="1" x14ac:dyDescent="0.25">
      <c r="A2062" s="1" t="s">
        <v>7007</v>
      </c>
      <c r="B2062" s="6" t="s">
        <v>7008</v>
      </c>
      <c r="C2062" s="6" t="s">
        <v>7005</v>
      </c>
      <c r="D2062" s="6" t="s">
        <v>7009</v>
      </c>
      <c r="E2062" s="6" t="s">
        <v>7010</v>
      </c>
      <c r="F2062" s="6" t="str">
        <f>HYPERLINK("http://www.danieletentishoes.it/","www.danieletentishoes.it")</f>
        <v>www.danieletentishoes.it</v>
      </c>
    </row>
    <row r="2063" spans="1:6" ht="16.95" customHeight="1" x14ac:dyDescent="0.25">
      <c r="A2063" s="5" t="s">
        <v>7011</v>
      </c>
      <c r="B2063" s="4" t="s">
        <v>7012</v>
      </c>
      <c r="C2063" s="4" t="s">
        <v>7013</v>
      </c>
      <c r="D2063" s="4" t="s">
        <v>7014</v>
      </c>
      <c r="E2063" s="4" t="s">
        <v>7006</v>
      </c>
      <c r="F2063" s="4" t="str">
        <f>HYPERLINK("http://www.suolificioormasrl.com/","www.suolificioormasrl.com")</f>
        <v>www.suolificioormasrl.com</v>
      </c>
    </row>
    <row r="2064" spans="1:6" ht="16.95" customHeight="1" x14ac:dyDescent="0.25">
      <c r="A2064" s="5" t="s">
        <v>7017</v>
      </c>
      <c r="B2064" s="4" t="s">
        <v>7018</v>
      </c>
      <c r="C2064" s="4" t="s">
        <v>7005</v>
      </c>
      <c r="D2064" s="4" t="s">
        <v>7003</v>
      </c>
      <c r="E2064" s="4" t="s">
        <v>7004</v>
      </c>
      <c r="F2064" s="4" t="str">
        <f>HYPERLINK("http://www.sax-shoes.com/","www.sax-shoes.com")</f>
        <v>www.sax-shoes.com</v>
      </c>
    </row>
    <row r="2065" spans="1:6" ht="43.05" customHeight="1" x14ac:dyDescent="0.25">
      <c r="A2065" s="1" t="s">
        <v>7019</v>
      </c>
      <c r="B2065" s="6" t="s">
        <v>7020</v>
      </c>
      <c r="C2065" s="6" t="s">
        <v>7005</v>
      </c>
      <c r="D2065" s="6" t="s">
        <v>7015</v>
      </c>
      <c r="E2065" s="6" t="s">
        <v>7016</v>
      </c>
      <c r="F2065" s="6" t="str">
        <f>HYPERLINK("http://www.calzaturificiobeb.com/","www.calzaturificiobeb.com")</f>
        <v>www.calzaturificiobeb.com</v>
      </c>
    </row>
    <row r="2066" spans="1:6" ht="16.95" customHeight="1" x14ac:dyDescent="0.25">
      <c r="A2066" s="5" t="s">
        <v>7021</v>
      </c>
      <c r="B2066" s="4" t="s">
        <v>7022</v>
      </c>
      <c r="C2066" s="4" t="s">
        <v>7013</v>
      </c>
      <c r="D2066" s="4" t="s">
        <v>7023</v>
      </c>
      <c r="E2066" s="4" t="s">
        <v>7024</v>
      </c>
      <c r="F2066" s="4" t="str">
        <f>HYPERLINK("http://www.adelaidesrl.com/","www.adelaidesrl.com")</f>
        <v>www.adelaidesrl.com</v>
      </c>
    </row>
    <row r="2067" spans="1:6" ht="16.95" customHeight="1" x14ac:dyDescent="0.25">
      <c r="A2067" s="1" t="s">
        <v>7030</v>
      </c>
      <c r="B2067" s="6" t="s">
        <v>7031</v>
      </c>
      <c r="C2067" s="6" t="s">
        <v>7027</v>
      </c>
      <c r="D2067" s="6" t="s">
        <v>7032</v>
      </c>
      <c r="E2067" s="6" t="s">
        <v>7028</v>
      </c>
      <c r="F2067" s="6" t="str">
        <f>HYPERLINK("http://www.vladishoes.it/","www.vladishoes.it")</f>
        <v>www.vladishoes.it</v>
      </c>
    </row>
    <row r="2068" spans="1:6" ht="16.95" customHeight="1" x14ac:dyDescent="0.25">
      <c r="A2068" s="5" t="s">
        <v>7034</v>
      </c>
      <c r="B2068" s="4" t="s">
        <v>7035</v>
      </c>
      <c r="C2068" s="4" t="s">
        <v>7025</v>
      </c>
      <c r="D2068" s="4" t="s">
        <v>7036</v>
      </c>
      <c r="E2068" s="4" t="s">
        <v>7037</v>
      </c>
      <c r="F2068" s="4" t="str">
        <f>HYPERLINK("http://renatoangi.com/","renatoangi.com")</f>
        <v>renatoangi.com</v>
      </c>
    </row>
    <row r="2069" spans="1:6" ht="29.55" customHeight="1" x14ac:dyDescent="0.25">
      <c r="A2069" s="5" t="s">
        <v>7038</v>
      </c>
      <c r="B2069" s="4" t="s">
        <v>7039</v>
      </c>
      <c r="C2069" s="4" t="s">
        <v>7026</v>
      </c>
      <c r="D2069" s="4" t="s">
        <v>7033</v>
      </c>
      <c r="E2069" s="4" t="s">
        <v>7029</v>
      </c>
      <c r="F2069" s="4" t="str">
        <f>HYPERLINK("http://www.suolificiotuttofondi.com/","www.suolificiotuttofondi.com")</f>
        <v>www.suolificiotuttofondi.com</v>
      </c>
    </row>
    <row r="2070" spans="1:6" ht="16.95" customHeight="1" x14ac:dyDescent="0.25">
      <c r="A2070" s="5" t="s">
        <v>7042</v>
      </c>
      <c r="B2070" s="4" t="s">
        <v>7043</v>
      </c>
      <c r="C2070" s="4" t="s">
        <v>7044</v>
      </c>
      <c r="D2070" s="4" t="s">
        <v>7045</v>
      </c>
      <c r="E2070" s="4" t="s">
        <v>7041</v>
      </c>
      <c r="F2070" s="4" t="str">
        <f>HYPERLINK("http://www.tacchificio-atlantide.it/","www.tacchificio-atlantide.it")</f>
        <v>www.tacchificio-atlantide.it</v>
      </c>
    </row>
    <row r="2071" spans="1:6" ht="29.55" customHeight="1" x14ac:dyDescent="0.25">
      <c r="A2071" s="1" t="s">
        <v>7049</v>
      </c>
      <c r="B2071" s="6" t="s">
        <v>7050</v>
      </c>
      <c r="C2071" s="6" t="s">
        <v>7046</v>
      </c>
      <c r="D2071" s="6" t="s">
        <v>7051</v>
      </c>
      <c r="E2071" s="6" t="s">
        <v>7041</v>
      </c>
      <c r="F2071" s="6" t="str">
        <f>HYPERLINK("http://www.sepamshoes.com/","www.sepamshoes.com")</f>
        <v>www.sepamshoes.com</v>
      </c>
    </row>
    <row r="2072" spans="1:6" ht="16.95" customHeight="1" x14ac:dyDescent="0.25">
      <c r="A2072" s="5" t="s">
        <v>7052</v>
      </c>
      <c r="B2072" s="4" t="s">
        <v>7053</v>
      </c>
      <c r="C2072" s="4" t="s">
        <v>7040</v>
      </c>
      <c r="D2072" s="4" t="s">
        <v>7054</v>
      </c>
      <c r="E2072" s="4" t="s">
        <v>7055</v>
      </c>
      <c r="F2072" s="4" t="str">
        <f>HYPERLINK("http://www.staloni.it/","www.staloni.it")</f>
        <v>www.staloni.it</v>
      </c>
    </row>
    <row r="2073" spans="1:6" ht="16.95" customHeight="1" x14ac:dyDescent="0.25">
      <c r="A2073" s="5" t="s">
        <v>7057</v>
      </c>
      <c r="B2073" s="4" t="s">
        <v>7058</v>
      </c>
      <c r="C2073" s="4" t="s">
        <v>7040</v>
      </c>
      <c r="D2073" s="4" t="s">
        <v>7059</v>
      </c>
      <c r="E2073" s="4" t="s">
        <v>7056</v>
      </c>
      <c r="F2073" s="4" t="str">
        <f>HYPERLINK("http://www.selleriaferroshop.it/","www.selleriaferroshop.it")</f>
        <v>www.selleriaferroshop.it</v>
      </c>
    </row>
    <row r="2074" spans="1:6" ht="16.95" customHeight="1" x14ac:dyDescent="0.25">
      <c r="A2074" s="5" t="s">
        <v>7060</v>
      </c>
      <c r="B2074" s="4" t="s">
        <v>7061</v>
      </c>
      <c r="C2074" s="4" t="s">
        <v>7040</v>
      </c>
      <c r="D2074" s="4" t="s">
        <v>7047</v>
      </c>
      <c r="E2074" s="4" t="s">
        <v>7048</v>
      </c>
      <c r="F2074" s="4" t="str">
        <f>HYPERLINK("http://www.vielleitalia.com/","www.vielleitalia.com")</f>
        <v>www.vielleitalia.com</v>
      </c>
    </row>
    <row r="2075" spans="1:6" ht="43.05" customHeight="1" x14ac:dyDescent="0.25">
      <c r="A2075" s="1" t="s">
        <v>7065</v>
      </c>
      <c r="B2075" s="6" t="s">
        <v>7066</v>
      </c>
      <c r="C2075" s="6" t="s">
        <v>7064</v>
      </c>
      <c r="D2075" s="6" t="s">
        <v>7067</v>
      </c>
      <c r="E2075" s="6" t="s">
        <v>7063</v>
      </c>
      <c r="F2075" s="6" t="str">
        <f>HYPERLINK("http://calzaturificiolorenzo.it/","calzaturificiolorenzo.it")</f>
        <v>calzaturificiolorenzo.it</v>
      </c>
    </row>
    <row r="2076" spans="1:6" ht="16.95" customHeight="1" x14ac:dyDescent="0.25">
      <c r="A2076" s="5" t="s">
        <v>7072</v>
      </c>
      <c r="B2076" s="4" t="s">
        <v>7073</v>
      </c>
      <c r="C2076" s="4" t="s">
        <v>7068</v>
      </c>
      <c r="D2076" s="4" t="s">
        <v>7074</v>
      </c>
      <c r="E2076" s="4" t="s">
        <v>7063</v>
      </c>
      <c r="F2076" s="4" t="str">
        <f>HYPERLINK("http://www.monas-studio.it/","http://www.monas-studio.it")</f>
        <v>http://www.monas-studio.it</v>
      </c>
    </row>
    <row r="2077" spans="1:6" ht="16.95" customHeight="1" x14ac:dyDescent="0.25">
      <c r="A2077" s="1" t="s">
        <v>7075</v>
      </c>
      <c r="B2077" s="6" t="s">
        <v>7076</v>
      </c>
      <c r="C2077" s="6" t="s">
        <v>7068</v>
      </c>
      <c r="D2077" s="6" t="s">
        <v>7062</v>
      </c>
      <c r="E2077" s="6" t="s">
        <v>7063</v>
      </c>
      <c r="F2077" s="6" t="str">
        <f>HYPERLINK("http://hymybag-official.com/","http://hymybag-official.com")</f>
        <v>http://hymybag-official.com</v>
      </c>
    </row>
    <row r="2078" spans="1:6" ht="16.95" customHeight="1" x14ac:dyDescent="0.25">
      <c r="A2078" s="5" t="s">
        <v>7077</v>
      </c>
      <c r="B2078" s="4" t="s">
        <v>7078</v>
      </c>
      <c r="C2078" s="4" t="s">
        <v>7064</v>
      </c>
      <c r="D2078" s="4" t="s">
        <v>7079</v>
      </c>
      <c r="E2078" s="4" t="s">
        <v>7069</v>
      </c>
      <c r="F2078" s="4" t="str">
        <f>HYPERLINK("http://www.meccarielloshoes.it/","www.meccarielloshoes.it")</f>
        <v>www.meccarielloshoes.it</v>
      </c>
    </row>
    <row r="2079" spans="1:6" ht="55.65" customHeight="1" x14ac:dyDescent="0.25">
      <c r="A2079" s="5" t="s">
        <v>7080</v>
      </c>
      <c r="B2079" s="4" t="s">
        <v>7081</v>
      </c>
      <c r="C2079" s="4" t="s">
        <v>7082</v>
      </c>
      <c r="D2079" s="4" t="s">
        <v>7071</v>
      </c>
      <c r="E2079" s="4" t="s">
        <v>7070</v>
      </c>
      <c r="F2079" s="4" t="str">
        <f>HYPERLINK("http://www.outletdelcavallo.com/","www.outletdelcavallo.com")</f>
        <v>www.outletdelcavallo.com</v>
      </c>
    </row>
    <row r="2080" spans="1:6" ht="29.55" customHeight="1" x14ac:dyDescent="0.25">
      <c r="A2080" s="5" t="s">
        <v>7084</v>
      </c>
      <c r="B2080" s="4" t="s">
        <v>7085</v>
      </c>
      <c r="C2080" s="4" t="s">
        <v>7086</v>
      </c>
      <c r="D2080" s="4" t="s">
        <v>7087</v>
      </c>
      <c r="E2080" s="4" t="s">
        <v>7088</v>
      </c>
      <c r="F2080" s="4" t="str">
        <f>HYPERLINK("http://www.venetasuole.it/","www.venetasuole.it")</f>
        <v>www.venetasuole.it</v>
      </c>
    </row>
    <row r="2081" spans="1:6" ht="16.95" customHeight="1" x14ac:dyDescent="0.25">
      <c r="A2081" s="5" t="s">
        <v>7091</v>
      </c>
      <c r="B2081" s="4" t="s">
        <v>7092</v>
      </c>
      <c r="C2081" s="4" t="s">
        <v>7083</v>
      </c>
      <c r="D2081" s="4" t="s">
        <v>7090</v>
      </c>
      <c r="E2081" s="4" t="s">
        <v>7089</v>
      </c>
      <c r="F2081" s="4" t="str">
        <f>HYPERLINK("http://www.conceriagaia.com/","www.conceriagaia.com")</f>
        <v>www.conceriagaia.com</v>
      </c>
    </row>
    <row r="2082" spans="1:6" ht="16.95" customHeight="1" x14ac:dyDescent="0.25">
      <c r="A2082" s="1" t="s">
        <v>7097</v>
      </c>
      <c r="B2082" s="6" t="s">
        <v>7098</v>
      </c>
      <c r="C2082" s="6" t="s">
        <v>7094</v>
      </c>
      <c r="D2082" s="6" t="s">
        <v>7095</v>
      </c>
      <c r="E2082" s="6" t="s">
        <v>7096</v>
      </c>
      <c r="F2082" s="6" t="str">
        <f>HYPERLINK("http://www.simonesrl.com/","http://www.simonesrl.com")</f>
        <v>http://www.simonesrl.com</v>
      </c>
    </row>
    <row r="2083" spans="1:6" ht="16.95" customHeight="1" x14ac:dyDescent="0.25">
      <c r="A2083" s="1" t="s">
        <v>7099</v>
      </c>
      <c r="B2083" s="6" t="s">
        <v>7100</v>
      </c>
      <c r="C2083" s="6" t="s">
        <v>7093</v>
      </c>
      <c r="D2083" s="6" t="s">
        <v>7101</v>
      </c>
      <c r="E2083" s="6" t="s">
        <v>7102</v>
      </c>
      <c r="F2083" s="6" t="str">
        <f>HYPERLINK("http://kamamoto.it/","kamamoto.it")</f>
        <v>kamamoto.it</v>
      </c>
    </row>
    <row r="2084" spans="1:6" ht="16.95" customHeight="1" x14ac:dyDescent="0.25">
      <c r="A2084" s="1" t="s">
        <v>7103</v>
      </c>
      <c r="B2084" s="6" t="s">
        <v>7104</v>
      </c>
      <c r="C2084" s="6" t="s">
        <v>7094</v>
      </c>
      <c r="D2084" s="6" t="s">
        <v>7095</v>
      </c>
      <c r="E2084" s="6" t="s">
        <v>7096</v>
      </c>
      <c r="F2084" s="6" t="str">
        <f>HYPERLINK("http://www.silvanolattanzi.com/","www.silvanolattanzi.com")</f>
        <v>www.silvanolattanzi.com</v>
      </c>
    </row>
    <row r="2085" spans="1:6" ht="16.95" customHeight="1" x14ac:dyDescent="0.25">
      <c r="A2085" s="5" t="s">
        <v>7107</v>
      </c>
      <c r="B2085" s="4" t="s">
        <v>7108</v>
      </c>
      <c r="C2085" s="4" t="s">
        <v>7105</v>
      </c>
      <c r="D2085" s="4" t="s">
        <v>7109</v>
      </c>
      <c r="E2085" s="4" t="s">
        <v>7106</v>
      </c>
      <c r="F2085" s="4" t="str">
        <f>HYPERLINK("http://francescosacco.it/","francescosacco.it")</f>
        <v>francescosacco.it</v>
      </c>
    </row>
    <row r="2086" spans="1:6" ht="16.95" customHeight="1" x14ac:dyDescent="0.25">
      <c r="A2086" s="1" t="s">
        <v>7111</v>
      </c>
      <c r="B2086" s="6" t="s">
        <v>7112</v>
      </c>
      <c r="C2086" s="6" t="s">
        <v>7110</v>
      </c>
      <c r="D2086" s="6" t="s">
        <v>7113</v>
      </c>
      <c r="E2086" s="6" t="s">
        <v>7114</v>
      </c>
      <c r="F2086" s="6" t="str">
        <f>HYPERLINK("http://www.belfur.it/","www.belfur.it")</f>
        <v>www.belfur.it</v>
      </c>
    </row>
    <row r="2087" spans="1:6" ht="16.95" customHeight="1" x14ac:dyDescent="0.25">
      <c r="A2087" s="5" t="s">
        <v>7117</v>
      </c>
      <c r="B2087" s="4" t="s">
        <v>7118</v>
      </c>
      <c r="C2087" s="4" t="s">
        <v>7110</v>
      </c>
      <c r="D2087" s="4" t="s">
        <v>7109</v>
      </c>
      <c r="E2087" s="4" t="s">
        <v>7106</v>
      </c>
      <c r="F2087" s="4" t="str">
        <f>HYPERLINK("http://www.pelletteriaforino.it/","www.pelletteriaforino.it")</f>
        <v>www.pelletteriaforino.it</v>
      </c>
    </row>
    <row r="2088" spans="1:6" ht="16.95" customHeight="1" x14ac:dyDescent="0.25">
      <c r="A2088" s="5" t="s">
        <v>7121</v>
      </c>
      <c r="B2088" s="4" t="s">
        <v>7122</v>
      </c>
      <c r="C2088" s="4" t="s">
        <v>7110</v>
      </c>
      <c r="D2088" s="4" t="s">
        <v>7123</v>
      </c>
      <c r="E2088" s="4" t="s">
        <v>7114</v>
      </c>
      <c r="F2088" s="4" t="str">
        <f>HYPERLINK("http://www.la-pelle.it/","www.la-pelle.it")</f>
        <v>www.la-pelle.it</v>
      </c>
    </row>
    <row r="2089" spans="1:6" ht="16.95" customHeight="1" x14ac:dyDescent="0.25">
      <c r="A2089" s="5" t="s">
        <v>7124</v>
      </c>
      <c r="B2089" s="4" t="s">
        <v>7125</v>
      </c>
      <c r="C2089" s="4" t="s">
        <v>7110</v>
      </c>
      <c r="D2089" s="4" t="s">
        <v>7119</v>
      </c>
      <c r="E2089" s="4" t="s">
        <v>7120</v>
      </c>
      <c r="F2089" s="4" t="str">
        <f>HYPERLINK("http://www.crintex-teramo.it/","www.crintex-teramo.it")</f>
        <v>www.crintex-teramo.it</v>
      </c>
    </row>
    <row r="2090" spans="1:6" ht="29.55" customHeight="1" x14ac:dyDescent="0.25">
      <c r="A2090" s="1" t="s">
        <v>7126</v>
      </c>
      <c r="B2090" s="6" t="s">
        <v>7127</v>
      </c>
      <c r="C2090" s="6" t="s">
        <v>7105</v>
      </c>
      <c r="D2090" s="6" t="s">
        <v>7116</v>
      </c>
      <c r="E2090" s="6" t="s">
        <v>7115</v>
      </c>
      <c r="F2090" s="6" t="str">
        <f>HYPERLINK("http://biemme-srl-01901250439.quantofattura.com/","biemme-srl-01901250439.quantofattura.com")</f>
        <v>biemme-srl-01901250439.quantofattura.com</v>
      </c>
    </row>
    <row r="2091" spans="1:6" ht="16.95" customHeight="1" x14ac:dyDescent="0.25">
      <c r="A2091" s="5" t="s">
        <v>7128</v>
      </c>
      <c r="B2091" s="4" t="s">
        <v>7129</v>
      </c>
      <c r="C2091" s="4" t="s">
        <v>7105</v>
      </c>
      <c r="D2091" s="4" t="s">
        <v>7130</v>
      </c>
      <c r="E2091" s="4" t="s">
        <v>7131</v>
      </c>
      <c r="F2091" s="4" t="str">
        <f>HYPERLINK("http://www.lineadelfino.it/","www.lineadelfino.it")</f>
        <v>www.lineadelfino.it</v>
      </c>
    </row>
    <row r="2092" spans="1:6" ht="43.05" customHeight="1" x14ac:dyDescent="0.25">
      <c r="A2092" s="1" t="s">
        <v>7137</v>
      </c>
      <c r="B2092" s="6" t="s">
        <v>7138</v>
      </c>
      <c r="C2092" s="6" t="s">
        <v>7132</v>
      </c>
      <c r="D2092" s="6" t="s">
        <v>7139</v>
      </c>
      <c r="E2092" s="6" t="s">
        <v>7136</v>
      </c>
      <c r="F2092" s="6" t="str">
        <f>HYPERLINK("http://www.canyon-shoes.business.site/","www.canyon-shoes.business.site")</f>
        <v>www.canyon-shoes.business.site</v>
      </c>
    </row>
    <row r="2093" spans="1:6" ht="16.95" customHeight="1" x14ac:dyDescent="0.25">
      <c r="A2093" s="5" t="s">
        <v>7140</v>
      </c>
      <c r="B2093" s="4" t="s">
        <v>7141</v>
      </c>
      <c r="C2093" s="4" t="s">
        <v>7133</v>
      </c>
      <c r="D2093" s="4" t="s">
        <v>7134</v>
      </c>
      <c r="E2093" s="4" t="s">
        <v>7135</v>
      </c>
      <c r="F2093" s="4" t="str">
        <f>HYPERLINK("http://studiospherasrl.it/","studiospherasrl.it")</f>
        <v>studiospherasrl.it</v>
      </c>
    </row>
    <row r="2094" spans="1:6" ht="43.05" customHeight="1" x14ac:dyDescent="0.25">
      <c r="A2094" s="1" t="s">
        <v>7142</v>
      </c>
      <c r="B2094" s="6" t="s">
        <v>7143</v>
      </c>
      <c r="C2094" s="6" t="s">
        <v>7133</v>
      </c>
      <c r="D2094" s="6" t="s">
        <v>7134</v>
      </c>
      <c r="E2094" s="6" t="s">
        <v>7135</v>
      </c>
      <c r="F2094" s="6" t="str">
        <f>HYPERLINK("http://www.donnepellettiere.it/","www.donnepellettiere.it")</f>
        <v>www.donnepellettiere.it</v>
      </c>
    </row>
    <row r="2095" spans="1:6" ht="16.95" customHeight="1" x14ac:dyDescent="0.25">
      <c r="A2095" s="1" t="s">
        <v>7148</v>
      </c>
      <c r="B2095" s="6" t="s">
        <v>7149</v>
      </c>
      <c r="C2095" s="6" t="s">
        <v>7150</v>
      </c>
      <c r="D2095" s="6" t="s">
        <v>7146</v>
      </c>
      <c r="E2095" s="6" t="s">
        <v>7147</v>
      </c>
      <c r="F2095" s="6" t="str">
        <f>HYPERLINK("http://www.tacchificioalbert.it/","www.tacchificioalbert.it")</f>
        <v>www.tacchificioalbert.it</v>
      </c>
    </row>
    <row r="2096" spans="1:6" ht="29.55" customHeight="1" x14ac:dyDescent="0.25">
      <c r="A2096" s="1" t="s">
        <v>7151</v>
      </c>
      <c r="B2096" s="6" t="s">
        <v>7152</v>
      </c>
      <c r="C2096" s="6" t="s">
        <v>7144</v>
      </c>
      <c r="D2096" s="6" t="s">
        <v>7153</v>
      </c>
      <c r="E2096" s="6" t="s">
        <v>7154</v>
      </c>
      <c r="F2096" s="6" t="str">
        <f>HYPERLINK("http://www.zanconato.it/","www.zanconato.it")</f>
        <v>www.zanconato.it</v>
      </c>
    </row>
    <row r="2097" spans="1:6" ht="16.95" customHeight="1" x14ac:dyDescent="0.25">
      <c r="A2097" s="1" t="s">
        <v>7156</v>
      </c>
      <c r="B2097" s="6" t="s">
        <v>7157</v>
      </c>
      <c r="C2097" s="6" t="s">
        <v>7158</v>
      </c>
      <c r="D2097" s="6" t="s">
        <v>7159</v>
      </c>
      <c r="E2097" s="6" t="s">
        <v>7155</v>
      </c>
      <c r="F2097" s="6" t="str">
        <f>HYPERLINK("http://www.sirrondos.com/","www.sirrondos.com")</f>
        <v>www.sirrondos.com</v>
      </c>
    </row>
    <row r="2098" spans="1:6" ht="16.95" customHeight="1" x14ac:dyDescent="0.25">
      <c r="A2098" s="1" t="s">
        <v>7160</v>
      </c>
      <c r="B2098" s="6" t="s">
        <v>7161</v>
      </c>
      <c r="C2098" s="6" t="s">
        <v>7145</v>
      </c>
      <c r="D2098" s="6" t="s">
        <v>7162</v>
      </c>
      <c r="E2098" s="6" t="s">
        <v>7154</v>
      </c>
      <c r="F2098" s="6" t="str">
        <f>HYPERLINK("http://www.spgsrl2017.it/","www.spgsrl2017.it")</f>
        <v>www.spgsrl2017.it</v>
      </c>
    </row>
    <row r="2099" spans="1:6" ht="16.95" customHeight="1" x14ac:dyDescent="0.25">
      <c r="A2099" s="1" t="s">
        <v>7171</v>
      </c>
      <c r="B2099" s="6" t="s">
        <v>7172</v>
      </c>
      <c r="C2099" s="6" t="s">
        <v>7163</v>
      </c>
      <c r="D2099" s="6" t="s">
        <v>7164</v>
      </c>
      <c r="E2099" s="6" t="s">
        <v>7165</v>
      </c>
      <c r="F2099" s="6" t="str">
        <f>HYPERLINK("http://shop.bhshoes.it/","shop.bhshoes.it")</f>
        <v>shop.bhshoes.it</v>
      </c>
    </row>
    <row r="2100" spans="1:6" ht="43.05" customHeight="1" x14ac:dyDescent="0.25">
      <c r="A2100" s="1" t="s">
        <v>7174</v>
      </c>
      <c r="B2100" s="6" t="s">
        <v>7175</v>
      </c>
      <c r="C2100" s="6" t="s">
        <v>7163</v>
      </c>
      <c r="D2100" s="6" t="s">
        <v>7166</v>
      </c>
      <c r="E2100" s="6" t="s">
        <v>7167</v>
      </c>
      <c r="F2100" s="6" t="str">
        <f>HYPERLINK("http://www.detommaso.it/","http://www.detommaso.it")</f>
        <v>http://www.detommaso.it</v>
      </c>
    </row>
    <row r="2101" spans="1:6" ht="29.55" customHeight="1" x14ac:dyDescent="0.25">
      <c r="A2101" s="5" t="s">
        <v>7176</v>
      </c>
      <c r="B2101" s="4" t="s">
        <v>7177</v>
      </c>
      <c r="C2101" s="4" t="s">
        <v>7169</v>
      </c>
      <c r="D2101" s="4" t="s">
        <v>7178</v>
      </c>
      <c r="E2101" s="4" t="s">
        <v>7168</v>
      </c>
      <c r="F2101" s="4" t="str">
        <f>HYPERLINK("http://www.igm-srl.it/","www.igm-srl.it")</f>
        <v>www.igm-srl.it</v>
      </c>
    </row>
    <row r="2102" spans="1:6" ht="16.95" customHeight="1" x14ac:dyDescent="0.25">
      <c r="A2102" s="1" t="s">
        <v>7179</v>
      </c>
      <c r="B2102" s="6" t="s">
        <v>7180</v>
      </c>
      <c r="C2102" s="6" t="s">
        <v>7170</v>
      </c>
      <c r="D2102" s="6" t="s">
        <v>7173</v>
      </c>
      <c r="E2102" s="6" t="s">
        <v>7165</v>
      </c>
      <c r="F2102" s="6" t="str">
        <f>HYPERLINK("http://zamponi.moda/","zamponi.moda")</f>
        <v>zamponi.moda</v>
      </c>
    </row>
    <row r="2103" spans="1:6" ht="16.95" customHeight="1" x14ac:dyDescent="0.25">
      <c r="A2103" s="5" t="s">
        <v>7184</v>
      </c>
      <c r="B2103" s="4" t="s">
        <v>7185</v>
      </c>
      <c r="C2103" s="4" t="s">
        <v>7181</v>
      </c>
      <c r="D2103" s="4" t="s">
        <v>7186</v>
      </c>
      <c r="E2103" s="4" t="s">
        <v>7187</v>
      </c>
      <c r="F2103" s="4" t="str">
        <f>HYPERLINK("http://www.cerberoshoes.it/","www.cerberoshoes.it")</f>
        <v>www.cerberoshoes.it</v>
      </c>
    </row>
    <row r="2104" spans="1:6" ht="16.95" customHeight="1" x14ac:dyDescent="0.25">
      <c r="A2104" s="1" t="s">
        <v>7191</v>
      </c>
      <c r="B2104" s="6" t="s">
        <v>7192</v>
      </c>
      <c r="C2104" s="6" t="s">
        <v>7193</v>
      </c>
      <c r="D2104" s="6" t="s">
        <v>7194</v>
      </c>
      <c r="E2104" s="6" t="s">
        <v>7195</v>
      </c>
      <c r="F2104" s="6" t="str">
        <f>HYPERLINK("http://www.gregal.it/","www.gregal.it")</f>
        <v>www.gregal.it</v>
      </c>
    </row>
    <row r="2105" spans="1:6" ht="16.95" customHeight="1" x14ac:dyDescent="0.25">
      <c r="A2105" s="1" t="s">
        <v>7196</v>
      </c>
      <c r="B2105" s="6" t="s">
        <v>7197</v>
      </c>
      <c r="C2105" s="6" t="s">
        <v>7181</v>
      </c>
      <c r="D2105" s="6" t="s">
        <v>7190</v>
      </c>
      <c r="E2105" s="6" t="s">
        <v>7188</v>
      </c>
      <c r="F2105" s="6" t="str">
        <f>HYPERLINK("http://www.mariobemer.com/","www.mariobemer.com")</f>
        <v>www.mariobemer.com</v>
      </c>
    </row>
    <row r="2106" spans="1:6" ht="16.95" customHeight="1" x14ac:dyDescent="0.25">
      <c r="A2106" s="1" t="s">
        <v>7198</v>
      </c>
      <c r="B2106" s="6" t="s">
        <v>7199</v>
      </c>
      <c r="C2106" s="6" t="s">
        <v>7189</v>
      </c>
      <c r="D2106" s="6" t="s">
        <v>7200</v>
      </c>
      <c r="E2106" s="6" t="s">
        <v>7201</v>
      </c>
      <c r="F2106" s="6" t="str">
        <f>HYPERLINK("http://www.mialuis.it/","www.mialuis.it")</f>
        <v>www.mialuis.it</v>
      </c>
    </row>
    <row r="2107" spans="1:6" ht="16.95" customHeight="1" x14ac:dyDescent="0.25">
      <c r="A2107" s="1" t="s">
        <v>7202</v>
      </c>
      <c r="B2107" s="6" t="s">
        <v>7203</v>
      </c>
      <c r="C2107" s="6" t="s">
        <v>7181</v>
      </c>
      <c r="D2107" s="6" t="s">
        <v>7182</v>
      </c>
      <c r="E2107" s="6" t="s">
        <v>7183</v>
      </c>
      <c r="F2107" s="6" t="str">
        <f>HYPERLINK("http://www.styleconsulance.it/","www.styleconsulance.it")</f>
        <v>www.styleconsulance.it</v>
      </c>
    </row>
    <row r="2108" spans="1:6" ht="29.55" customHeight="1" x14ac:dyDescent="0.25">
      <c r="A2108" s="5" t="s">
        <v>7204</v>
      </c>
      <c r="B2108" s="4" t="s">
        <v>7205</v>
      </c>
      <c r="C2108" s="4" t="s">
        <v>7206</v>
      </c>
      <c r="D2108" s="4" t="s">
        <v>7207</v>
      </c>
      <c r="E2108" s="4" t="s">
        <v>7188</v>
      </c>
      <c r="F2108" s="4" t="str">
        <f>HYPERLINK("http://www.semilla.it/","www.semilla.it")</f>
        <v>www.semilla.it</v>
      </c>
    </row>
    <row r="2109" spans="1:6" ht="43.05" customHeight="1" x14ac:dyDescent="0.25">
      <c r="A2109" s="5" t="s">
        <v>7214</v>
      </c>
      <c r="B2109" s="4" t="s">
        <v>7215</v>
      </c>
      <c r="C2109" s="4" t="s">
        <v>7208</v>
      </c>
      <c r="D2109" s="4" t="s">
        <v>7216</v>
      </c>
      <c r="E2109" s="4" t="s">
        <v>7217</v>
      </c>
      <c r="F2109" s="4" t="str">
        <f>HYPERLINK("http://johmarshoes.com/","johmarshoes.com")</f>
        <v>johmarshoes.com</v>
      </c>
    </row>
    <row r="2110" spans="1:6" ht="43.05" customHeight="1" x14ac:dyDescent="0.25">
      <c r="A2110" s="1" t="s">
        <v>7218</v>
      </c>
      <c r="B2110" s="6" t="s">
        <v>7219</v>
      </c>
      <c r="C2110" s="6" t="s">
        <v>7209</v>
      </c>
      <c r="D2110" s="6" t="s">
        <v>7220</v>
      </c>
      <c r="E2110" s="6" t="s">
        <v>7213</v>
      </c>
      <c r="F2110" s="6" t="str">
        <f>HYPERLINK("http://www.bycrea.it/","www.bycrea.it")</f>
        <v>www.bycrea.it</v>
      </c>
    </row>
    <row r="2111" spans="1:6" ht="16.95" customHeight="1" x14ac:dyDescent="0.25">
      <c r="A2111" s="1" t="s">
        <v>7222</v>
      </c>
      <c r="B2111" s="6" t="s">
        <v>7223</v>
      </c>
      <c r="C2111" s="6" t="s">
        <v>7212</v>
      </c>
      <c r="D2111" s="6" t="s">
        <v>7211</v>
      </c>
      <c r="E2111" s="6" t="s">
        <v>7210</v>
      </c>
      <c r="F2111" s="6" t="str">
        <f>HYPERLINK("http://www.conceriabrasil.it/","www.conceriabrasil.it")</f>
        <v>www.conceriabrasil.it</v>
      </c>
    </row>
    <row r="2112" spans="1:6" ht="16.95" customHeight="1" x14ac:dyDescent="0.25">
      <c r="A2112" s="5" t="s">
        <v>7224</v>
      </c>
      <c r="B2112" s="4" t="s">
        <v>7225</v>
      </c>
      <c r="C2112" s="4" t="s">
        <v>7209</v>
      </c>
      <c r="D2112" s="4" t="s">
        <v>7221</v>
      </c>
      <c r="E2112" s="4" t="s">
        <v>7210</v>
      </c>
      <c r="F2112" s="4" t="str">
        <f>HYPERLINK("http://www.popbag.it/","www.popbag.it")</f>
        <v>www.popbag.it</v>
      </c>
    </row>
    <row r="2113" spans="1:6" ht="16.95" customHeight="1" x14ac:dyDescent="0.25">
      <c r="A2113" s="1" t="s">
        <v>7226</v>
      </c>
      <c r="B2113" s="6" t="s">
        <v>7227</v>
      </c>
      <c r="C2113" s="6" t="s">
        <v>7228</v>
      </c>
      <c r="D2113" s="6" t="s">
        <v>7229</v>
      </c>
      <c r="E2113" s="6" t="s">
        <v>7230</v>
      </c>
      <c r="F2113" s="6" t="str">
        <f>HYPERLINK("http://www.alfrashoes.com/","www.alfrashoes.com")</f>
        <v>www.alfrashoes.com</v>
      </c>
    </row>
    <row r="2114" spans="1:6" ht="16.95" customHeight="1" x14ac:dyDescent="0.25">
      <c r="A2114" s="5" t="s">
        <v>7231</v>
      </c>
      <c r="B2114" s="4" t="s">
        <v>7232</v>
      </c>
      <c r="C2114" s="4" t="s">
        <v>7233</v>
      </c>
      <c r="D2114" s="4" t="s">
        <v>7234</v>
      </c>
      <c r="E2114" s="4" t="s">
        <v>7235</v>
      </c>
      <c r="F2114" s="4" t="str">
        <f>HYPERLINK("http://www.sandalipositano.salerno.it/","www.sandalipositano.salerno.it")</f>
        <v>www.sandalipositano.salerno.it</v>
      </c>
    </row>
    <row r="2115" spans="1:6" ht="29.55" customHeight="1" x14ac:dyDescent="0.25">
      <c r="A2115" s="1" t="s">
        <v>7240</v>
      </c>
      <c r="B2115" s="6" t="s">
        <v>7241</v>
      </c>
      <c r="C2115" s="6" t="s">
        <v>7237</v>
      </c>
      <c r="D2115" s="6" t="s">
        <v>7238</v>
      </c>
      <c r="E2115" s="6" t="s">
        <v>7239</v>
      </c>
      <c r="F2115" s="6" t="str">
        <f>HYPERLINK("http://cinturificiolbn.it/","cinturificiolbn.it")</f>
        <v>cinturificiolbn.it</v>
      </c>
    </row>
    <row r="2116" spans="1:6" ht="29.55" customHeight="1" x14ac:dyDescent="0.25">
      <c r="A2116" s="1" t="s">
        <v>7243</v>
      </c>
      <c r="B2116" s="6" t="s">
        <v>7244</v>
      </c>
      <c r="C2116" s="6" t="s">
        <v>7236</v>
      </c>
      <c r="D2116" s="6" t="s">
        <v>7238</v>
      </c>
      <c r="E2116" s="6" t="s">
        <v>7239</v>
      </c>
      <c r="F2116" s="6" t="str">
        <f>HYPERLINK("http://www.calzaturificioesteban.it/","http://www.calzaturificioesteban.it")</f>
        <v>http://www.calzaturificioesteban.it</v>
      </c>
    </row>
    <row r="2117" spans="1:6" ht="29.55" customHeight="1" x14ac:dyDescent="0.25">
      <c r="A2117" s="5" t="s">
        <v>7245</v>
      </c>
      <c r="B2117" s="4" t="s">
        <v>7246</v>
      </c>
      <c r="C2117" s="4" t="s">
        <v>7236</v>
      </c>
      <c r="D2117" s="4" t="s">
        <v>7247</v>
      </c>
      <c r="E2117" s="4" t="s">
        <v>7248</v>
      </c>
      <c r="F2117" s="4" t="str">
        <f>HYPERLINK("http://www.latitudefemme.it/","http://www.latitudefemme.it")</f>
        <v>http://www.latitudefemme.it</v>
      </c>
    </row>
    <row r="2118" spans="1:6" ht="16.95" customHeight="1" x14ac:dyDescent="0.25">
      <c r="A2118" s="1" t="s">
        <v>7249</v>
      </c>
      <c r="B2118" s="6" t="s">
        <v>7250</v>
      </c>
      <c r="C2118" s="6" t="s">
        <v>7251</v>
      </c>
      <c r="D2118" s="6" t="s">
        <v>7252</v>
      </c>
      <c r="E2118" s="6" t="s">
        <v>7239</v>
      </c>
      <c r="F2118" s="6" t="str">
        <f>HYPERLINK("http://www.deceplast.it/","www.deceplast.it")</f>
        <v>www.deceplast.it</v>
      </c>
    </row>
    <row r="2119" spans="1:6" ht="16.95" customHeight="1" x14ac:dyDescent="0.25">
      <c r="A2119" s="1" t="s">
        <v>7255</v>
      </c>
      <c r="B2119" s="6" t="s">
        <v>7256</v>
      </c>
      <c r="C2119" s="6" t="s">
        <v>7242</v>
      </c>
      <c r="D2119" s="6" t="s">
        <v>7253</v>
      </c>
      <c r="E2119" s="6" t="s">
        <v>7254</v>
      </c>
      <c r="F2119" s="6" t="str">
        <f>HYPERLINK("http://www.vandadangeli.com/","www.vandadangeli.com")</f>
        <v>www.vandadangeli.com</v>
      </c>
    </row>
    <row r="2120" spans="1:6" ht="43.05" customHeight="1" x14ac:dyDescent="0.25">
      <c r="A2120" s="1" t="s">
        <v>7257</v>
      </c>
      <c r="B2120" s="6" t="s">
        <v>7258</v>
      </c>
      <c r="C2120" s="6" t="s">
        <v>7236</v>
      </c>
      <c r="D2120" s="6" t="s">
        <v>7238</v>
      </c>
      <c r="E2120" s="6" t="s">
        <v>7239</v>
      </c>
      <c r="F2120" s="6" t="str">
        <f>HYPERLINK("http://aisselashoes.it/","aisselashoes.it")</f>
        <v>aisselashoes.it</v>
      </c>
    </row>
    <row r="2121" spans="1:6" ht="16.95" customHeight="1" x14ac:dyDescent="0.25">
      <c r="A2121" s="1" t="s">
        <v>7259</v>
      </c>
      <c r="B2121" s="6" t="s">
        <v>7260</v>
      </c>
      <c r="C2121" s="6" t="s">
        <v>7236</v>
      </c>
      <c r="D2121" s="6" t="s">
        <v>7238</v>
      </c>
      <c r="E2121" s="6" t="s">
        <v>7239</v>
      </c>
      <c r="F2121" s="6" t="str">
        <f>HYPERLINK("http://shoeslabproject.com/","shoeslabproject.com")</f>
        <v>shoeslabproject.com</v>
      </c>
    </row>
    <row r="2122" spans="1:6" ht="16.95" customHeight="1" x14ac:dyDescent="0.25">
      <c r="A2122" s="1" t="s">
        <v>7261</v>
      </c>
      <c r="B2122" s="6" t="s">
        <v>7262</v>
      </c>
      <c r="C2122" s="6" t="s">
        <v>7236</v>
      </c>
      <c r="D2122" s="6" t="s">
        <v>7238</v>
      </c>
      <c r="E2122" s="6" t="s">
        <v>7239</v>
      </c>
      <c r="F2122" s="6" t="str">
        <f>HYPERLINK("http://www.zabattigli.com/","www.zabattigli.com")</f>
        <v>www.zabattigli.com</v>
      </c>
    </row>
    <row r="2123" spans="1:6" ht="43.05" customHeight="1" x14ac:dyDescent="0.25">
      <c r="A2123" s="5" t="s">
        <v>7270</v>
      </c>
      <c r="B2123" s="4" t="s">
        <v>7271</v>
      </c>
      <c r="C2123" s="4" t="s">
        <v>7266</v>
      </c>
      <c r="D2123" s="4" t="s">
        <v>7272</v>
      </c>
      <c r="E2123" s="4" t="s">
        <v>7269</v>
      </c>
      <c r="F2123" s="4" t="str">
        <f>HYPERLINK("http://www.paradiso1986.com/","www.paradiso1986.com")</f>
        <v>www.paradiso1986.com</v>
      </c>
    </row>
    <row r="2124" spans="1:6" ht="16.95" customHeight="1" x14ac:dyDescent="0.25">
      <c r="A2124" s="1" t="s">
        <v>7273</v>
      </c>
      <c r="B2124" s="6" t="s">
        <v>7274</v>
      </c>
      <c r="C2124" s="6" t="s">
        <v>7263</v>
      </c>
      <c r="D2124" s="6" t="s">
        <v>7264</v>
      </c>
      <c r="E2124" s="6" t="s">
        <v>7265</v>
      </c>
      <c r="F2124" s="6" t="str">
        <f>HYPERLINK("http://www.royaleather.it/","www.royaleather.it")</f>
        <v>www.royaleather.it</v>
      </c>
    </row>
    <row r="2125" spans="1:6" ht="16.95" customHeight="1" x14ac:dyDescent="0.25">
      <c r="A2125" s="1" t="s">
        <v>7275</v>
      </c>
      <c r="B2125" s="6" t="s">
        <v>7276</v>
      </c>
      <c r="C2125" s="6" t="s">
        <v>7266</v>
      </c>
      <c r="D2125" s="6" t="s">
        <v>7267</v>
      </c>
      <c r="E2125" s="6" t="s">
        <v>7268</v>
      </c>
      <c r="F2125" s="6" t="str">
        <f>HYPERLINK("http://www.stefanomano.it/","www.stefanomano.it")</f>
        <v>www.stefanomano.it</v>
      </c>
    </row>
    <row r="2126" spans="1:6" ht="16.95" customHeight="1" x14ac:dyDescent="0.25">
      <c r="A2126" s="1" t="s">
        <v>7282</v>
      </c>
      <c r="B2126" s="6" t="s">
        <v>7283</v>
      </c>
      <c r="C2126" s="6" t="s">
        <v>7280</v>
      </c>
      <c r="D2126" s="6" t="s">
        <v>7281</v>
      </c>
      <c r="E2126" s="6" t="s">
        <v>7278</v>
      </c>
      <c r="F2126" s="6" t="str">
        <f>HYPERLINK("http://www.tacchificiotecnoplast.it/","www.tacchificiotecnoplast.it")</f>
        <v>www.tacchificiotecnoplast.it</v>
      </c>
    </row>
    <row r="2127" spans="1:6" ht="29.55" customHeight="1" x14ac:dyDescent="0.25">
      <c r="A2127" s="1" t="s">
        <v>7286</v>
      </c>
      <c r="B2127" s="6" t="s">
        <v>7287</v>
      </c>
      <c r="C2127" s="6" t="s">
        <v>7285</v>
      </c>
      <c r="D2127" s="6" t="s">
        <v>7288</v>
      </c>
      <c r="E2127" s="6" t="s">
        <v>7289</v>
      </c>
      <c r="F2127" s="6" t="str">
        <f>HYPERLINK("http://it.federicoprice.com/","it.federicoprice.com")</f>
        <v>it.federicoprice.com</v>
      </c>
    </row>
    <row r="2128" spans="1:6" ht="16.95" customHeight="1" x14ac:dyDescent="0.25">
      <c r="A2128" s="1" t="s">
        <v>7290</v>
      </c>
      <c r="B2128" s="6" t="s">
        <v>7291</v>
      </c>
      <c r="C2128" s="6" t="s">
        <v>7277</v>
      </c>
      <c r="D2128" s="6" t="s">
        <v>7281</v>
      </c>
      <c r="E2128" s="6" t="s">
        <v>7278</v>
      </c>
      <c r="F2128" s="6" t="str">
        <f>HYPERLINK("http://www.calzatureroma.it/","www.calzatureroma.it")</f>
        <v>www.calzatureroma.it</v>
      </c>
    </row>
    <row r="2129" spans="1:6" ht="16.95" customHeight="1" x14ac:dyDescent="0.25">
      <c r="A2129" s="5" t="s">
        <v>7292</v>
      </c>
      <c r="B2129" s="4" t="s">
        <v>7293</v>
      </c>
      <c r="C2129" s="4" t="s">
        <v>7277</v>
      </c>
      <c r="D2129" s="4" t="s">
        <v>7294</v>
      </c>
      <c r="E2129" s="4" t="s">
        <v>7284</v>
      </c>
      <c r="F2129" s="4" t="str">
        <f>HYPERLINK("http://www.tendanse.it/","www.tendanse.it")</f>
        <v>www.tendanse.it</v>
      </c>
    </row>
    <row r="2130" spans="1:6" ht="29.55" customHeight="1" x14ac:dyDescent="0.25">
      <c r="A2130" s="1" t="s">
        <v>7295</v>
      </c>
      <c r="B2130" s="6" t="s">
        <v>7296</v>
      </c>
      <c r="C2130" s="6" t="s">
        <v>7285</v>
      </c>
      <c r="D2130" s="6" t="s">
        <v>7297</v>
      </c>
      <c r="E2130" s="6" t="s">
        <v>7279</v>
      </c>
      <c r="F2130" s="6" t="str">
        <f>HYPERLINK("http://20s-italia-srl-04151990241.quantofattura.com/","20s-italia-srl-04151990241.quantofattura.com")</f>
        <v>20s-italia-srl-04151990241.quantofattura.com</v>
      </c>
    </row>
    <row r="2131" spans="1:6" ht="29.55" customHeight="1" x14ac:dyDescent="0.25">
      <c r="A2131" s="1" t="s">
        <v>7298</v>
      </c>
      <c r="B2131" s="6" t="s">
        <v>7299</v>
      </c>
      <c r="C2131" s="6" t="s">
        <v>7300</v>
      </c>
      <c r="D2131" s="6" t="s">
        <v>7301</v>
      </c>
      <c r="E2131" s="6" t="s">
        <v>7302</v>
      </c>
      <c r="F2131" s="6" t="str">
        <f>HYPERLINK("http://www.mannabag.it/","www.mannabag.it")</f>
        <v>www.mannabag.it</v>
      </c>
    </row>
    <row r="2132" spans="1:6" ht="16.95" customHeight="1" x14ac:dyDescent="0.25">
      <c r="A2132" s="1" t="s">
        <v>7306</v>
      </c>
      <c r="B2132" s="6" t="s">
        <v>7307</v>
      </c>
      <c r="C2132" s="6" t="s">
        <v>7303</v>
      </c>
      <c r="D2132" s="6" t="s">
        <v>7304</v>
      </c>
      <c r="E2132" s="6" t="s">
        <v>7305</v>
      </c>
      <c r="F2132" s="6" t="str">
        <f>HYPERLINK("http://www.ixosshoes.com/","www.ixosshoes.com")</f>
        <v>www.ixosshoes.com</v>
      </c>
    </row>
    <row r="2133" spans="1:6" ht="16.95" customHeight="1" x14ac:dyDescent="0.25">
      <c r="A2133" s="5" t="s">
        <v>7308</v>
      </c>
      <c r="B2133" s="4" t="s">
        <v>7309</v>
      </c>
      <c r="C2133" s="4" t="s">
        <v>7300</v>
      </c>
      <c r="D2133" s="4" t="s">
        <v>7304</v>
      </c>
      <c r="E2133" s="4" t="s">
        <v>7305</v>
      </c>
      <c r="F2133" s="4" t="str">
        <f>HYPERLINK("http://www.gorbinipelle.it/","www.gorbinipelle.it")</f>
        <v>www.gorbinipelle.it</v>
      </c>
    </row>
    <row r="2134" spans="1:6" ht="16.95" customHeight="1" x14ac:dyDescent="0.25">
      <c r="A2134" s="1" t="s">
        <v>7310</v>
      </c>
      <c r="B2134" s="6" t="s">
        <v>7311</v>
      </c>
      <c r="C2134" s="6" t="s">
        <v>7312</v>
      </c>
      <c r="D2134" s="6" t="s">
        <v>7313</v>
      </c>
      <c r="E2134" s="6" t="s">
        <v>7302</v>
      </c>
      <c r="F2134" s="6" t="str">
        <f>HYPERLINK("http://www.izzopelli.com/","www.izzopelli.com")</f>
        <v>www.izzopelli.com</v>
      </c>
    </row>
    <row r="2135" spans="1:6" ht="16.95" customHeight="1" x14ac:dyDescent="0.25">
      <c r="A2135" s="1" t="s">
        <v>7316</v>
      </c>
      <c r="B2135" s="6" t="s">
        <v>7317</v>
      </c>
      <c r="C2135" s="6" t="s">
        <v>7318</v>
      </c>
      <c r="D2135" s="6" t="s">
        <v>7319</v>
      </c>
      <c r="E2135" s="6" t="s">
        <v>7315</v>
      </c>
      <c r="F2135" s="6" t="str">
        <f>HYPERLINK("http://www.rl22.com/","www.rl22.com")</f>
        <v>www.rl22.com</v>
      </c>
    </row>
    <row r="2136" spans="1:6" ht="16.95" customHeight="1" x14ac:dyDescent="0.25">
      <c r="A2136" s="1" t="s">
        <v>7323</v>
      </c>
      <c r="B2136" s="6" t="s">
        <v>7324</v>
      </c>
      <c r="C2136" s="6" t="s">
        <v>7314</v>
      </c>
      <c r="D2136" s="6" t="s">
        <v>7319</v>
      </c>
      <c r="E2136" s="6" t="s">
        <v>7315</v>
      </c>
      <c r="F2136" s="6" t="str">
        <f>HYPERLINK("http://www.memplastiche.it/","www.memplastiche.it")</f>
        <v>www.memplastiche.it</v>
      </c>
    </row>
    <row r="2137" spans="1:6" ht="16.95" customHeight="1" x14ac:dyDescent="0.25">
      <c r="A2137" s="5" t="s">
        <v>7325</v>
      </c>
      <c r="B2137" s="4" t="s">
        <v>7326</v>
      </c>
      <c r="C2137" s="4" t="s">
        <v>7320</v>
      </c>
      <c r="D2137" s="4" t="s">
        <v>7321</v>
      </c>
      <c r="E2137" s="4" t="s">
        <v>7322</v>
      </c>
      <c r="F2137" s="4" t="str">
        <f>HYPERLINK("http://www.conceriavignola.it/","www.conceriavignola.it")</f>
        <v>www.conceriavignola.it</v>
      </c>
    </row>
    <row r="2138" spans="1:6" ht="16.95" customHeight="1" x14ac:dyDescent="0.25">
      <c r="A2138" s="1" t="s">
        <v>7327</v>
      </c>
      <c r="B2138" s="6" t="s">
        <v>7328</v>
      </c>
      <c r="C2138" s="6" t="s">
        <v>7329</v>
      </c>
      <c r="D2138" s="6" t="s">
        <v>7330</v>
      </c>
      <c r="E2138" s="6" t="s">
        <v>7331</v>
      </c>
      <c r="F2138" s="6" t="str">
        <f>HYPERLINK("http://borsarte.com/","borsarte.com")</f>
        <v>borsarte.com</v>
      </c>
    </row>
    <row r="2139" spans="1:6" ht="16.95" customHeight="1" x14ac:dyDescent="0.25">
      <c r="A2139" s="1" t="s">
        <v>7334</v>
      </c>
      <c r="B2139" s="6" t="s">
        <v>7335</v>
      </c>
      <c r="C2139" s="6" t="s">
        <v>7329</v>
      </c>
      <c r="D2139" s="6" t="s">
        <v>7332</v>
      </c>
      <c r="E2139" s="6" t="s">
        <v>7333</v>
      </c>
      <c r="F2139" s="6" t="str">
        <f>HYPERLINK("http://www.ingrossopelletteria.it/","www.ingrossopelletteria.it")</f>
        <v>www.ingrossopelletteria.it</v>
      </c>
    </row>
    <row r="2140" spans="1:6" ht="16.95" customHeight="1" x14ac:dyDescent="0.25">
      <c r="A2140" s="5" t="s">
        <v>7339</v>
      </c>
      <c r="B2140" s="4" t="s">
        <v>7340</v>
      </c>
      <c r="C2140" s="4" t="s">
        <v>7336</v>
      </c>
      <c r="D2140" s="4" t="s">
        <v>7338</v>
      </c>
      <c r="E2140" s="4" t="s">
        <v>7337</v>
      </c>
      <c r="F2140" s="4" t="str">
        <f>HYPERLINK("http://www.italfussbett.it/","www.italfussbett.it")</f>
        <v>www.italfussbett.it</v>
      </c>
    </row>
    <row r="2141" spans="1:6" ht="16.95" customHeight="1" x14ac:dyDescent="0.25">
      <c r="A2141" s="1" t="s">
        <v>7348</v>
      </c>
      <c r="B2141" s="6" t="s">
        <v>7349</v>
      </c>
      <c r="C2141" s="6" t="s">
        <v>7341</v>
      </c>
      <c r="D2141" s="6" t="s">
        <v>7344</v>
      </c>
      <c r="E2141" s="6" t="s">
        <v>7345</v>
      </c>
      <c r="F2141" s="6" t="str">
        <f>HYPERLINK("http://www.pelletteriachance.com/","www.pelletteriachance.com")</f>
        <v>www.pelletteriachance.com</v>
      </c>
    </row>
    <row r="2142" spans="1:6" ht="16.95" customHeight="1" x14ac:dyDescent="0.25">
      <c r="A2142" s="5" t="s">
        <v>7351</v>
      </c>
      <c r="B2142" s="4" t="s">
        <v>7352</v>
      </c>
      <c r="C2142" s="4" t="s">
        <v>7346</v>
      </c>
      <c r="D2142" s="4" t="s">
        <v>7350</v>
      </c>
      <c r="E2142" s="4" t="s">
        <v>7347</v>
      </c>
      <c r="F2142" s="4" t="str">
        <f>HYPERLINK("http://yoditalia.it/","yoditalia.it")</f>
        <v>yoditalia.it</v>
      </c>
    </row>
    <row r="2143" spans="1:6" ht="16.95" customHeight="1" x14ac:dyDescent="0.25">
      <c r="A2143" s="5" t="s">
        <v>7353</v>
      </c>
      <c r="B2143" s="4" t="s">
        <v>7354</v>
      </c>
      <c r="C2143" s="4" t="s">
        <v>7342</v>
      </c>
      <c r="D2143" s="4" t="s">
        <v>7355</v>
      </c>
      <c r="E2143" s="4" t="s">
        <v>7343</v>
      </c>
      <c r="F2143" s="4" t="str">
        <f>HYPERLINK("http://www.calzaturezamagni.it/","www.calzaturezamagni.it")</f>
        <v>www.calzaturezamagni.it</v>
      </c>
    </row>
    <row r="2144" spans="1:6" ht="29.55" customHeight="1" x14ac:dyDescent="0.25">
      <c r="A2144" s="1" t="s">
        <v>7356</v>
      </c>
      <c r="B2144" s="6" t="s">
        <v>7357</v>
      </c>
      <c r="C2144" s="6" t="s">
        <v>7358</v>
      </c>
      <c r="D2144" s="6" t="s">
        <v>7359</v>
      </c>
      <c r="E2144" s="6" t="s">
        <v>7360</v>
      </c>
      <c r="F2144" s="6" t="str">
        <f>HYPERLINK("http://www.saintanthony.it/","www.saintanthony.it")</f>
        <v>www.saintanthony.it</v>
      </c>
    </row>
    <row r="2145" spans="1:6" ht="29.55" customHeight="1" x14ac:dyDescent="0.25">
      <c r="A2145" s="1" t="s">
        <v>7361</v>
      </c>
      <c r="B2145" s="6" t="s">
        <v>7362</v>
      </c>
      <c r="C2145" s="6" t="s">
        <v>7363</v>
      </c>
      <c r="D2145" s="6" t="s">
        <v>7364</v>
      </c>
      <c r="E2145" s="6" t="s">
        <v>7365</v>
      </c>
      <c r="F2145" s="6" t="str">
        <f>HYPERLINK("http://www.casacciapelletterie.com/","www.casacciapelletterie.com")</f>
        <v>www.casacciapelletterie.com</v>
      </c>
    </row>
    <row r="2146" spans="1:6" ht="16.95" customHeight="1" x14ac:dyDescent="0.25">
      <c r="A2146" s="5" t="s">
        <v>7366</v>
      </c>
      <c r="B2146" s="4" t="s">
        <v>7367</v>
      </c>
      <c r="C2146" s="4" t="s">
        <v>7368</v>
      </c>
      <c r="D2146" s="4" t="s">
        <v>7369</v>
      </c>
      <c r="E2146" s="4" t="s">
        <v>7370</v>
      </c>
      <c r="F2146" s="4" t="str">
        <f>HYPERLINK("http://www.braintropy.it/","www.braintropy.it")</f>
        <v>www.braintropy.it</v>
      </c>
    </row>
    <row r="2147" spans="1:6" ht="29.55" customHeight="1" x14ac:dyDescent="0.25">
      <c r="A2147" s="1" t="s">
        <v>7374</v>
      </c>
      <c r="B2147" s="6" t="s">
        <v>7375</v>
      </c>
      <c r="C2147" s="6" t="s">
        <v>7371</v>
      </c>
      <c r="D2147" s="6" t="s">
        <v>7376</v>
      </c>
      <c r="E2147" s="6" t="s">
        <v>7377</v>
      </c>
      <c r="F2147" s="6" t="str">
        <f>HYPERLINK("http://www.nogs.it/","www.nogs.it")</f>
        <v>www.nogs.it</v>
      </c>
    </row>
    <row r="2148" spans="1:6" ht="16.95" customHeight="1" x14ac:dyDescent="0.25">
      <c r="A2148" s="5" t="s">
        <v>7378</v>
      </c>
      <c r="B2148" s="4" t="s">
        <v>7379</v>
      </c>
      <c r="C2148" s="4" t="s">
        <v>7368</v>
      </c>
      <c r="D2148" s="4" t="s">
        <v>7373</v>
      </c>
      <c r="E2148" s="4" t="s">
        <v>7372</v>
      </c>
      <c r="F2148" s="4" t="str">
        <f>HYPERLINK("http://www.nonsolocuoio.com/","www.nonsolocuoio.com")</f>
        <v>www.nonsolocuoio.com</v>
      </c>
    </row>
    <row r="2149" spans="1:6" ht="43.05" customHeight="1" x14ac:dyDescent="0.25">
      <c r="A2149" s="1" t="s">
        <v>7380</v>
      </c>
      <c r="B2149" s="6" t="s">
        <v>7381</v>
      </c>
      <c r="C2149" s="6" t="s">
        <v>7371</v>
      </c>
      <c r="D2149" s="6" t="s">
        <v>7364</v>
      </c>
      <c r="E2149" s="6" t="s">
        <v>7365</v>
      </c>
      <c r="F2149" s="6" t="str">
        <f>HYPERLINK("http://www.amarilli.biz/","www.amarilli.biz")</f>
        <v>www.amarilli.biz</v>
      </c>
    </row>
    <row r="2150" spans="1:6" ht="16.95" customHeight="1" x14ac:dyDescent="0.25">
      <c r="A2150" s="1" t="s">
        <v>7382</v>
      </c>
      <c r="B2150" s="6" t="s">
        <v>7383</v>
      </c>
      <c r="C2150" s="6" t="s">
        <v>7384</v>
      </c>
      <c r="D2150" s="6" t="s">
        <v>7385</v>
      </c>
      <c r="E2150" s="6" t="s">
        <v>7386</v>
      </c>
      <c r="F2150" s="6" t="str">
        <f>HYPERLINK("http://www.marcantonigiuseppe.it/","www.marcantonigiuseppe.it")</f>
        <v>www.marcantonigiuseppe.it</v>
      </c>
    </row>
    <row r="2151" spans="1:6" ht="16.95" customHeight="1" x14ac:dyDescent="0.25">
      <c r="A2151" s="1" t="s">
        <v>7390</v>
      </c>
      <c r="B2151" s="6" t="s">
        <v>7391</v>
      </c>
      <c r="C2151" s="6" t="s">
        <v>7392</v>
      </c>
      <c r="D2151" s="6" t="s">
        <v>7393</v>
      </c>
      <c r="E2151" s="6" t="s">
        <v>7394</v>
      </c>
      <c r="F2151" s="6" t="str">
        <f>HYPERLINK("http://xxcrossconcept.com/","xxcrossconcept.com")</f>
        <v>xxcrossconcept.com</v>
      </c>
    </row>
    <row r="2152" spans="1:6" ht="43.05" customHeight="1" x14ac:dyDescent="0.25">
      <c r="A2152" s="1" t="s">
        <v>7395</v>
      </c>
      <c r="B2152" s="6" t="s">
        <v>7396</v>
      </c>
      <c r="C2152" s="6" t="s">
        <v>7392</v>
      </c>
      <c r="D2152" s="6" t="s">
        <v>7397</v>
      </c>
      <c r="E2152" s="6" t="s">
        <v>7398</v>
      </c>
      <c r="F2152" s="6" t="str">
        <f>HYPERLINK("http://sensocreativo.net/","sensocreativo.net")</f>
        <v>sensocreativo.net</v>
      </c>
    </row>
    <row r="2153" spans="1:6" ht="29.55" customHeight="1" x14ac:dyDescent="0.25">
      <c r="A2153" s="1" t="s">
        <v>7400</v>
      </c>
      <c r="B2153" s="6" t="s">
        <v>7401</v>
      </c>
      <c r="C2153" s="6" t="s">
        <v>7384</v>
      </c>
      <c r="D2153" s="6" t="s">
        <v>7385</v>
      </c>
      <c r="E2153" s="6" t="s">
        <v>7386</v>
      </c>
      <c r="F2153" s="6" t="str">
        <f>HYPERLINK("http://www.iowaboots.it/","www.iowaboots.it")</f>
        <v>www.iowaboots.it</v>
      </c>
    </row>
    <row r="2154" spans="1:6" ht="43.05" customHeight="1" x14ac:dyDescent="0.25">
      <c r="A2154" s="5" t="s">
        <v>7402</v>
      </c>
      <c r="B2154" s="4" t="s">
        <v>7403</v>
      </c>
      <c r="C2154" s="4" t="s">
        <v>7387</v>
      </c>
      <c r="D2154" s="4" t="s">
        <v>7388</v>
      </c>
      <c r="E2154" s="4" t="s">
        <v>7389</v>
      </c>
      <c r="F2154" s="4" t="str">
        <f>HYPERLINK("http://www.luxbrand.it/","www.luxbrand.it")</f>
        <v>www.luxbrand.it</v>
      </c>
    </row>
    <row r="2155" spans="1:6" ht="43.05" customHeight="1" x14ac:dyDescent="0.25">
      <c r="A2155" s="5" t="s">
        <v>7404</v>
      </c>
      <c r="B2155" s="4" t="s">
        <v>7405</v>
      </c>
      <c r="C2155" s="4" t="s">
        <v>7384</v>
      </c>
      <c r="D2155" s="4" t="s">
        <v>7406</v>
      </c>
      <c r="E2155" s="4" t="s">
        <v>7407</v>
      </c>
      <c r="F2155" s="4" t="str">
        <f>HYPERLINK("http://www.lucianacavalli.it/","www.lucianacavalli.it")</f>
        <v>www.lucianacavalli.it</v>
      </c>
    </row>
    <row r="2156" spans="1:6" ht="16.95" customHeight="1" x14ac:dyDescent="0.25">
      <c r="A2156" s="5" t="s">
        <v>7408</v>
      </c>
      <c r="B2156" s="4" t="s">
        <v>7409</v>
      </c>
      <c r="C2156" s="4" t="s">
        <v>7392</v>
      </c>
      <c r="D2156" s="4" t="s">
        <v>7399</v>
      </c>
      <c r="E2156" s="4" t="s">
        <v>7394</v>
      </c>
      <c r="F2156" s="4" t="str">
        <f>HYPERLINK("http://www.capoverso.eu/","www.capoverso.eu")</f>
        <v>www.capoverso.eu</v>
      </c>
    </row>
    <row r="2157" spans="1:6" ht="16.95" customHeight="1" x14ac:dyDescent="0.25">
      <c r="A2157" s="1" t="s">
        <v>7413</v>
      </c>
      <c r="B2157" s="6" t="s">
        <v>7414</v>
      </c>
      <c r="C2157" s="6" t="s">
        <v>7410</v>
      </c>
      <c r="D2157" s="6" t="s">
        <v>7415</v>
      </c>
      <c r="E2157" s="6" t="s">
        <v>7416</v>
      </c>
      <c r="F2157" s="6" t="str">
        <f>HYPERLINK("http://www.tooitaly.it/","www.tooitaly.it")</f>
        <v>www.tooitaly.it</v>
      </c>
    </row>
    <row r="2158" spans="1:6" ht="16.95" customHeight="1" x14ac:dyDescent="0.25">
      <c r="A2158" s="1" t="s">
        <v>7418</v>
      </c>
      <c r="B2158" s="6" t="s">
        <v>7419</v>
      </c>
      <c r="C2158" s="6" t="s">
        <v>7420</v>
      </c>
      <c r="D2158" s="6" t="s">
        <v>7421</v>
      </c>
      <c r="E2158" s="6" t="s">
        <v>7422</v>
      </c>
      <c r="F2158" s="6" t="str">
        <f>HYPERLINK("http://www.matrasbags.it/","www.matrasbags.it")</f>
        <v>www.matrasbags.it</v>
      </c>
    </row>
    <row r="2159" spans="1:6" ht="16.95" customHeight="1" x14ac:dyDescent="0.25">
      <c r="A2159" s="1" t="s">
        <v>7423</v>
      </c>
      <c r="B2159" s="6" t="s">
        <v>7424</v>
      </c>
      <c r="C2159" s="6" t="s">
        <v>7417</v>
      </c>
      <c r="D2159" s="6" t="s">
        <v>7412</v>
      </c>
      <c r="E2159" s="6" t="s">
        <v>7411</v>
      </c>
      <c r="F2159" s="6" t="str">
        <f>HYPERLINK("http://amelialineshoes.com/","amelialineshoes.com")</f>
        <v>amelialineshoes.com</v>
      </c>
    </row>
    <row r="2160" spans="1:6" ht="29.55" customHeight="1" x14ac:dyDescent="0.25">
      <c r="A2160" s="5" t="s">
        <v>7428</v>
      </c>
      <c r="B2160" s="4" t="s">
        <v>7429</v>
      </c>
      <c r="C2160" s="4" t="s">
        <v>7430</v>
      </c>
      <c r="D2160" s="4" t="s">
        <v>7431</v>
      </c>
      <c r="E2160" s="4" t="s">
        <v>7426</v>
      </c>
      <c r="F2160" s="4" t="str">
        <f>HYPERLINK("http://madeinsudsalento.it/","madeinsudsalento.it")</f>
        <v>madeinsudsalento.it</v>
      </c>
    </row>
    <row r="2161" spans="1:6" ht="16.95" customHeight="1" x14ac:dyDescent="0.25">
      <c r="A2161" s="5" t="s">
        <v>7434</v>
      </c>
      <c r="B2161" s="4" t="s">
        <v>7435</v>
      </c>
      <c r="C2161" s="4" t="s">
        <v>7425</v>
      </c>
      <c r="D2161" s="4" t="s">
        <v>7432</v>
      </c>
      <c r="E2161" s="4" t="s">
        <v>7433</v>
      </c>
      <c r="F2161" s="4" t="str">
        <f>HYPERLINK("http://www.melania.it/","www.melania.it")</f>
        <v>www.melania.it</v>
      </c>
    </row>
    <row r="2162" spans="1:6" ht="16.95" customHeight="1" x14ac:dyDescent="0.25">
      <c r="A2162" s="1" t="s">
        <v>7436</v>
      </c>
      <c r="B2162" s="6" t="s">
        <v>7437</v>
      </c>
      <c r="C2162" s="6" t="s">
        <v>7427</v>
      </c>
      <c r="D2162" s="6" t="s">
        <v>7438</v>
      </c>
      <c r="E2162" s="6" t="s">
        <v>7439</v>
      </c>
      <c r="F2162" s="6" t="str">
        <f>HYPERLINK("http://www.francogiazzi.com/","www.francogiazzi.com")</f>
        <v>www.francogiazzi.com</v>
      </c>
    </row>
    <row r="2163" spans="1:6" ht="43.05" customHeight="1" x14ac:dyDescent="0.25">
      <c r="A2163" s="1" t="s">
        <v>7440</v>
      </c>
      <c r="B2163" s="6" t="s">
        <v>7441</v>
      </c>
      <c r="C2163" s="6" t="s">
        <v>7430</v>
      </c>
      <c r="D2163" s="6" t="s">
        <v>7432</v>
      </c>
      <c r="E2163" s="6" t="s">
        <v>7433</v>
      </c>
      <c r="F2163" s="6" t="str">
        <f>HYPERLINK("http://www.fabiozama.it/","www.fabiozama.it")</f>
        <v>www.fabiozama.it</v>
      </c>
    </row>
    <row r="2164" spans="1:6" ht="16.95" customHeight="1" x14ac:dyDescent="0.25">
      <c r="A2164" s="1" t="s">
        <v>7448</v>
      </c>
      <c r="B2164" s="6" t="s">
        <v>7449</v>
      </c>
      <c r="C2164" s="6" t="s">
        <v>7450</v>
      </c>
      <c r="D2164" s="6" t="s">
        <v>7451</v>
      </c>
      <c r="E2164" s="6" t="s">
        <v>7452</v>
      </c>
      <c r="F2164" s="6" t="str">
        <f>HYPERLINK("http://www.zacconeaccessori.com/","www.zacconeaccessori.com")</f>
        <v>www.zacconeaccessori.com</v>
      </c>
    </row>
    <row r="2165" spans="1:6" ht="16.95" customHeight="1" x14ac:dyDescent="0.25">
      <c r="A2165" s="5" t="s">
        <v>7453</v>
      </c>
      <c r="B2165" s="4" t="s">
        <v>7454</v>
      </c>
      <c r="C2165" s="4" t="s">
        <v>7444</v>
      </c>
      <c r="D2165" s="4" t="s">
        <v>7446</v>
      </c>
      <c r="E2165" s="4" t="s">
        <v>7445</v>
      </c>
      <c r="F2165" s="4" t="str">
        <f>HYPERLINK("http://www.tileelit.it/","www.tileelit.it")</f>
        <v>www.tileelit.it</v>
      </c>
    </row>
    <row r="2166" spans="1:6" ht="16.95" customHeight="1" x14ac:dyDescent="0.25">
      <c r="A2166" s="1" t="s">
        <v>7456</v>
      </c>
      <c r="B2166" s="6" t="s">
        <v>7457</v>
      </c>
      <c r="C2166" s="6" t="s">
        <v>7444</v>
      </c>
      <c r="D2166" s="6" t="s">
        <v>7458</v>
      </c>
      <c r="E2166" s="6" t="s">
        <v>7459</v>
      </c>
      <c r="F2166" s="6" t="str">
        <f>HYPERLINK("http://atdsupply.com/","atdsupply.com")</f>
        <v>atdsupply.com</v>
      </c>
    </row>
    <row r="2167" spans="1:6" ht="16.95" customHeight="1" x14ac:dyDescent="0.25">
      <c r="A2167" s="1" t="s">
        <v>7460</v>
      </c>
      <c r="B2167" s="6" t="s">
        <v>7461</v>
      </c>
      <c r="C2167" s="6" t="s">
        <v>7444</v>
      </c>
      <c r="D2167" s="6" t="s">
        <v>7442</v>
      </c>
      <c r="E2167" s="6" t="s">
        <v>7443</v>
      </c>
      <c r="F2167" s="6" t="str">
        <f>HYPERLINK("http://www.nuti.com/","www.nuti.com")</f>
        <v>www.nuti.com</v>
      </c>
    </row>
    <row r="2168" spans="1:6" ht="16.95" customHeight="1" x14ac:dyDescent="0.25">
      <c r="A2168" s="5" t="s">
        <v>7462</v>
      </c>
      <c r="B2168" s="4" t="s">
        <v>7463</v>
      </c>
      <c r="C2168" s="4" t="s">
        <v>7447</v>
      </c>
      <c r="D2168" s="4" t="s">
        <v>7464</v>
      </c>
      <c r="E2168" s="4" t="s">
        <v>7455</v>
      </c>
      <c r="F2168" s="4" t="str">
        <f>HYPERLINK("http://conintecom.com/","conintecom.com")</f>
        <v>conintecom.com</v>
      </c>
    </row>
    <row r="2169" spans="1:6" ht="16.95" customHeight="1" x14ac:dyDescent="0.25">
      <c r="A2169" s="1" t="s">
        <v>7465</v>
      </c>
      <c r="B2169" s="6" t="s">
        <v>7466</v>
      </c>
      <c r="C2169" s="6" t="s">
        <v>7444</v>
      </c>
      <c r="D2169" s="6" t="s">
        <v>7458</v>
      </c>
      <c r="E2169" s="6" t="s">
        <v>7459</v>
      </c>
      <c r="F2169" s="6" t="str">
        <f>HYPERLINK("http://www.rosenbergmilano.it/","www.rosenbergmilano.it")</f>
        <v>www.rosenbergmilano.it</v>
      </c>
    </row>
    <row r="2170" spans="1:6" ht="16.95" customHeight="1" x14ac:dyDescent="0.25">
      <c r="A2170" s="5" t="s">
        <v>7467</v>
      </c>
      <c r="B2170" s="4" t="s">
        <v>7468</v>
      </c>
      <c r="C2170" s="4" t="s">
        <v>7447</v>
      </c>
      <c r="D2170" s="4" t="s">
        <v>7469</v>
      </c>
      <c r="E2170" s="4" t="s">
        <v>7445</v>
      </c>
      <c r="F2170" s="4" t="str">
        <f>HYPERLINK("http://recircled.com/","recircled.com")</f>
        <v>recircled.com</v>
      </c>
    </row>
    <row r="2171" spans="1:6" ht="16.95" customHeight="1" x14ac:dyDescent="0.25">
      <c r="A2171" s="1" t="s">
        <v>7473</v>
      </c>
      <c r="B2171" s="6" t="s">
        <v>7474</v>
      </c>
      <c r="C2171" s="6" t="s">
        <v>7470</v>
      </c>
      <c r="D2171" s="6" t="s">
        <v>7475</v>
      </c>
      <c r="E2171" s="6" t="s">
        <v>7476</v>
      </c>
      <c r="F2171" s="6" t="str">
        <f>HYPERLINK("http://www.studswar.com/","www.studswar.com")</f>
        <v>www.studswar.com</v>
      </c>
    </row>
    <row r="2172" spans="1:6" ht="16.95" customHeight="1" x14ac:dyDescent="0.25">
      <c r="A2172" s="5" t="s">
        <v>7478</v>
      </c>
      <c r="B2172" s="4" t="s">
        <v>7479</v>
      </c>
      <c r="C2172" s="4" t="s">
        <v>7470</v>
      </c>
      <c r="D2172" s="4" t="s">
        <v>7480</v>
      </c>
      <c r="E2172" s="4" t="s">
        <v>7477</v>
      </c>
      <c r="F2172" s="4" t="str">
        <f>HYPERLINK("http://www.iysi.it/","www.iysi.it")</f>
        <v>www.iysi.it</v>
      </c>
    </row>
    <row r="2173" spans="1:6" ht="16.95" customHeight="1" x14ac:dyDescent="0.25">
      <c r="A2173" s="1" t="s">
        <v>7481</v>
      </c>
      <c r="B2173" s="6" t="s">
        <v>7482</v>
      </c>
      <c r="C2173" s="6" t="s">
        <v>7470</v>
      </c>
      <c r="D2173" s="6" t="s">
        <v>7471</v>
      </c>
      <c r="E2173" s="6" t="s">
        <v>7472</v>
      </c>
      <c r="F2173" s="6" t="str">
        <f>HYPERLINK("http://www.carpan.com/","www.carpan.com")</f>
        <v>www.carpan.com</v>
      </c>
    </row>
    <row r="2174" spans="1:6" ht="16.95" customHeight="1" x14ac:dyDescent="0.25">
      <c r="A2174" s="5" t="s">
        <v>7488</v>
      </c>
      <c r="B2174" s="4" t="s">
        <v>7489</v>
      </c>
      <c r="C2174" s="4" t="s">
        <v>7483</v>
      </c>
      <c r="D2174" s="4" t="s">
        <v>7485</v>
      </c>
      <c r="E2174" s="4" t="s">
        <v>7486</v>
      </c>
      <c r="F2174" s="4" t="str">
        <f>HYPERLINK("http://www.federicaberardelli.com/","www.federicaberardelli.com")</f>
        <v>www.federicaberardelli.com</v>
      </c>
    </row>
    <row r="2175" spans="1:6" ht="16.95" customHeight="1" x14ac:dyDescent="0.25">
      <c r="A2175" s="1" t="s">
        <v>7491</v>
      </c>
      <c r="B2175" s="6" t="s">
        <v>7492</v>
      </c>
      <c r="C2175" s="6" t="s">
        <v>7490</v>
      </c>
      <c r="D2175" s="6" t="s">
        <v>7493</v>
      </c>
      <c r="E2175" s="6" t="s">
        <v>7487</v>
      </c>
      <c r="F2175" s="6" t="str">
        <f>HYPERLINK("http://www.espadasrl.it/","www.espadasrl.it")</f>
        <v>www.espadasrl.it</v>
      </c>
    </row>
    <row r="2176" spans="1:6" ht="16.95" customHeight="1" x14ac:dyDescent="0.25">
      <c r="A2176" s="5" t="s">
        <v>7494</v>
      </c>
      <c r="B2176" s="4" t="s">
        <v>7495</v>
      </c>
      <c r="C2176" s="4" t="s">
        <v>7483</v>
      </c>
      <c r="D2176" s="4" t="s">
        <v>7496</v>
      </c>
      <c r="E2176" s="4" t="s">
        <v>7486</v>
      </c>
      <c r="F2176" s="4" t="str">
        <f>HYPERLINK("http://www.francescaevangelista.it/","www.francescaevangelista.it")</f>
        <v>www.francescaevangelista.it</v>
      </c>
    </row>
    <row r="2177" spans="1:6" ht="29.55" customHeight="1" x14ac:dyDescent="0.25">
      <c r="A2177" s="5" t="s">
        <v>7497</v>
      </c>
      <c r="B2177" s="4" t="s">
        <v>7498</v>
      </c>
      <c r="C2177" s="4" t="s">
        <v>7484</v>
      </c>
      <c r="D2177" s="4" t="s">
        <v>7499</v>
      </c>
      <c r="E2177" s="4" t="s">
        <v>7487</v>
      </c>
      <c r="F2177" s="4" t="str">
        <f>HYPERLINK("http://www.alessandropiacentini.it/","www.alessandropiacentini.it")</f>
        <v>www.alessandropiacentini.it</v>
      </c>
    </row>
    <row r="2178" spans="1:6" ht="16.95" customHeight="1" x14ac:dyDescent="0.25">
      <c r="A2178" s="1" t="s">
        <v>7501</v>
      </c>
      <c r="B2178" s="6" t="s">
        <v>7502</v>
      </c>
      <c r="C2178" s="6" t="s">
        <v>7500</v>
      </c>
      <c r="D2178" s="6" t="s">
        <v>7503</v>
      </c>
      <c r="E2178" s="6" t="s">
        <v>7504</v>
      </c>
      <c r="F2178" s="6" t="str">
        <f>HYPERLINK("http://de.piccologiocondo.com/","de.piccologiocondo.com")</f>
        <v>de.piccologiocondo.com</v>
      </c>
    </row>
    <row r="2179" spans="1:6" ht="55.65" customHeight="1" x14ac:dyDescent="0.25">
      <c r="A2179" s="5" t="s">
        <v>7505</v>
      </c>
      <c r="B2179" s="4" t="s">
        <v>7506</v>
      </c>
      <c r="C2179" s="4" t="s">
        <v>7500</v>
      </c>
      <c r="D2179" s="4" t="s">
        <v>7507</v>
      </c>
      <c r="E2179" s="4" t="s">
        <v>7508</v>
      </c>
      <c r="F2179" s="4" t="str">
        <f>HYPERLINK("http://www.emozioniinliberta.com/","www.emozioniinliberta.com")</f>
        <v>www.emozioniinliberta.com</v>
      </c>
    </row>
    <row r="2180" spans="1:6" ht="29.55" customHeight="1" x14ac:dyDescent="0.25">
      <c r="A2180" s="5" t="s">
        <v>7510</v>
      </c>
      <c r="B2180" s="4" t="s">
        <v>7511</v>
      </c>
      <c r="C2180" s="4" t="s">
        <v>7509</v>
      </c>
      <c r="D2180" s="4" t="s">
        <v>7512</v>
      </c>
      <c r="E2180" s="4" t="s">
        <v>7513</v>
      </c>
      <c r="F2180" s="4" t="str">
        <f>HYPERLINK("http://www.tregazzelle.com/","http://www.tregazzelle.com")</f>
        <v>http://www.tregazzelle.com</v>
      </c>
    </row>
    <row r="2181" spans="1:6" ht="16.95" customHeight="1" x14ac:dyDescent="0.25">
      <c r="A2181" s="5" t="s">
        <v>7516</v>
      </c>
      <c r="B2181" s="4" t="s">
        <v>7517</v>
      </c>
      <c r="C2181" s="4" t="s">
        <v>7500</v>
      </c>
      <c r="D2181" s="4" t="s">
        <v>7514</v>
      </c>
      <c r="E2181" s="4" t="s">
        <v>7515</v>
      </c>
      <c r="F2181" s="4" t="str">
        <f>HYPERLINK("http://www.be-initia.com/","www.be-initia.com")</f>
        <v>www.be-initia.com</v>
      </c>
    </row>
    <row r="2182" spans="1:6" ht="16.95" customHeight="1" x14ac:dyDescent="0.25">
      <c r="A2182" s="5" t="s">
        <v>7520</v>
      </c>
      <c r="B2182" s="4" t="s">
        <v>7521</v>
      </c>
      <c r="C2182" s="4" t="s">
        <v>7518</v>
      </c>
      <c r="D2182" s="4" t="s">
        <v>7522</v>
      </c>
      <c r="E2182" s="4" t="s">
        <v>7523</v>
      </c>
      <c r="F2182" s="4" t="str">
        <f>HYPERLINK("http://www.yuman.it/","www.yuman.it")</f>
        <v>www.yuman.it</v>
      </c>
    </row>
    <row r="2183" spans="1:6" ht="16.95" customHeight="1" x14ac:dyDescent="0.25">
      <c r="A2183" s="5" t="s">
        <v>7526</v>
      </c>
      <c r="B2183" s="4" t="s">
        <v>7527</v>
      </c>
      <c r="C2183" s="4" t="s">
        <v>7518</v>
      </c>
      <c r="D2183" s="4" t="s">
        <v>7528</v>
      </c>
      <c r="E2183" s="4" t="s">
        <v>7525</v>
      </c>
      <c r="F2183" s="4" t="str">
        <f>HYPERLINK("http://www.maisonbag.com/","www.maisonbag.com")</f>
        <v>www.maisonbag.com</v>
      </c>
    </row>
    <row r="2184" spans="1:6" ht="16.95" customHeight="1" x14ac:dyDescent="0.25">
      <c r="A2184" s="1" t="s">
        <v>7529</v>
      </c>
      <c r="B2184" s="6" t="s">
        <v>7530</v>
      </c>
      <c r="C2184" s="6" t="s">
        <v>7524</v>
      </c>
      <c r="D2184" s="6" t="s">
        <v>7531</v>
      </c>
      <c r="E2184" s="6" t="s">
        <v>7532</v>
      </c>
      <c r="F2184" s="6" t="str">
        <f>HYPERLINK("http://calzature.offertetopabruzzo.it/","calzature.offertetopabruzzo.it")</f>
        <v>calzature.offertetopabruzzo.it</v>
      </c>
    </row>
    <row r="2185" spans="1:6" ht="16.95" customHeight="1" x14ac:dyDescent="0.25">
      <c r="A2185" s="1" t="s">
        <v>7536</v>
      </c>
      <c r="B2185" s="6" t="s">
        <v>7537</v>
      </c>
      <c r="C2185" s="6" t="s">
        <v>7538</v>
      </c>
      <c r="D2185" s="6" t="s">
        <v>7539</v>
      </c>
      <c r="E2185" s="6" t="s">
        <v>7525</v>
      </c>
      <c r="F2185" s="6" t="str">
        <f>HYPERLINK("http://www.atlassolesfactory.it/","www.atlassolesfactory.it")</f>
        <v>www.atlassolesfactory.it</v>
      </c>
    </row>
    <row r="2186" spans="1:6" ht="29.55" customHeight="1" x14ac:dyDescent="0.25">
      <c r="A2186" s="5" t="s">
        <v>7540</v>
      </c>
      <c r="B2186" s="4" t="s">
        <v>7541</v>
      </c>
      <c r="C2186" s="4" t="s">
        <v>7519</v>
      </c>
      <c r="D2186" s="4" t="s">
        <v>7539</v>
      </c>
      <c r="E2186" s="4" t="s">
        <v>7525</v>
      </c>
      <c r="F2186" s="4" t="str">
        <f>HYPERLINK("http://www.bomar-spa.com/","www.bomar-spa.com")</f>
        <v>www.bomar-spa.com</v>
      </c>
    </row>
    <row r="2187" spans="1:6" ht="16.95" customHeight="1" x14ac:dyDescent="0.25">
      <c r="A2187" s="1" t="s">
        <v>7542</v>
      </c>
      <c r="B2187" s="6" t="s">
        <v>7543</v>
      </c>
      <c r="C2187" s="6" t="s">
        <v>7518</v>
      </c>
      <c r="D2187" s="6" t="s">
        <v>7544</v>
      </c>
      <c r="E2187" s="6" t="s">
        <v>7533</v>
      </c>
      <c r="F2187" s="6" t="str">
        <f>HYPERLINK("http://www.deglupta.it/","www.deglupta.it")</f>
        <v>www.deglupta.it</v>
      </c>
    </row>
    <row r="2188" spans="1:6" ht="16.95" customHeight="1" x14ac:dyDescent="0.25">
      <c r="A2188" s="5" t="s">
        <v>7545</v>
      </c>
      <c r="B2188" s="4" t="s">
        <v>7546</v>
      </c>
      <c r="C2188" s="4" t="s">
        <v>7519</v>
      </c>
      <c r="D2188" s="4" t="s">
        <v>7534</v>
      </c>
      <c r="E2188" s="4" t="s">
        <v>7535</v>
      </c>
      <c r="F2188" s="4" t="str">
        <f>HYPERLINK("http://www.santangelobags.com/","www.santangelobags.com")</f>
        <v>www.santangelobags.com</v>
      </c>
    </row>
    <row r="2189" spans="1:6" ht="16.95" customHeight="1" x14ac:dyDescent="0.25">
      <c r="A2189" s="5" t="s">
        <v>7550</v>
      </c>
      <c r="B2189" s="4" t="s">
        <v>7551</v>
      </c>
      <c r="C2189" s="4" t="s">
        <v>7547</v>
      </c>
      <c r="D2189" s="4" t="s">
        <v>7548</v>
      </c>
      <c r="E2189" s="4" t="s">
        <v>7549</v>
      </c>
      <c r="F2189" s="4" t="str">
        <f>HYPERLINK("http://stile-unico.myopen2b.com/","stile-unico.myopen2b.com")</f>
        <v>stile-unico.myopen2b.com</v>
      </c>
    </row>
    <row r="2190" spans="1:6" ht="16.95" customHeight="1" x14ac:dyDescent="0.25">
      <c r="A2190" s="5" t="s">
        <v>7552</v>
      </c>
      <c r="B2190" s="4" t="s">
        <v>7553</v>
      </c>
      <c r="C2190" s="4" t="s">
        <v>7547</v>
      </c>
      <c r="D2190" s="4" t="s">
        <v>7548</v>
      </c>
      <c r="E2190" s="4" t="s">
        <v>7549</v>
      </c>
      <c r="F2190" s="4" t="str">
        <f>HYPERLINK("http://www.bettaninshoes.com/","www.bettaninshoes.com")</f>
        <v>www.bettaninshoes.com</v>
      </c>
    </row>
    <row r="2191" spans="1:6" ht="16.95" customHeight="1" x14ac:dyDescent="0.25">
      <c r="A2191" s="5" t="s">
        <v>7556</v>
      </c>
      <c r="B2191" s="4" t="s">
        <v>7557</v>
      </c>
      <c r="C2191" s="4" t="s">
        <v>7554</v>
      </c>
      <c r="D2191" s="4" t="s">
        <v>7555</v>
      </c>
      <c r="E2191" s="4" t="s">
        <v>7549</v>
      </c>
      <c r="F2191" s="4" t="str">
        <f>HYPERLINK("http://www.thimeco.it/","www.thimeco.it")</f>
        <v>www.thimeco.it</v>
      </c>
    </row>
    <row r="2192" spans="1:6" ht="43.05" customHeight="1" x14ac:dyDescent="0.25">
      <c r="A2192" s="5" t="s">
        <v>7558</v>
      </c>
      <c r="B2192" s="4" t="s">
        <v>7559</v>
      </c>
      <c r="C2192" s="4" t="s">
        <v>7547</v>
      </c>
      <c r="D2192" s="4" t="s">
        <v>7555</v>
      </c>
      <c r="E2192" s="4" t="s">
        <v>7549</v>
      </c>
      <c r="F2192" s="4" t="str">
        <f>HYPERLINK("http://www.gattodoro.it/","www.gattodoro.it")</f>
        <v>www.gattodoro.it</v>
      </c>
    </row>
    <row r="2193" spans="1:6" ht="16.95" customHeight="1" x14ac:dyDescent="0.25">
      <c r="A2193" s="1" t="s">
        <v>7564</v>
      </c>
      <c r="B2193" s="6" t="s">
        <v>7565</v>
      </c>
      <c r="C2193" s="6" t="s">
        <v>7563</v>
      </c>
      <c r="D2193" s="6" t="s">
        <v>7561</v>
      </c>
      <c r="E2193" s="6" t="s">
        <v>7562</v>
      </c>
      <c r="F2193" s="6" t="str">
        <f>HYPERLINK("http://www.clicleather.it/","www.clicleather.it")</f>
        <v>www.clicleather.it</v>
      </c>
    </row>
    <row r="2194" spans="1:6" ht="43.05" customHeight="1" x14ac:dyDescent="0.25">
      <c r="A2194" s="5" t="s">
        <v>7567</v>
      </c>
      <c r="B2194" s="4" t="s">
        <v>7568</v>
      </c>
      <c r="C2194" s="4" t="s">
        <v>7569</v>
      </c>
      <c r="D2194" s="4" t="s">
        <v>7566</v>
      </c>
      <c r="E2194" s="4" t="s">
        <v>7562</v>
      </c>
      <c r="F2194" s="4" t="str">
        <f>HYPERLINK("http://www.solettificioemmepi.it/","www.solettificioemmepi.it")</f>
        <v>www.solettificioemmepi.it</v>
      </c>
    </row>
    <row r="2195" spans="1:6" ht="16.95" customHeight="1" x14ac:dyDescent="0.25">
      <c r="A2195" s="1" t="s">
        <v>7570</v>
      </c>
      <c r="B2195" s="6" t="s">
        <v>7571</v>
      </c>
      <c r="C2195" s="6" t="s">
        <v>7560</v>
      </c>
      <c r="D2195" s="6" t="s">
        <v>7566</v>
      </c>
      <c r="E2195" s="6" t="s">
        <v>7562</v>
      </c>
      <c r="F2195" s="6" t="str">
        <f>HYPERLINK("http://www.antoniobarbato.store/","www.antoniobarbato.store")</f>
        <v>www.antoniobarbato.store</v>
      </c>
    </row>
    <row r="2196" spans="1:6" ht="43.05" customHeight="1" x14ac:dyDescent="0.25">
      <c r="A2196" s="5" t="s">
        <v>7573</v>
      </c>
      <c r="B2196" s="4" t="s">
        <v>7574</v>
      </c>
      <c r="C2196" s="4" t="s">
        <v>7560</v>
      </c>
      <c r="D2196" s="4" t="s">
        <v>7566</v>
      </c>
      <c r="E2196" s="4" t="s">
        <v>7562</v>
      </c>
      <c r="F2196" s="4" t="str">
        <f>HYPERLINK("http://www.mastrosegalin.it/","www.mastrosegalin.it")</f>
        <v>www.mastrosegalin.it</v>
      </c>
    </row>
    <row r="2197" spans="1:6" ht="16.95" customHeight="1" x14ac:dyDescent="0.25">
      <c r="A2197" s="1" t="s">
        <v>7575</v>
      </c>
      <c r="B2197" s="6" t="s">
        <v>7576</v>
      </c>
      <c r="C2197" s="6" t="s">
        <v>7572</v>
      </c>
      <c r="D2197" s="6" t="s">
        <v>7566</v>
      </c>
      <c r="E2197" s="6" t="s">
        <v>7562</v>
      </c>
      <c r="F2197" s="6" t="str">
        <f>HYPERLINK("http://www.deglupta.it/","www.deglupta.it")</f>
        <v>www.deglupta.it</v>
      </c>
    </row>
    <row r="2198" spans="1:6" ht="43.05" customHeight="1" x14ac:dyDescent="0.25">
      <c r="A2198" s="5" t="s">
        <v>7577</v>
      </c>
      <c r="B2198" s="4" t="s">
        <v>7578</v>
      </c>
      <c r="C2198" s="4" t="s">
        <v>7572</v>
      </c>
      <c r="D2198" s="4" t="s">
        <v>7566</v>
      </c>
      <c r="E2198" s="4" t="s">
        <v>7562</v>
      </c>
      <c r="F2198" s="4" t="str">
        <f>HYPERLINK("http://www.pelledimare.com/","www.pelledimare.com")</f>
        <v>www.pelledimare.com</v>
      </c>
    </row>
    <row r="2199" spans="1:6" ht="29.55" customHeight="1" x14ac:dyDescent="0.25">
      <c r="A2199" s="1" t="s">
        <v>7579</v>
      </c>
      <c r="B2199" s="6" t="s">
        <v>7580</v>
      </c>
      <c r="C2199" s="6" t="s">
        <v>7569</v>
      </c>
      <c r="D2199" s="6" t="s">
        <v>7566</v>
      </c>
      <c r="E2199" s="6" t="s">
        <v>7562</v>
      </c>
      <c r="F2199" s="6" t="str">
        <f>HYPERLINK("http://www.cambraturapenazzato.com/","www.cambraturapenazzato.com")</f>
        <v>www.cambraturapenazzato.com</v>
      </c>
    </row>
    <row r="2200" spans="1:6" ht="16.95" customHeight="1" x14ac:dyDescent="0.25">
      <c r="A2200" s="1" t="s">
        <v>7585</v>
      </c>
      <c r="B2200" s="6" t="s">
        <v>7586</v>
      </c>
      <c r="C2200" s="6" t="s">
        <v>7582</v>
      </c>
      <c r="D2200" s="6" t="s">
        <v>7583</v>
      </c>
      <c r="E2200" s="6" t="s">
        <v>7584</v>
      </c>
      <c r="F2200" s="6" t="str">
        <f>HYPERLINK("http://lytosoutlet.it/","lytosoutlet.it")</f>
        <v>lytosoutlet.it</v>
      </c>
    </row>
    <row r="2201" spans="1:6" ht="16.95" customHeight="1" x14ac:dyDescent="0.25">
      <c r="A2201" s="5" t="s">
        <v>7587</v>
      </c>
      <c r="B2201" s="4" t="s">
        <v>7588</v>
      </c>
      <c r="C2201" s="4" t="s">
        <v>7582</v>
      </c>
      <c r="D2201" s="4" t="s">
        <v>7583</v>
      </c>
      <c r="E2201" s="4" t="s">
        <v>7584</v>
      </c>
      <c r="F2201" s="4" t="str">
        <f>HYPERLINK("http://www.stabylah.it/","www.stabylah.it")</f>
        <v>www.stabylah.it</v>
      </c>
    </row>
    <row r="2202" spans="1:6" ht="16.95" customHeight="1" x14ac:dyDescent="0.25">
      <c r="A2202" s="5" t="s">
        <v>7589</v>
      </c>
      <c r="B2202" s="4" t="s">
        <v>7590</v>
      </c>
      <c r="C2202" s="4" t="s">
        <v>7582</v>
      </c>
      <c r="D2202" s="4" t="s">
        <v>7583</v>
      </c>
      <c r="E2202" s="4" t="s">
        <v>7584</v>
      </c>
      <c r="F2202" s="4" t="str">
        <f>HYPERLINK("http://www.giacandpol.com/","www.giacandpol.com")</f>
        <v>www.giacandpol.com</v>
      </c>
    </row>
    <row r="2203" spans="1:6" ht="43.05" customHeight="1" x14ac:dyDescent="0.25">
      <c r="A2203" s="1" t="s">
        <v>7591</v>
      </c>
      <c r="B2203" s="6" t="s">
        <v>7592</v>
      </c>
      <c r="C2203" s="6" t="s">
        <v>7581</v>
      </c>
      <c r="D2203" s="6" t="s">
        <v>7593</v>
      </c>
      <c r="E2203" s="6" t="s">
        <v>7594</v>
      </c>
      <c r="F2203" s="6" t="str">
        <f>HYPERLINK("http://www.arteinborse.it/","www.arteinborse.it")</f>
        <v>www.arteinborse.it</v>
      </c>
    </row>
    <row r="2204" spans="1:6" ht="16.95" customHeight="1" x14ac:dyDescent="0.25">
      <c r="A2204" s="1" t="s">
        <v>7596</v>
      </c>
      <c r="B2204" s="6" t="s">
        <v>7597</v>
      </c>
      <c r="C2204" s="6" t="s">
        <v>7595</v>
      </c>
      <c r="D2204" s="6" t="s">
        <v>7598</v>
      </c>
      <c r="E2204" s="6" t="s">
        <v>7599</v>
      </c>
      <c r="F2204" s="6" t="str">
        <f>HYPERLINK("http://www.daviicle.com/","www.daviicle.com")</f>
        <v>www.daviicle.com</v>
      </c>
    </row>
    <row r="2205" spans="1:6" ht="29.55" customHeight="1" x14ac:dyDescent="0.25">
      <c r="A2205" s="5" t="s">
        <v>7605</v>
      </c>
      <c r="B2205" s="4" t="s">
        <v>7606</v>
      </c>
      <c r="C2205" s="4" t="s">
        <v>7604</v>
      </c>
      <c r="D2205" s="4" t="s">
        <v>7600</v>
      </c>
      <c r="E2205" s="4" t="s">
        <v>7601</v>
      </c>
      <c r="F2205" s="4" t="str">
        <f>HYPERLINK("http://selleriagranata.it/","selleriagranata.it")</f>
        <v>selleriagranata.it</v>
      </c>
    </row>
    <row r="2206" spans="1:6" ht="16.95" customHeight="1" x14ac:dyDescent="0.25">
      <c r="A2206" s="5" t="s">
        <v>7609</v>
      </c>
      <c r="B2206" s="4" t="s">
        <v>7610</v>
      </c>
      <c r="C2206" s="4" t="s">
        <v>7603</v>
      </c>
      <c r="D2206" s="4" t="s">
        <v>7607</v>
      </c>
      <c r="E2206" s="4" t="s">
        <v>7608</v>
      </c>
      <c r="F2206" s="4" t="str">
        <f>HYPERLINK("http://www.monyagrana.com/","www.monyagrana.com")</f>
        <v>www.monyagrana.com</v>
      </c>
    </row>
    <row r="2207" spans="1:6" ht="16.95" customHeight="1" x14ac:dyDescent="0.25">
      <c r="A2207" s="1" t="s">
        <v>7611</v>
      </c>
      <c r="B2207" s="6" t="s">
        <v>7612</v>
      </c>
      <c r="C2207" s="6" t="s">
        <v>7602</v>
      </c>
      <c r="D2207" s="6" t="s">
        <v>7613</v>
      </c>
      <c r="E2207" s="6" t="s">
        <v>7614</v>
      </c>
      <c r="F2207" s="6" t="str">
        <f>HYPERLINK("http://www.camminarebene.it/","www.camminarebene.it")</f>
        <v>www.camminarebene.it</v>
      </c>
    </row>
    <row r="2208" spans="1:6" ht="16.95" customHeight="1" x14ac:dyDescent="0.25">
      <c r="A2208" s="5" t="s">
        <v>7617</v>
      </c>
      <c r="B2208" s="4" t="s">
        <v>7618</v>
      </c>
      <c r="C2208" s="4" t="s">
        <v>7603</v>
      </c>
      <c r="D2208" s="4" t="s">
        <v>7615</v>
      </c>
      <c r="E2208" s="4" t="s">
        <v>7616</v>
      </c>
      <c r="F2208" s="4" t="str">
        <f>HYPERLINK("http://www.tre-g-snc.it/","www.tre-g-snc.it")</f>
        <v>www.tre-g-snc.it</v>
      </c>
    </row>
    <row r="2209" spans="1:6" ht="43.05" customHeight="1" x14ac:dyDescent="0.25">
      <c r="A2209" s="1" t="s">
        <v>7619</v>
      </c>
      <c r="B2209" s="6" t="s">
        <v>7620</v>
      </c>
      <c r="C2209" s="6" t="s">
        <v>7603</v>
      </c>
      <c r="D2209" s="6" t="s">
        <v>7615</v>
      </c>
      <c r="E2209" s="6" t="s">
        <v>7616</v>
      </c>
      <c r="F2209" s="6" t="str">
        <f>HYPERLINK("http://www.bellemarie.it/","www.bellemarie.it")</f>
        <v>www.bellemarie.it</v>
      </c>
    </row>
    <row r="2210" spans="1:6" ht="29.55" customHeight="1" x14ac:dyDescent="0.25">
      <c r="A2210" s="5" t="s">
        <v>7623</v>
      </c>
      <c r="B2210" s="4" t="s">
        <v>7624</v>
      </c>
      <c r="C2210" s="4" t="s">
        <v>7625</v>
      </c>
      <c r="D2210" s="4" t="s">
        <v>7621</v>
      </c>
      <c r="E2210" s="4" t="s">
        <v>7622</v>
      </c>
      <c r="F2210" s="4" t="str">
        <f>HYPERLINK("http://www.divigevano.com/","http://www.divigevano.com")</f>
        <v>http://www.divigevano.com</v>
      </c>
    </row>
    <row r="2211" spans="1:6" ht="16.95" customHeight="1" x14ac:dyDescent="0.25">
      <c r="A2211" s="1" t="s">
        <v>7629</v>
      </c>
      <c r="B2211" s="6" t="s">
        <v>7630</v>
      </c>
      <c r="C2211" s="6" t="s">
        <v>7627</v>
      </c>
      <c r="D2211" s="6" t="s">
        <v>7628</v>
      </c>
      <c r="E2211" s="6" t="s">
        <v>7626</v>
      </c>
      <c r="F2211" s="6" t="str">
        <f>HYPERLINK("http://www.tacchificiodama.it/","www.tacchificiodama.it")</f>
        <v>www.tacchificiodama.it</v>
      </c>
    </row>
    <row r="2212" spans="1:6" ht="43.05" customHeight="1" x14ac:dyDescent="0.25">
      <c r="A2212" s="1" t="s">
        <v>7634</v>
      </c>
      <c r="B2212" s="6" t="s">
        <v>7635</v>
      </c>
      <c r="C2212" s="6" t="s">
        <v>7636</v>
      </c>
      <c r="D2212" s="6" t="s">
        <v>7632</v>
      </c>
      <c r="E2212" s="6" t="s">
        <v>7633</v>
      </c>
      <c r="F2212" s="6" t="str">
        <f>HYPERLINK("http://www.tremp.it/","www.tremp.it")</f>
        <v>www.tremp.it</v>
      </c>
    </row>
    <row r="2213" spans="1:6" ht="43.05" customHeight="1" x14ac:dyDescent="0.25">
      <c r="A2213" s="5" t="s">
        <v>7637</v>
      </c>
      <c r="B2213" s="7"/>
      <c r="C2213" s="4" t="s">
        <v>7631</v>
      </c>
      <c r="D2213" s="7"/>
      <c r="E2213" s="7"/>
      <c r="F2213" s="4" t="str">
        <f>HYPERLINK("http://charlesjourdan.com/","charlesjourdan.com")</f>
        <v>charlesjourdan.com</v>
      </c>
    </row>
    <row r="2214" spans="1:6" ht="16.95" customHeight="1" x14ac:dyDescent="0.25">
      <c r="A2214" s="5" t="s">
        <v>7641</v>
      </c>
      <c r="B2214" s="4" t="s">
        <v>7642</v>
      </c>
      <c r="C2214" s="4" t="s">
        <v>7640</v>
      </c>
      <c r="D2214" s="4" t="s">
        <v>7638</v>
      </c>
      <c r="E2214" s="4" t="s">
        <v>7639</v>
      </c>
      <c r="F2214" s="4" t="str">
        <f>HYPERLINK("http://my-bagsrl.onweb.it/","my-bagsrl.onweb.it")</f>
        <v>my-bagsrl.onweb.it</v>
      </c>
    </row>
    <row r="2215" spans="1:6" ht="29.55" customHeight="1" x14ac:dyDescent="0.25">
      <c r="A2215" s="1" t="s">
        <v>7646</v>
      </c>
      <c r="B2215" s="6" t="s">
        <v>7647</v>
      </c>
      <c r="C2215" s="6" t="s">
        <v>7643</v>
      </c>
      <c r="D2215" s="6" t="s">
        <v>7644</v>
      </c>
      <c r="E2215" s="6" t="s">
        <v>7645</v>
      </c>
      <c r="F2215" s="6" t="str">
        <f>HYPERLINK("http://www.ferrante1875.com/","www.ferrante1875.com")</f>
        <v>www.ferrante1875.com</v>
      </c>
    </row>
    <row r="2216" spans="1:6" ht="16.95" customHeight="1" x14ac:dyDescent="0.25">
      <c r="A2216" s="5" t="s">
        <v>7651</v>
      </c>
      <c r="B2216" s="4" t="s">
        <v>7652</v>
      </c>
      <c r="C2216" s="4" t="s">
        <v>7650</v>
      </c>
      <c r="D2216" s="4" t="s">
        <v>7648</v>
      </c>
      <c r="E2216" s="4" t="s">
        <v>7649</v>
      </c>
      <c r="F2216" s="4" t="str">
        <f>HYPERLINK("http://switchitstyle.com/","switchitstyle.com")</f>
        <v>switchitstyle.com</v>
      </c>
    </row>
    <row r="2217" spans="1:6" ht="43.05" customHeight="1" x14ac:dyDescent="0.25">
      <c r="A2217" s="5" t="s">
        <v>7656</v>
      </c>
      <c r="B2217" s="4" t="s">
        <v>7657</v>
      </c>
      <c r="C2217" s="4" t="s">
        <v>7653</v>
      </c>
      <c r="D2217" s="4" t="s">
        <v>7654</v>
      </c>
      <c r="E2217" s="4" t="s">
        <v>7655</v>
      </c>
      <c r="F2217" s="4" t="str">
        <f>HYPERLINK("http://www.barattolorappresentanze.it/","www.barattolorappresentanze.it")</f>
        <v>www.barattolorappresentanze.it</v>
      </c>
    </row>
    <row r="2218" spans="1:6" ht="16.95" customHeight="1" x14ac:dyDescent="0.25">
      <c r="A2218" s="5" t="s">
        <v>7658</v>
      </c>
      <c r="B2218" s="4" t="s">
        <v>7659</v>
      </c>
      <c r="C2218" s="4" t="s">
        <v>7653</v>
      </c>
      <c r="D2218" s="4" t="s">
        <v>7654</v>
      </c>
      <c r="E2218" s="4" t="s">
        <v>7655</v>
      </c>
      <c r="F2218" s="4" t="str">
        <f>HYPERLINK("http://www.paolo-rinaldi.com/","www.paolo-rinaldi.com")</f>
        <v>www.paolo-rinaldi.com</v>
      </c>
    </row>
    <row r="2219" spans="1:6" ht="29.55" customHeight="1" x14ac:dyDescent="0.25">
      <c r="A2219" s="5" t="s">
        <v>7663</v>
      </c>
      <c r="B2219" s="4" t="s">
        <v>7664</v>
      </c>
      <c r="C2219" s="4" t="s">
        <v>7662</v>
      </c>
      <c r="D2219" s="4" t="s">
        <v>7660</v>
      </c>
      <c r="E2219" s="4" t="s">
        <v>7661</v>
      </c>
      <c r="F2219" s="4" t="str">
        <f>HYPERLINK("http://www.scanumaddalena.com/","www.scanumaddalena.com")</f>
        <v>www.scanumaddalena.com</v>
      </c>
    </row>
    <row r="2220" spans="1:6" ht="16.95" customHeight="1" x14ac:dyDescent="0.25">
      <c r="A2220" s="1" t="s">
        <v>7668</v>
      </c>
      <c r="B2220" s="6" t="s">
        <v>7669</v>
      </c>
      <c r="C2220" s="6" t="s">
        <v>7665</v>
      </c>
      <c r="D2220" s="6" t="s">
        <v>7666</v>
      </c>
      <c r="E2220" s="6" t="s">
        <v>7667</v>
      </c>
      <c r="F2220" s="6" t="str">
        <f>HYPERLINK("http://giosamilano.com/","giosamilano.com")</f>
        <v>giosamilano.com</v>
      </c>
    </row>
    <row r="2221" spans="1:6" ht="16.95" customHeight="1" x14ac:dyDescent="0.25">
      <c r="A2221" s="1" t="s">
        <v>7673</v>
      </c>
      <c r="B2221" s="6" t="s">
        <v>7674</v>
      </c>
      <c r="C2221" s="6" t="s">
        <v>7675</v>
      </c>
      <c r="D2221" s="6" t="s">
        <v>7670</v>
      </c>
      <c r="E2221" s="6" t="s">
        <v>7671</v>
      </c>
      <c r="F2221" s="6" t="str">
        <f>HYPERLINK("http://www.aniani.it/","www.aniani.it")</f>
        <v>www.aniani.it</v>
      </c>
    </row>
    <row r="2222" spans="1:6" ht="16.95" customHeight="1" x14ac:dyDescent="0.25">
      <c r="A2222" s="5" t="s">
        <v>7678</v>
      </c>
      <c r="B2222" s="4" t="s">
        <v>7679</v>
      </c>
      <c r="C2222" s="4" t="s">
        <v>7672</v>
      </c>
      <c r="D2222" s="4" t="s">
        <v>7676</v>
      </c>
      <c r="E2222" s="4" t="s">
        <v>7677</v>
      </c>
      <c r="F2222" s="4" t="str">
        <f>HYPERLINK("http://www.zecchinodoro.it/","www.zecchinodoro.it")</f>
        <v>www.zecchinodoro.it</v>
      </c>
    </row>
    <row r="2223" spans="1:6" ht="16.95" customHeight="1" x14ac:dyDescent="0.25">
      <c r="A2223" s="5" t="s">
        <v>7684</v>
      </c>
      <c r="B2223" s="4" t="s">
        <v>7685</v>
      </c>
      <c r="C2223" s="4" t="s">
        <v>7683</v>
      </c>
      <c r="D2223" s="4" t="s">
        <v>7681</v>
      </c>
      <c r="E2223" s="4" t="s">
        <v>7682</v>
      </c>
      <c r="F2223" s="4" t="str">
        <f>HYPERLINK("http://www.longsrl.it/","www.longsrl.it")</f>
        <v>www.longsrl.it</v>
      </c>
    </row>
    <row r="2224" spans="1:6" ht="16.95" customHeight="1" x14ac:dyDescent="0.25">
      <c r="A2224" s="5" t="s">
        <v>7688</v>
      </c>
      <c r="B2224" s="4" t="s">
        <v>7689</v>
      </c>
      <c r="C2224" s="4" t="s">
        <v>7680</v>
      </c>
      <c r="D2224" s="4" t="s">
        <v>7686</v>
      </c>
      <c r="E2224" s="4" t="s">
        <v>7687</v>
      </c>
      <c r="F2224" s="4" t="str">
        <f>HYPERLINK("http://www.caprisandali.com/","www.caprisandali.com")</f>
        <v>www.caprisandali.com</v>
      </c>
    </row>
    <row r="2225" spans="1:6" ht="29.55" customHeight="1" x14ac:dyDescent="0.25">
      <c r="A2225" s="1" t="s">
        <v>7690</v>
      </c>
      <c r="B2225" s="6" t="s">
        <v>7691</v>
      </c>
      <c r="C2225" s="6" t="s">
        <v>7683</v>
      </c>
      <c r="D2225" s="6" t="s">
        <v>7686</v>
      </c>
      <c r="E2225" s="6" t="s">
        <v>7687</v>
      </c>
      <c r="F2225" s="6" t="str">
        <f>HYPERLINK("http://www.serenacecchinidesign.com/","www.serenacecchinidesign.com")</f>
        <v>www.serenacecchinidesign.com</v>
      </c>
    </row>
    <row r="2226" spans="1:6" ht="16.95" customHeight="1" x14ac:dyDescent="0.25">
      <c r="A2226" s="1" t="s">
        <v>7695</v>
      </c>
      <c r="B2226" s="6" t="s">
        <v>7696</v>
      </c>
      <c r="C2226" s="6" t="s">
        <v>7692</v>
      </c>
      <c r="D2226" s="6" t="s">
        <v>7693</v>
      </c>
      <c r="E2226" s="6" t="s">
        <v>7694</v>
      </c>
      <c r="F2226" s="6" t="str">
        <f>HYPERLINK("http://auroradispecchia.com/","auroradispecchia.com")</f>
        <v>auroradispecchia.com</v>
      </c>
    </row>
    <row r="2227" spans="1:6" ht="16.95" customHeight="1" x14ac:dyDescent="0.25">
      <c r="A2227" s="1" t="s">
        <v>7701</v>
      </c>
      <c r="B2227" s="6" t="s">
        <v>7702</v>
      </c>
      <c r="C2227" s="6" t="s">
        <v>7700</v>
      </c>
      <c r="D2227" s="6" t="s">
        <v>7698</v>
      </c>
      <c r="E2227" s="6" t="s">
        <v>7699</v>
      </c>
      <c r="F2227" s="6" t="str">
        <f>HYPERLINK("http://www.dlsport.it/","www.dlsport.it")</f>
        <v>www.dlsport.it</v>
      </c>
    </row>
    <row r="2228" spans="1:6" ht="16.95" customHeight="1" x14ac:dyDescent="0.25">
      <c r="A2228" s="1" t="s">
        <v>7703</v>
      </c>
      <c r="B2228" s="6" t="s">
        <v>7704</v>
      </c>
      <c r="C2228" s="6" t="s">
        <v>7697</v>
      </c>
      <c r="D2228" s="6" t="s">
        <v>7698</v>
      </c>
      <c r="E2228" s="6" t="s">
        <v>7699</v>
      </c>
      <c r="F2228" s="6" t="str">
        <f>HYPERLINK("http://www.clonessrl.com/","www.clonessrl.com")</f>
        <v>www.clonessrl.com</v>
      </c>
    </row>
    <row r="2229" spans="1:6" ht="16.95" customHeight="1" x14ac:dyDescent="0.25">
      <c r="A2229" s="1" t="s">
        <v>7708</v>
      </c>
      <c r="B2229" s="6" t="s">
        <v>7709</v>
      </c>
      <c r="C2229" s="6" t="s">
        <v>7705</v>
      </c>
      <c r="D2229" s="6" t="s">
        <v>7706</v>
      </c>
      <c r="E2229" s="6" t="s">
        <v>7707</v>
      </c>
      <c r="F2229" s="6" t="str">
        <f>HYPERLINK("http://www.aldobrue.com/","www.aldobrue.com")</f>
        <v>www.aldobrue.com</v>
      </c>
    </row>
    <row r="2230" spans="1:6" ht="16.95" customHeight="1" x14ac:dyDescent="0.25">
      <c r="A2230" s="5" t="s">
        <v>7713</v>
      </c>
      <c r="B2230" s="4" t="s">
        <v>7714</v>
      </c>
      <c r="C2230" s="4" t="s">
        <v>7710</v>
      </c>
      <c r="D2230" s="4" t="s">
        <v>7711</v>
      </c>
      <c r="E2230" s="4" t="s">
        <v>7712</v>
      </c>
      <c r="F2230" s="4" t="str">
        <f>HYPERLINK("http://www.ciaobimbi.it/","www.ciaobimbi.it")</f>
        <v>www.ciaobimbi.it</v>
      </c>
    </row>
    <row r="2231" spans="1:6" ht="55.65" customHeight="1" x14ac:dyDescent="0.25">
      <c r="A2231" s="1" t="s">
        <v>7718</v>
      </c>
      <c r="B2231" s="6" t="s">
        <v>7719</v>
      </c>
      <c r="C2231" s="6" t="s">
        <v>7715</v>
      </c>
      <c r="D2231" s="6" t="s">
        <v>7716</v>
      </c>
      <c r="E2231" s="6" t="s">
        <v>7717</v>
      </c>
      <c r="F2231" s="6" t="str">
        <f>HYPERLINK("http://www.oldangler.com/","www.oldangler.com")</f>
        <v>www.oldangler.com</v>
      </c>
    </row>
    <row r="2232" spans="1:6" ht="16.95" customHeight="1" x14ac:dyDescent="0.25">
      <c r="A2232" s="1" t="s">
        <v>7720</v>
      </c>
      <c r="B2232" s="6" t="s">
        <v>7721</v>
      </c>
      <c r="C2232" s="6" t="s">
        <v>7722</v>
      </c>
      <c r="D2232" s="6" t="s">
        <v>7723</v>
      </c>
      <c r="E2232" s="6" t="s">
        <v>7724</v>
      </c>
      <c r="F2232" s="6" t="str">
        <f>HYPERLINK("http://www.albagroup.it/","www.albagroup.it")</f>
        <v>www.albagroup.it</v>
      </c>
    </row>
    <row r="2233" spans="1:6" ht="16.95" customHeight="1" x14ac:dyDescent="0.25">
      <c r="A2233" s="1" t="s">
        <v>7725</v>
      </c>
      <c r="B2233" s="6" t="s">
        <v>7726</v>
      </c>
      <c r="C2233" s="6" t="s">
        <v>7727</v>
      </c>
      <c r="D2233" s="6" t="s">
        <v>7728</v>
      </c>
      <c r="E2233" s="6" t="s">
        <v>7729</v>
      </c>
      <c r="F2233" s="6" t="str">
        <f>HYPERLINK("http://www.sagicalzature.it/","www.sagicalzature.it")</f>
        <v>www.sagicalzature.it</v>
      </c>
    </row>
    <row r="2234" spans="1:6" ht="16.95" customHeight="1" x14ac:dyDescent="0.25">
      <c r="A2234" s="1" t="s">
        <v>7737</v>
      </c>
      <c r="B2234" s="6" t="s">
        <v>7738</v>
      </c>
      <c r="C2234" s="6" t="s">
        <v>7732</v>
      </c>
      <c r="D2234" s="6" t="s">
        <v>7735</v>
      </c>
      <c r="E2234" s="6" t="s">
        <v>7736</v>
      </c>
      <c r="F2234" s="6" t="str">
        <f>HYPERLINK("http://www.amo-bag.com/","www.amo-bag.com")</f>
        <v>www.amo-bag.com</v>
      </c>
    </row>
    <row r="2235" spans="1:6" ht="16.95" customHeight="1" x14ac:dyDescent="0.25">
      <c r="A2235" s="1" t="s">
        <v>7739</v>
      </c>
      <c r="B2235" s="6" t="s">
        <v>7740</v>
      </c>
      <c r="C2235" s="6" t="s">
        <v>7730</v>
      </c>
      <c r="D2235" s="6" t="s">
        <v>7735</v>
      </c>
      <c r="E2235" s="6" t="s">
        <v>7736</v>
      </c>
      <c r="F2235" s="6" t="str">
        <f>HYPERLINK("http://www.faceshoes.it/","www.faceshoes.it")</f>
        <v>www.faceshoes.it</v>
      </c>
    </row>
    <row r="2236" spans="1:6" ht="16.95" customHeight="1" x14ac:dyDescent="0.25">
      <c r="A2236" s="1" t="s">
        <v>7742</v>
      </c>
      <c r="B2236" s="6" t="s">
        <v>7743</v>
      </c>
      <c r="C2236" s="6" t="s">
        <v>7734</v>
      </c>
      <c r="D2236" s="6" t="s">
        <v>7741</v>
      </c>
      <c r="E2236" s="6" t="s">
        <v>7731</v>
      </c>
      <c r="F2236" s="6" t="str">
        <f>HYPERLINK("http://www.izzopelli.com/","www.izzopelli.com")</f>
        <v>www.izzopelli.com</v>
      </c>
    </row>
    <row r="2237" spans="1:6" ht="29.55" customHeight="1" x14ac:dyDescent="0.25">
      <c r="A2237" s="1" t="s">
        <v>7744</v>
      </c>
      <c r="B2237" s="6" t="s">
        <v>7745</v>
      </c>
      <c r="C2237" s="6" t="s">
        <v>7730</v>
      </c>
      <c r="D2237" s="6" t="s">
        <v>7746</v>
      </c>
      <c r="E2237" s="6" t="s">
        <v>7733</v>
      </c>
      <c r="F2237" s="6" t="str">
        <f>HYPERLINK("http://www.zeusandals.it/","www.zeusandals.it")</f>
        <v>www.zeusandals.it</v>
      </c>
    </row>
    <row r="2238" spans="1:6" ht="43.05" customHeight="1" x14ac:dyDescent="0.25">
      <c r="A2238" s="5" t="s">
        <v>7749</v>
      </c>
      <c r="B2238" s="4" t="s">
        <v>7750</v>
      </c>
      <c r="C2238" s="4" t="s">
        <v>7751</v>
      </c>
      <c r="D2238" s="4" t="s">
        <v>7747</v>
      </c>
      <c r="E2238" s="4" t="s">
        <v>7748</v>
      </c>
      <c r="F2238" s="4" t="str">
        <f>HYPERLINK("http://www.tranceriadimontes.it/","www.tranceriadimontes.it")</f>
        <v>www.tranceriadimontes.it</v>
      </c>
    </row>
    <row r="2239" spans="1:6" ht="16.95" customHeight="1" x14ac:dyDescent="0.25">
      <c r="A2239" s="5" t="s">
        <v>7755</v>
      </c>
      <c r="B2239" s="4" t="s">
        <v>7756</v>
      </c>
      <c r="C2239" s="4" t="s">
        <v>7752</v>
      </c>
      <c r="D2239" s="4" t="s">
        <v>7753</v>
      </c>
      <c r="E2239" s="4" t="s">
        <v>7754</v>
      </c>
      <c r="F2239" s="4" t="str">
        <f>HYPERLINK("http://www.manifattureconciarie.it/","www.manifattureconciarie.it")</f>
        <v>www.manifattureconciarie.it</v>
      </c>
    </row>
    <row r="2240" spans="1:6" ht="29.55" customHeight="1" x14ac:dyDescent="0.25">
      <c r="A2240" s="5" t="s">
        <v>7760</v>
      </c>
      <c r="B2240" s="4" t="s">
        <v>7761</v>
      </c>
      <c r="C2240" s="4" t="s">
        <v>7757</v>
      </c>
      <c r="D2240" s="4" t="s">
        <v>7758</v>
      </c>
      <c r="E2240" s="4" t="s">
        <v>7759</v>
      </c>
      <c r="F2240" s="4" t="str">
        <f>HYPERLINK("http://www.dgleather.it/","www.dgleather.it")</f>
        <v>www.dgleather.it</v>
      </c>
    </row>
    <row r="2241" spans="1:6" ht="29.55" customHeight="1" x14ac:dyDescent="0.25">
      <c r="A2241" s="5" t="s">
        <v>7762</v>
      </c>
      <c r="B2241" s="4" t="s">
        <v>7763</v>
      </c>
      <c r="C2241" s="4" t="s">
        <v>7757</v>
      </c>
      <c r="D2241" s="4" t="s">
        <v>7758</v>
      </c>
      <c r="E2241" s="4" t="s">
        <v>7759</v>
      </c>
      <c r="F2241" s="4" t="str">
        <f>HYPERLINK("http://www.hamana.it/","www.hamana.it")</f>
        <v>www.hamana.it</v>
      </c>
    </row>
  </sheetData>
  <autoFilter ref="A1:F2241" xr:uid="{00000000-0001-0000-0100-000000000000}"/>
  <pageMargins left="0" right="0" top="0" bottom="0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Risultati</vt:lpstr>
    </vt:vector>
  </TitlesOfParts>
  <Company>Bureau van Dijk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Orci</dc:creator>
  <cp:lastModifiedBy>ORCI MARTINA</cp:lastModifiedBy>
  <dcterms:created xsi:type="dcterms:W3CDTF">2024-03-19T08:11:17Z</dcterms:created>
  <dcterms:modified xsi:type="dcterms:W3CDTF">2024-03-19T08:22:18Z</dcterms:modified>
</cp:coreProperties>
</file>