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irewellness-my.sharepoint.com/personal/sburi_humana_com/Documents/Documents/My Files/Python/CustomEnv/Impact/"/>
    </mc:Choice>
  </mc:AlternateContent>
  <xr:revisionPtr revIDLastSave="320" documentId="8_{0B40D6D4-65E6-4A7A-AF4C-BE61588FAE02}" xr6:coauthVersionLast="47" xr6:coauthVersionMax="47" xr10:uidLastSave="{2F843951-C020-4EE8-B90C-DC75612CD25D}"/>
  <bookViews>
    <workbookView xWindow="34290" yWindow="-110" windowWidth="20700" windowHeight="11140" activeTab="2" xr2:uid="{BBA7550B-BEA3-4F64-81C9-D66EB43BF2E3}"/>
  </bookViews>
  <sheets>
    <sheet name="Budget" sheetId="2" r:id="rId1"/>
    <sheet name="Budget backups" sheetId="3" r:id="rId2"/>
    <sheet name="Contract Classifier" sheetId="1" r:id="rId3"/>
    <sheet name="Sarima Forecast" sheetId="5" r:id="rId4"/>
    <sheet name="Sarima Forecast Back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2" l="1"/>
  <c r="K14" i="5"/>
  <c r="K15" i="5"/>
  <c r="K13" i="5"/>
  <c r="B11" i="5" l="1"/>
  <c r="B12" i="5" s="1"/>
  <c r="B14" i="5" s="1"/>
  <c r="B15" i="5" s="1"/>
  <c r="B5" i="5"/>
  <c r="B6" i="5" s="1"/>
  <c r="Q6" i="2"/>
  <c r="B5" i="2"/>
  <c r="Q3" i="2"/>
  <c r="Y2" i="2"/>
  <c r="Y5" i="2" s="1"/>
  <c r="M3" i="2"/>
  <c r="M2" i="2"/>
  <c r="Q2" i="2" s="1"/>
  <c r="Q5" i="2" l="1"/>
  <c r="M5" i="2"/>
  <c r="B4" i="2" s="1"/>
  <c r="I2" i="2" l="1"/>
  <c r="B6" i="2"/>
  <c r="E3" i="2"/>
  <c r="E2" i="2"/>
  <c r="E5" i="2" l="1"/>
  <c r="B2" i="2" s="1"/>
  <c r="I5" i="2"/>
  <c r="B3" i="2" s="1"/>
  <c r="L3" i="1"/>
  <c r="F3" i="1"/>
  <c r="J3" i="1" s="1"/>
  <c r="D3" i="1"/>
  <c r="H3" i="1" l="1"/>
</calcChain>
</file>

<file path=xl/sharedStrings.xml><?xml version="1.0" encoding="utf-8"?>
<sst xmlns="http://schemas.openxmlformats.org/spreadsheetml/2006/main" count="102" uniqueCount="66">
  <si>
    <t>Steven Buri</t>
  </si>
  <si>
    <t>Brian Cleary</t>
  </si>
  <si>
    <t>Jeff Griffith</t>
  </si>
  <si>
    <t>Chris Mitchell</t>
  </si>
  <si>
    <t>Eric Leventhal</t>
  </si>
  <si>
    <t>Richard Carr</t>
  </si>
  <si>
    <t>Brandon Baird</t>
  </si>
  <si>
    <t>People Involved In Classification</t>
  </si>
  <si>
    <t>Total People</t>
  </si>
  <si>
    <t>Assumed Hours Per Person</t>
  </si>
  <si>
    <t>Total Hours</t>
  </si>
  <si>
    <t>Dummy Cost Per Hour</t>
  </si>
  <si>
    <t>Total Cost To Classify</t>
  </si>
  <si>
    <t>Algorithm Run Time (minutes)</t>
  </si>
  <si>
    <t>Manual Classification Time (minutes)</t>
  </si>
  <si>
    <t>Times Faster</t>
  </si>
  <si>
    <t>Query</t>
  </si>
  <si>
    <t>Metric</t>
  </si>
  <si>
    <t>Increased Visibility</t>
  </si>
  <si>
    <t>Reduced Underspend/Overspend</t>
  </si>
  <si>
    <t>Increased Report Creation Speed</t>
  </si>
  <si>
    <t>Variances Requiring Touchpoints</t>
  </si>
  <si>
    <t>Prior</t>
  </si>
  <si>
    <t>Current</t>
  </si>
  <si>
    <t>Notes</t>
  </si>
  <si>
    <t>On avg, 5 lines have material variance</t>
  </si>
  <si>
    <t>out of 262 total (as of Aug 2022)</t>
  </si>
  <si>
    <t>from "2021 CECP-Budget.xlsx". 75 lines of data filtered to FY=['2021','tbd','blank'), * 12 months, *2 for forecast + actuals. 32/75 lines did not have forecast at all. 42/75 lines did not have any payment information. 75 is very conservative.</t>
  </si>
  <si>
    <t>From "Processed_ForecastandActuals" 9/15/22. Multiplied 4,386 rows by by 3 for Forecast, Actuals, and Variances.
Added "BudgetDistributions_Main" 9/15/22 with 993 to account for budget information as well. Does not take into account</t>
  </si>
  <si>
    <t>From 9/15/22 CECP Financial Health</t>
  </si>
  <si>
    <t>From "ServiceNow vs. Power BI Actuals --&gt; Plan vs. Actuals" on 7/15/21. 5.4M of FY21 allocation against 9.4M of spend.</t>
  </si>
  <si>
    <t>Dave and I spend about an hour a week on variance analysis, the scripts run in 5 mins, and typically there's around 8 hours a month to update raw data monthly.</t>
  </si>
  <si>
    <t>Ravi's job was to pull invoices down and manually type them into the CECP-Budget.xlsx as well as to pull the "IT Prioritization &amp; Deliverables" down and compare it against ServiceNow for errors. This process has been fully automated. Conservatively using 30 hours a week for 48 weeks (52 work weeks a year minus 4 weeks to be conservative). This would then be reviewed with 5-7 people (Ravi, Mike, Dawne, Dave, Brian, Steven, Tabitha) on a monthly basis for an hour. Result is 1440 hours.</t>
  </si>
  <si>
    <t>YoY Variance</t>
  </si>
  <si>
    <t>Prior (2021)</t>
  </si>
  <si>
    <t>Current (2022)</t>
  </si>
  <si>
    <t>YoY Variance Change</t>
  </si>
  <si>
    <t>Taken from "EXL CECP 2021 Close" with 20M of actuals against 17.9M of budget.</t>
  </si>
  <si>
    <t>Decreased Costs</t>
  </si>
  <si>
    <t>Assuming conservative avg. cost of 50/hr</t>
  </si>
  <si>
    <t>Decreased Budget Management Cost</t>
  </si>
  <si>
    <t>Sep YTD Actuals</t>
  </si>
  <si>
    <t>Sep YTD Mean Validation</t>
  </si>
  <si>
    <t>Variance</t>
  </si>
  <si>
    <t>Variance %</t>
  </si>
  <si>
    <t>Original Forecast</t>
  </si>
  <si>
    <t>Original Sep YTD Forecast</t>
  </si>
  <si>
    <t>Original Forecast per Month</t>
  </si>
  <si>
    <t>Variance Percent</t>
  </si>
  <si>
    <t>Sum Errors</t>
  </si>
  <si>
    <t>Avg. Error</t>
  </si>
  <si>
    <t>Root Error</t>
  </si>
  <si>
    <t>Sum Naïve Errors</t>
  </si>
  <si>
    <t>Avg. Naïve Error</t>
  </si>
  <si>
    <t>Root Naïve Error</t>
  </si>
  <si>
    <t>Naïve Error</t>
  </si>
  <si>
    <t>Current Error</t>
  </si>
  <si>
    <t>Reduction in Error</t>
  </si>
  <si>
    <t>Sarima forecast is 42% better than naïve forecast using mean for validation months</t>
  </si>
  <si>
    <t>Sarima forecast is 93% better than our forecast was in Feb, Jan-Sep Forecast.</t>
  </si>
  <si>
    <t>Original Risk</t>
  </si>
  <si>
    <t>High</t>
  </si>
  <si>
    <t>Med</t>
  </si>
  <si>
    <t>Low</t>
  </si>
  <si>
    <t>New Risk</t>
  </si>
  <si>
    <t>Risk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</si>
</sst>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/>
    <xf numFmtId="9" fontId="0" fillId="0" borderId="10" xfId="1" applyFont="1" applyBorder="1"/>
    <xf numFmtId="164" fontId="0" fillId="0" borderId="8" xfId="0" applyNumberFormat="1" applyFont="1" applyFill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9" fontId="0" fillId="0" borderId="8" xfId="0" applyNumberFormat="1" applyBorder="1" applyAlignment="1">
      <alignment horizontal="left" vertical="top"/>
    </xf>
    <xf numFmtId="164" fontId="0" fillId="0" borderId="0" xfId="0" applyNumberForma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Border="1"/>
    <xf numFmtId="164" fontId="0" fillId="0" borderId="1" xfId="0" applyNumberFormat="1" applyFont="1" applyFill="1" applyBorder="1" applyAlignment="1">
      <alignment horizontal="left" vertical="top"/>
    </xf>
    <xf numFmtId="9" fontId="0" fillId="0" borderId="0" xfId="1" applyFont="1"/>
    <xf numFmtId="0" fontId="0" fillId="0" borderId="8" xfId="0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$&quot;#,##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246743</xdr:colOff>
      <xdr:row>3</xdr:row>
      <xdr:rowOff>25400</xdr:rowOff>
    </xdr:from>
    <xdr:to>
      <xdr:col>89</xdr:col>
      <xdr:colOff>209998</xdr:colOff>
      <xdr:row>32</xdr:row>
      <xdr:rowOff>105530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88731-356F-474C-9C22-2D24CCEF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47543" y="558800"/>
          <a:ext cx="9716855" cy="5236330"/>
        </a:xfrm>
        <a:prstGeom prst="rect">
          <a:avLst/>
        </a:prstGeom>
      </xdr:spPr>
    </xdr:pic>
    <xdr:clientData/>
  </xdr:twoCellAnchor>
  <xdr:twoCellAnchor editAs="oneCell">
    <xdr:from>
      <xdr:col>39</xdr:col>
      <xdr:colOff>384629</xdr:colOff>
      <xdr:row>38</xdr:row>
      <xdr:rowOff>43543</xdr:rowOff>
    </xdr:from>
    <xdr:to>
      <xdr:col>68</xdr:col>
      <xdr:colOff>496869</xdr:colOff>
      <xdr:row>71</xdr:row>
      <xdr:rowOff>181375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90117F-D82B-4FE8-B7B4-2E8A90931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9629" y="7282543"/>
          <a:ext cx="18527240" cy="6424332"/>
        </a:xfrm>
        <a:prstGeom prst="rect">
          <a:avLst/>
        </a:prstGeom>
      </xdr:spPr>
    </xdr:pic>
    <xdr:clientData/>
  </xdr:twoCellAnchor>
  <xdr:twoCellAnchor editAs="oneCell">
    <xdr:from>
      <xdr:col>39</xdr:col>
      <xdr:colOff>556985</xdr:colOff>
      <xdr:row>73</xdr:row>
      <xdr:rowOff>152400</xdr:rowOff>
    </xdr:from>
    <xdr:to>
      <xdr:col>61</xdr:col>
      <xdr:colOff>627351</xdr:colOff>
      <xdr:row>106</xdr:row>
      <xdr:rowOff>157318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F814EC-E780-42BB-9679-22DCCA47C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21985" y="14058900"/>
          <a:ext cx="14040366" cy="6291418"/>
        </a:xfrm>
        <a:prstGeom prst="rect">
          <a:avLst/>
        </a:prstGeom>
      </xdr:spPr>
    </xdr:pic>
    <xdr:clientData/>
  </xdr:twoCellAnchor>
  <xdr:twoCellAnchor editAs="oneCell">
    <xdr:from>
      <xdr:col>73</xdr:col>
      <xdr:colOff>346363</xdr:colOff>
      <xdr:row>39</xdr:row>
      <xdr:rowOff>92364</xdr:rowOff>
    </xdr:from>
    <xdr:to>
      <xdr:col>83</xdr:col>
      <xdr:colOff>95491</xdr:colOff>
      <xdr:row>52</xdr:row>
      <xdr:rowOff>101071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D86E71-A026-48C0-A1C6-75A8F1539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15727" y="7296728"/>
          <a:ext cx="5868219" cy="2410161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1</xdr:row>
      <xdr:rowOff>0</xdr:rowOff>
    </xdr:from>
    <xdr:to>
      <xdr:col>60</xdr:col>
      <xdr:colOff>96949</xdr:colOff>
      <xdr:row>30</xdr:row>
      <xdr:rowOff>169018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B2C83E-8F22-46AE-98E9-7A1C22E47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14300" y="190500"/>
          <a:ext cx="12682649" cy="5693518"/>
        </a:xfrm>
        <a:prstGeom prst="rect">
          <a:avLst/>
        </a:prstGeom>
      </xdr:spPr>
    </xdr:pic>
    <xdr:clientData/>
  </xdr:twoCellAnchor>
  <xdr:twoCellAnchor editAs="oneCell">
    <xdr:from>
      <xdr:col>94</xdr:col>
      <xdr:colOff>0</xdr:colOff>
      <xdr:row>2</xdr:row>
      <xdr:rowOff>101600</xdr:rowOff>
    </xdr:from>
    <xdr:to>
      <xdr:col>118</xdr:col>
      <xdr:colOff>192569</xdr:colOff>
      <xdr:row>32</xdr:row>
      <xdr:rowOff>16608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65B76E-0B43-4762-91B6-50461329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02400" y="457200"/>
          <a:ext cx="14822969" cy="5249008"/>
        </a:xfrm>
        <a:prstGeom prst="rect">
          <a:avLst/>
        </a:prstGeom>
      </xdr:spPr>
    </xdr:pic>
    <xdr:clientData/>
  </xdr:twoCellAnchor>
  <xdr:twoCellAnchor editAs="oneCell">
    <xdr:from>
      <xdr:col>120</xdr:col>
      <xdr:colOff>317500</xdr:colOff>
      <xdr:row>2</xdr:row>
      <xdr:rowOff>15875</xdr:rowOff>
    </xdr:from>
    <xdr:to>
      <xdr:col>139</xdr:col>
      <xdr:colOff>601714</xdr:colOff>
      <xdr:row>23</xdr:row>
      <xdr:rowOff>149802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E24CBE-E652-41FB-B021-EE3DFDA9E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07500" y="396875"/>
          <a:ext cx="11745964" cy="4134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11</xdr:row>
      <xdr:rowOff>50800</xdr:rowOff>
    </xdr:from>
    <xdr:to>
      <xdr:col>31</xdr:col>
      <xdr:colOff>478901</xdr:colOff>
      <xdr:row>68</xdr:row>
      <xdr:rowOff>61791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0D4176-8ED2-4D4C-AF59-9A0B78730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006600"/>
          <a:ext cx="18995501" cy="10145591"/>
        </a:xfrm>
        <a:prstGeom prst="rect">
          <a:avLst/>
        </a:prstGeom>
      </xdr:spPr>
    </xdr:pic>
    <xdr:clientData/>
  </xdr:twoCellAnchor>
  <xdr:twoCellAnchor editAs="oneCell">
    <xdr:from>
      <xdr:col>34</xdr:col>
      <xdr:colOff>330200</xdr:colOff>
      <xdr:row>11</xdr:row>
      <xdr:rowOff>50800</xdr:rowOff>
    </xdr:from>
    <xdr:to>
      <xdr:col>65</xdr:col>
      <xdr:colOff>418575</xdr:colOff>
      <xdr:row>70</xdr:row>
      <xdr:rowOff>96720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93875-4B89-4FEE-A5A3-D6097FFDC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6600" y="2006600"/>
          <a:ext cx="18985975" cy="10536120"/>
        </a:xfrm>
        <a:prstGeom prst="rect">
          <a:avLst/>
        </a:prstGeom>
      </xdr:spPr>
    </xdr:pic>
    <xdr:clientData/>
  </xdr:twoCellAnchor>
  <xdr:twoCellAnchor editAs="oneCell">
    <xdr:from>
      <xdr:col>67</xdr:col>
      <xdr:colOff>482600</xdr:colOff>
      <xdr:row>11</xdr:row>
      <xdr:rowOff>152400</xdr:rowOff>
    </xdr:from>
    <xdr:to>
      <xdr:col>98</xdr:col>
      <xdr:colOff>532869</xdr:colOff>
      <xdr:row>71</xdr:row>
      <xdr:rowOff>10994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F0BF37-DCFD-485A-8CF5-71BDD18DD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25800" y="2108200"/>
          <a:ext cx="18947869" cy="105265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76</xdr:row>
      <xdr:rowOff>127000</xdr:rowOff>
    </xdr:from>
    <xdr:to>
      <xdr:col>32</xdr:col>
      <xdr:colOff>209017</xdr:colOff>
      <xdr:row>136</xdr:row>
      <xdr:rowOff>33226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94FB2D-2CDC-4DA1-B523-77F6249CC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400" y="13639800"/>
          <a:ext cx="18928817" cy="10574226"/>
        </a:xfrm>
        <a:prstGeom prst="rect">
          <a:avLst/>
        </a:prstGeom>
      </xdr:spPr>
    </xdr:pic>
    <xdr:clientData/>
  </xdr:twoCellAnchor>
  <xdr:twoCellAnchor editAs="oneCell">
    <xdr:from>
      <xdr:col>34</xdr:col>
      <xdr:colOff>355600</xdr:colOff>
      <xdr:row>79</xdr:row>
      <xdr:rowOff>152400</xdr:rowOff>
    </xdr:from>
    <xdr:to>
      <xdr:col>64</xdr:col>
      <xdr:colOff>339100</xdr:colOff>
      <xdr:row>112</xdr:row>
      <xdr:rowOff>48429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72D904-D74F-45E1-9E48-61A770769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082000" y="14198600"/>
          <a:ext cx="18271500" cy="5763429"/>
        </a:xfrm>
        <a:prstGeom prst="rect">
          <a:avLst/>
        </a:prstGeom>
      </xdr:spPr>
    </xdr:pic>
    <xdr:clientData/>
  </xdr:twoCellAnchor>
  <xdr:twoCellAnchor editAs="oneCell">
    <xdr:from>
      <xdr:col>65</xdr:col>
      <xdr:colOff>177800</xdr:colOff>
      <xdr:row>80</xdr:row>
      <xdr:rowOff>76200</xdr:rowOff>
    </xdr:from>
    <xdr:to>
      <xdr:col>69</xdr:col>
      <xdr:colOff>340088</xdr:colOff>
      <xdr:row>94</xdr:row>
      <xdr:rowOff>130530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6463DB-C98F-4CF4-9807-6C130D2BB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801800" y="14300200"/>
          <a:ext cx="2600688" cy="254353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5F34-76B8-4ABB-9EA2-1EF5A6FB3364}" name="Table1" displayName="Table1" ref="A1:B6" totalsRowShown="0" headerRowDxfId="51" dataDxfId="50">
  <autoFilter ref="A1:B6" xr:uid="{0AE75F34-76B8-4ABB-9EA2-1EF5A6FB3364}"/>
  <tableColumns count="2">
    <tableColumn id="1" xr3:uid="{84CEBBF1-AC5E-41C8-8049-FD144B0ADE50}" name="Query" dataDxfId="49"/>
    <tableColumn id="2" xr3:uid="{5385DC53-2B7D-41CD-9F00-295AAE587E31}" name="Metric" dataDxfId="48" dataCellStyle="Perce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E337BD-7A79-497A-85AF-FAD81B190DC3}" name="Table2" displayName="Table2" ref="D1:F3" totalsRowShown="0" headerRowDxfId="47" dataDxfId="45" headerRowBorderDxfId="46" tableBorderDxfId="44" totalsRowBorderDxfId="43">
  <autoFilter ref="D1:F3" xr:uid="{58E337BD-7A79-497A-85AF-FAD81B190DC3}"/>
  <tableColumns count="3">
    <tableColumn id="1" xr3:uid="{07AD9632-FD9A-4D7F-95DE-63CE76BD8ECC}" name="Increased Visibility" dataDxfId="42"/>
    <tableColumn id="2" xr3:uid="{9E168082-D05F-47C9-9004-F2AAED5F24F6}" name="Metric" dataDxfId="41"/>
    <tableColumn id="3" xr3:uid="{5B1795B7-B20F-4005-A2E9-78F7530AA574}" name="Notes" dataDxfId="4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BFCBAE-B46A-4EC2-9EF1-59960A831D4B}" name="Table24" displayName="Table24" ref="H1:J3" totalsRowShown="0" headerRowDxfId="39" dataDxfId="37" headerRowBorderDxfId="38" tableBorderDxfId="36" totalsRowBorderDxfId="35">
  <autoFilter ref="H1:J3" xr:uid="{0DBFCBAE-B46A-4EC2-9EF1-59960A831D4B}"/>
  <tableColumns count="3">
    <tableColumn id="1" xr3:uid="{89E6102F-F156-4701-9B18-F56A8DE43623}" name="Reduced Underspend/Overspend" dataDxfId="34"/>
    <tableColumn id="2" xr3:uid="{92A9C58F-D62E-4057-A20D-0699DC7490AD}" name="Metric" dataDxfId="33"/>
    <tableColumn id="3" xr3:uid="{4D037B42-992E-4B05-A268-A86045066E9B}" name="Notes" dataDxfId="3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270726-04DD-4554-B779-CE4538414360}" name="Table25" displayName="Table25" ref="L1:N3" totalsRowShown="0" headerRowDxfId="31" dataDxfId="29" headerRowBorderDxfId="30" tableBorderDxfId="28" totalsRowBorderDxfId="27">
  <autoFilter ref="L1:N3" xr:uid="{1B270726-04DD-4554-B779-CE4538414360}"/>
  <tableColumns count="3">
    <tableColumn id="1" xr3:uid="{43754167-7C12-480B-8B0F-AC470CB179C0}" name="Increased Report Creation Speed" dataDxfId="26"/>
    <tableColumn id="2" xr3:uid="{CABD709F-B5C1-472D-926F-019CEB937CD2}" name="Metric" dataDxfId="25"/>
    <tableColumn id="3" xr3:uid="{4A2DF080-D579-44D3-BA1B-9BE812BC7E6E}" name="Notes" dataDxfId="24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52BEF-63D4-4F8E-96F2-033D59D45715}" name="Table26" displayName="Table26" ref="T1:V3" totalsRowShown="0" headerRowDxfId="23" dataDxfId="21" headerRowBorderDxfId="22" tableBorderDxfId="20" totalsRowBorderDxfId="19">
  <autoFilter ref="T1:V3" xr:uid="{0EE52BEF-63D4-4F8E-96F2-033D59D45715}"/>
  <tableColumns count="3">
    <tableColumn id="1" xr3:uid="{59BAF2A8-087F-4444-945C-04765696349E}" name="Variances Requiring Touchpoints" dataDxfId="18"/>
    <tableColumn id="2" xr3:uid="{271B9954-B2A3-4E22-8B68-352D30531BB7}" name="Metric" dataDxfId="17"/>
    <tableColumn id="3" xr3:uid="{4C854EE8-9734-40ED-8BA5-2057838617A9}" name="Notes" dataDxfId="1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2F7457-8C4E-48C1-80D1-D0653326DA82}" name="Table6" displayName="Table6" ref="X1:Z3" totalsRowShown="0" headerRowDxfId="15" dataDxfId="13" headerRowBorderDxfId="14" tableBorderDxfId="12" totalsRowBorderDxfId="11">
  <autoFilter ref="X1:Z3" xr:uid="{AD2F7457-8C4E-48C1-80D1-D0653326DA82}"/>
  <tableColumns count="3">
    <tableColumn id="1" xr3:uid="{1776EA5E-1F77-4A3C-8ACC-4AA80D2B4570}" name="YoY Variance" dataDxfId="10"/>
    <tableColumn id="2" xr3:uid="{A4ED0614-EB8B-4957-9D34-5DF120062FAD}" name="Metric" dataDxfId="9">
      <calculatedColumnFormula>20004141 / 17850000</calculatedColumnFormula>
    </tableColumn>
    <tableColumn id="3" xr3:uid="{CE05403B-5268-42D2-8032-1292226DAA3C}" name="Notes" dataDxfId="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035B57-C667-4DFA-927C-50AC4F14B00D}" name="Table2510" displayName="Table2510" ref="P1:R3" totalsRowShown="0" headerRowDxfId="7" dataDxfId="5" headerRowBorderDxfId="6" tableBorderDxfId="4" totalsRowBorderDxfId="3">
  <autoFilter ref="P1:R3" xr:uid="{92035B57-C667-4DFA-927C-50AC4F14B00D}"/>
  <tableColumns count="3">
    <tableColumn id="1" xr3:uid="{0DC566FE-AD34-40D8-8547-586F2C5A4662}" name="Decreased Costs" dataDxfId="2"/>
    <tableColumn id="2" xr3:uid="{1D1F2F33-7DF9-4506-BEF0-45233F3330FE}" name="Metric" dataDxfId="1"/>
    <tableColumn id="3" xr3:uid="{A0B226A4-4743-4F6E-B770-00F27953236D}" name="Not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5C62-F45C-44A2-8E29-37096EA35BAB}">
  <dimension ref="A1:Z10"/>
  <sheetViews>
    <sheetView showGridLines="0" topLeftCell="K1" zoomScale="70" zoomScaleNormal="70" workbookViewId="0">
      <selection activeCell="T12" sqref="T12"/>
    </sheetView>
  </sheetViews>
  <sheetFormatPr defaultRowHeight="14.5" x14ac:dyDescent="0.35"/>
  <cols>
    <col min="1" max="1" width="31.90625" bestFit="1" customWidth="1"/>
    <col min="4" max="4" width="18.36328125" customWidth="1"/>
    <col min="6" max="6" width="55.81640625" customWidth="1"/>
    <col min="8" max="8" width="31.26953125" bestFit="1" customWidth="1"/>
    <col min="9" max="9" width="10.81640625" bestFit="1" customWidth="1"/>
    <col min="10" max="10" width="31" bestFit="1" customWidth="1"/>
    <col min="12" max="12" width="30.90625" bestFit="1" customWidth="1"/>
    <col min="14" max="14" width="53.6328125" customWidth="1"/>
    <col min="15" max="15" width="9.81640625" customWidth="1"/>
    <col min="16" max="16" width="17.36328125" bestFit="1" customWidth="1"/>
    <col min="17" max="17" width="9.453125" bestFit="1" customWidth="1"/>
    <col min="18" max="18" width="35.1796875" bestFit="1" customWidth="1"/>
    <col min="20" max="20" width="30.7265625" bestFit="1" customWidth="1"/>
    <col min="22" max="22" width="32.453125" bestFit="1" customWidth="1"/>
    <col min="24" max="24" width="14.6328125" bestFit="1" customWidth="1"/>
  </cols>
  <sheetData>
    <row r="1" spans="1:26" x14ac:dyDescent="0.35">
      <c r="A1" s="1" t="s">
        <v>16</v>
      </c>
      <c r="B1" s="1" t="s">
        <v>17</v>
      </c>
      <c r="D1" s="3" t="s">
        <v>18</v>
      </c>
      <c r="E1" s="4" t="s">
        <v>17</v>
      </c>
      <c r="F1" s="5" t="s">
        <v>24</v>
      </c>
      <c r="H1" s="12" t="s">
        <v>19</v>
      </c>
      <c r="I1" s="4" t="s">
        <v>17</v>
      </c>
      <c r="J1" s="5" t="s">
        <v>24</v>
      </c>
      <c r="L1" s="3" t="s">
        <v>20</v>
      </c>
      <c r="M1" s="4" t="s">
        <v>17</v>
      </c>
      <c r="N1" s="5" t="s">
        <v>24</v>
      </c>
      <c r="O1" s="27"/>
      <c r="P1" s="3" t="s">
        <v>38</v>
      </c>
      <c r="Q1" s="4" t="s">
        <v>17</v>
      </c>
      <c r="R1" s="5" t="s">
        <v>24</v>
      </c>
      <c r="T1" s="3" t="s">
        <v>21</v>
      </c>
      <c r="U1" s="4" t="s">
        <v>17</v>
      </c>
      <c r="V1" s="13" t="s">
        <v>24</v>
      </c>
      <c r="X1" s="12" t="s">
        <v>33</v>
      </c>
      <c r="Y1" s="19" t="s">
        <v>17</v>
      </c>
      <c r="Z1" s="13" t="s">
        <v>24</v>
      </c>
    </row>
    <row r="2" spans="1:26" ht="130.5" x14ac:dyDescent="0.35">
      <c r="A2" s="1" t="s">
        <v>18</v>
      </c>
      <c r="B2" s="2">
        <f>E5</f>
        <v>6.8283333333333331</v>
      </c>
      <c r="D2" s="6" t="s">
        <v>22</v>
      </c>
      <c r="E2" s="7">
        <f>75*12*2</f>
        <v>1800</v>
      </c>
      <c r="F2" s="8" t="s">
        <v>27</v>
      </c>
      <c r="H2" s="6" t="s">
        <v>22</v>
      </c>
      <c r="I2" s="17">
        <f>ABS(5360636-9423629)</f>
        <v>4062993</v>
      </c>
      <c r="J2" s="8" t="s">
        <v>30</v>
      </c>
      <c r="L2" s="6" t="s">
        <v>22</v>
      </c>
      <c r="M2" s="7">
        <f>(30*48)+((5/4)*48)</f>
        <v>1500</v>
      </c>
      <c r="N2" s="8" t="s">
        <v>32</v>
      </c>
      <c r="O2" s="28"/>
      <c r="P2" s="6" t="s">
        <v>22</v>
      </c>
      <c r="Q2" s="30">
        <f>Table25[[#This Row],[Metric]]*50</f>
        <v>75000</v>
      </c>
      <c r="R2" s="8" t="s">
        <v>39</v>
      </c>
      <c r="T2" s="6" t="s">
        <v>22</v>
      </c>
      <c r="U2" s="10">
        <v>262</v>
      </c>
      <c r="V2" s="14" t="s">
        <v>26</v>
      </c>
      <c r="X2" s="20" t="s">
        <v>34</v>
      </c>
      <c r="Y2" s="24">
        <f>(20004141/17850000-1)</f>
        <v>0.12068016806722692</v>
      </c>
      <c r="Z2" s="21" t="s">
        <v>37</v>
      </c>
    </row>
    <row r="3" spans="1:26" ht="58" x14ac:dyDescent="0.35">
      <c r="A3" s="1" t="s">
        <v>19</v>
      </c>
      <c r="B3" s="2">
        <f>I5</f>
        <v>-0.83660592080764107</v>
      </c>
      <c r="D3" s="9" t="s">
        <v>23</v>
      </c>
      <c r="E3" s="10">
        <f>(4386*3)+933</f>
        <v>14091</v>
      </c>
      <c r="F3" s="11" t="s">
        <v>28</v>
      </c>
      <c r="H3" s="9" t="s">
        <v>23</v>
      </c>
      <c r="I3" s="17">
        <v>663869</v>
      </c>
      <c r="J3" s="11" t="s">
        <v>29</v>
      </c>
      <c r="L3" s="9" t="s">
        <v>23</v>
      </c>
      <c r="M3" s="18">
        <f>((2)+(5/60)+(8/4))*48</f>
        <v>196.00000000000003</v>
      </c>
      <c r="N3" s="11" t="s">
        <v>31</v>
      </c>
      <c r="O3" s="28"/>
      <c r="P3" s="9" t="s">
        <v>23</v>
      </c>
      <c r="Q3" s="17">
        <f>Table25[[#This Row],[Metric]]*50</f>
        <v>9800.0000000000018</v>
      </c>
      <c r="R3" s="8" t="s">
        <v>39</v>
      </c>
      <c r="T3" s="9" t="s">
        <v>23</v>
      </c>
      <c r="U3" s="32">
        <v>5</v>
      </c>
      <c r="V3" s="33" t="s">
        <v>25</v>
      </c>
      <c r="X3" s="22" t="s">
        <v>35</v>
      </c>
      <c r="Y3" s="25"/>
      <c r="Z3" s="23"/>
    </row>
    <row r="4" spans="1:26" x14ac:dyDescent="0.35">
      <c r="A4" s="1" t="s">
        <v>20</v>
      </c>
      <c r="B4" s="2">
        <f>M5</f>
        <v>-0.86933333333333329</v>
      </c>
    </row>
    <row r="5" spans="1:26" ht="15" thickBot="1" x14ac:dyDescent="0.4">
      <c r="A5" s="1" t="s">
        <v>40</v>
      </c>
      <c r="B5" s="2">
        <f>Q5</f>
        <v>-0.86933333333333329</v>
      </c>
      <c r="D5" s="15" t="s">
        <v>18</v>
      </c>
      <c r="E5" s="16">
        <f>(E3-E2)/E2</f>
        <v>6.8283333333333331</v>
      </c>
      <c r="F5" s="15"/>
      <c r="H5" s="15" t="s">
        <v>19</v>
      </c>
      <c r="I5" s="16">
        <f>(I3-I2)/I2</f>
        <v>-0.83660592080764107</v>
      </c>
      <c r="J5" s="15"/>
      <c r="L5" s="15" t="s">
        <v>20</v>
      </c>
      <c r="M5" s="16">
        <f>(M3-M2)/M2</f>
        <v>-0.86933333333333329</v>
      </c>
      <c r="N5" s="15"/>
      <c r="O5" s="29"/>
      <c r="P5" s="15" t="s">
        <v>38</v>
      </c>
      <c r="Q5" s="16">
        <f>(Q3-Q2)/Q2</f>
        <v>-0.86933333333333329</v>
      </c>
      <c r="R5" s="15"/>
      <c r="T5" s="15" t="s">
        <v>21</v>
      </c>
      <c r="U5" s="16">
        <f>(U3-U2)/U2</f>
        <v>-0.98091603053435117</v>
      </c>
      <c r="V5" s="15"/>
      <c r="X5" s="15" t="s">
        <v>36</v>
      </c>
      <c r="Y5" s="16">
        <f>(Y3-Y2)/Y2</f>
        <v>-1</v>
      </c>
      <c r="Z5" s="15"/>
    </row>
    <row r="6" spans="1:26" ht="15" thickTop="1" x14ac:dyDescent="0.35">
      <c r="A6" s="1" t="s">
        <v>21</v>
      </c>
      <c r="B6" s="2">
        <f>U5</f>
        <v>-0.98091603053435117</v>
      </c>
      <c r="Q6" s="26">
        <f>Q2-Q3</f>
        <v>65200</v>
      </c>
    </row>
    <row r="10" spans="1:26" x14ac:dyDescent="0.35">
      <c r="I10" s="26"/>
      <c r="V10" s="33"/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E69B-0EE7-4389-8467-26C8BF1B2063}">
  <dimension ref="A1"/>
  <sheetViews>
    <sheetView showGridLines="0" zoomScale="40" zoomScaleNormal="40" workbookViewId="0">
      <selection activeCell="DS28" sqref="DS28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C0B4-B4C9-49F9-A9C5-739CA73257C1}">
  <dimension ref="B2:L9"/>
  <sheetViews>
    <sheetView tabSelected="1" zoomScale="85" zoomScaleNormal="85" workbookViewId="0">
      <selection activeCell="G11" sqref="G11"/>
    </sheetView>
  </sheetViews>
  <sheetFormatPr defaultRowHeight="14.5" x14ac:dyDescent="0.35"/>
  <cols>
    <col min="1" max="1" width="2.54296875" customWidth="1"/>
    <col min="2" max="2" width="27.7265625" bestFit="1" customWidth="1"/>
    <col min="4" max="4" width="11.08984375" bestFit="1" customWidth="1"/>
    <col min="5" max="5" width="23.54296875" bestFit="1" customWidth="1"/>
    <col min="6" max="6" width="10.453125" bestFit="1" customWidth="1"/>
    <col min="7" max="7" width="19.453125" bestFit="1" customWidth="1"/>
    <col min="8" max="8" width="18.453125" bestFit="1" customWidth="1"/>
    <col min="10" max="10" width="31.90625" bestFit="1" customWidth="1"/>
    <col min="11" max="11" width="26.08984375" bestFit="1" customWidth="1"/>
    <col min="12" max="12" width="12.6328125" bestFit="1" customWidth="1"/>
  </cols>
  <sheetData>
    <row r="2" spans="2:12" x14ac:dyDescent="0.35">
      <c r="B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14</v>
      </c>
      <c r="K2" t="s">
        <v>13</v>
      </c>
      <c r="L2" t="s">
        <v>15</v>
      </c>
    </row>
    <row r="3" spans="2:12" x14ac:dyDescent="0.35">
      <c r="B3" t="s">
        <v>4</v>
      </c>
      <c r="D3">
        <f>COUNTA(B3:B9)</f>
        <v>7</v>
      </c>
      <c r="E3">
        <v>4</v>
      </c>
      <c r="F3">
        <f>E3*D3</f>
        <v>28</v>
      </c>
      <c r="G3">
        <v>60</v>
      </c>
      <c r="H3">
        <f>G3*F3</f>
        <v>1680</v>
      </c>
      <c r="J3">
        <f>F3*60</f>
        <v>1680</v>
      </c>
      <c r="K3">
        <v>0.2</v>
      </c>
      <c r="L3">
        <f>J3/K3</f>
        <v>8400</v>
      </c>
    </row>
    <row r="4" spans="2:12" x14ac:dyDescent="0.35">
      <c r="B4" t="s">
        <v>0</v>
      </c>
    </row>
    <row r="5" spans="2:12" x14ac:dyDescent="0.35">
      <c r="B5" t="s">
        <v>1</v>
      </c>
    </row>
    <row r="6" spans="2:12" x14ac:dyDescent="0.35">
      <c r="B6" t="s">
        <v>2</v>
      </c>
    </row>
    <row r="7" spans="2:12" x14ac:dyDescent="0.35">
      <c r="B7" t="s">
        <v>3</v>
      </c>
    </row>
    <row r="8" spans="2:12" x14ac:dyDescent="0.35">
      <c r="B8" t="s">
        <v>5</v>
      </c>
    </row>
    <row r="9" spans="2:12" x14ac:dyDescent="0.35">
      <c r="B9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8EA-B209-497F-9FB1-EC41800A32F0}">
  <dimension ref="A2:K17"/>
  <sheetViews>
    <sheetView workbookViewId="0">
      <selection activeCell="E14" sqref="E14"/>
    </sheetView>
  </sheetViews>
  <sheetFormatPr defaultRowHeight="14.5" x14ac:dyDescent="0.35"/>
  <cols>
    <col min="1" max="1" width="21.90625" bestFit="1" customWidth="1"/>
    <col min="2" max="2" width="16" customWidth="1"/>
    <col min="7" max="7" width="16.90625" customWidth="1"/>
    <col min="8" max="8" width="24.08984375" customWidth="1"/>
    <col min="10" max="10" width="16.7265625" customWidth="1"/>
    <col min="11" max="11" width="13.36328125" bestFit="1" customWidth="1"/>
  </cols>
  <sheetData>
    <row r="2" spans="1:11" x14ac:dyDescent="0.35">
      <c r="A2" t="s">
        <v>41</v>
      </c>
      <c r="B2" s="26">
        <v>14229000</v>
      </c>
      <c r="G2" t="s">
        <v>49</v>
      </c>
      <c r="H2" s="26">
        <v>508786170882.57745</v>
      </c>
      <c r="J2" t="s">
        <v>60</v>
      </c>
    </row>
    <row r="3" spans="1:11" x14ac:dyDescent="0.35">
      <c r="A3" t="s">
        <v>42</v>
      </c>
      <c r="B3" s="26">
        <v>14668000</v>
      </c>
      <c r="G3" t="s">
        <v>50</v>
      </c>
      <c r="H3" s="26">
        <v>50878617088.257744</v>
      </c>
      <c r="J3" t="s">
        <v>61</v>
      </c>
      <c r="K3" s="26">
        <v>13400000</v>
      </c>
    </row>
    <row r="4" spans="1:11" x14ac:dyDescent="0.35">
      <c r="B4" s="26"/>
      <c r="G4" t="s">
        <v>51</v>
      </c>
      <c r="H4" s="26">
        <v>225562.88943054827</v>
      </c>
      <c r="J4" t="s">
        <v>62</v>
      </c>
      <c r="K4" s="26">
        <v>10400000</v>
      </c>
    </row>
    <row r="5" spans="1:11" x14ac:dyDescent="0.35">
      <c r="A5" t="s">
        <v>43</v>
      </c>
      <c r="B5" s="26">
        <f>B3-B2</f>
        <v>439000</v>
      </c>
      <c r="H5" s="26"/>
      <c r="J5" t="s">
        <v>63</v>
      </c>
      <c r="K5" s="26">
        <v>7400000</v>
      </c>
    </row>
    <row r="6" spans="1:11" x14ac:dyDescent="0.35">
      <c r="A6" t="s">
        <v>44</v>
      </c>
      <c r="B6" s="31">
        <f>B5/B2</f>
        <v>3.0852484362920797E-2</v>
      </c>
      <c r="G6" t="s">
        <v>52</v>
      </c>
      <c r="H6" s="26">
        <v>1535193236458.573</v>
      </c>
      <c r="K6" s="26"/>
    </row>
    <row r="7" spans="1:11" x14ac:dyDescent="0.35">
      <c r="G7" t="s">
        <v>53</v>
      </c>
      <c r="H7" s="26">
        <v>153519323645.8573</v>
      </c>
      <c r="J7" t="s">
        <v>64</v>
      </c>
      <c r="K7" s="26"/>
    </row>
    <row r="8" spans="1:11" x14ac:dyDescent="0.35">
      <c r="G8" t="s">
        <v>54</v>
      </c>
      <c r="H8" s="26">
        <v>391815.42037783214</v>
      </c>
      <c r="J8" t="s">
        <v>61</v>
      </c>
      <c r="K8" s="26">
        <v>2900000</v>
      </c>
    </row>
    <row r="9" spans="1:11" x14ac:dyDescent="0.35">
      <c r="H9" s="26"/>
      <c r="J9" t="s">
        <v>62</v>
      </c>
      <c r="K9" s="26">
        <v>50000</v>
      </c>
    </row>
    <row r="10" spans="1:11" x14ac:dyDescent="0.35">
      <c r="A10" t="s">
        <v>45</v>
      </c>
      <c r="B10" s="26">
        <v>37200000</v>
      </c>
      <c r="H10" s="26"/>
      <c r="J10" t="s">
        <v>63</v>
      </c>
      <c r="K10" s="26">
        <v>3100000</v>
      </c>
    </row>
    <row r="11" spans="1:11" x14ac:dyDescent="0.35">
      <c r="A11" t="s">
        <v>47</v>
      </c>
      <c r="B11" s="26">
        <f>B10/12</f>
        <v>3100000</v>
      </c>
      <c r="G11" t="s">
        <v>55</v>
      </c>
      <c r="H11" s="26">
        <v>391815.42037783214</v>
      </c>
    </row>
    <row r="12" spans="1:11" x14ac:dyDescent="0.35">
      <c r="A12" t="s">
        <v>46</v>
      </c>
      <c r="B12" s="26">
        <f>B11*9</f>
        <v>27900000</v>
      </c>
      <c r="G12" t="s">
        <v>56</v>
      </c>
      <c r="H12" s="26">
        <v>225562.88943054827</v>
      </c>
      <c r="J12" t="s">
        <v>65</v>
      </c>
    </row>
    <row r="13" spans="1:11" x14ac:dyDescent="0.35">
      <c r="B13" s="26"/>
      <c r="G13" t="s">
        <v>57</v>
      </c>
      <c r="H13" s="31">
        <v>-0.42431339426856818</v>
      </c>
      <c r="J13" t="s">
        <v>61</v>
      </c>
      <c r="K13" s="31">
        <f>(K8-K3)/K3</f>
        <v>-0.78358208955223885</v>
      </c>
    </row>
    <row r="14" spans="1:11" x14ac:dyDescent="0.35">
      <c r="A14" t="s">
        <v>43</v>
      </c>
      <c r="B14" s="26">
        <f>B12-B2</f>
        <v>13671000</v>
      </c>
      <c r="J14" t="s">
        <v>62</v>
      </c>
      <c r="K14" s="31">
        <f t="shared" ref="K14:K15" si="0">(K9-K4)/K4</f>
        <v>-0.99519230769230771</v>
      </c>
    </row>
    <row r="15" spans="1:11" x14ac:dyDescent="0.35">
      <c r="A15" t="s">
        <v>48</v>
      </c>
      <c r="B15" s="31">
        <f>B14/B2</f>
        <v>0.96078431372549022</v>
      </c>
      <c r="G15" t="s">
        <v>58</v>
      </c>
      <c r="J15" t="s">
        <v>63</v>
      </c>
      <c r="K15" s="31">
        <f t="shared" si="0"/>
        <v>-0.58108108108108103</v>
      </c>
    </row>
    <row r="17" spans="1:1" x14ac:dyDescent="0.35">
      <c r="A17" t="s">
        <v>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1C1E-1011-4EB9-B287-B5D386B34ADE}">
  <dimension ref="A1"/>
  <sheetViews>
    <sheetView showGridLines="0" topLeftCell="A37" zoomScale="25" zoomScaleNormal="25" workbookViewId="0">
      <selection activeCell="BU112" sqref="BU111:BU112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</vt:lpstr>
      <vt:lpstr>Budget backups</vt:lpstr>
      <vt:lpstr>Contract Classifier</vt:lpstr>
      <vt:lpstr>Sarima Forecast</vt:lpstr>
      <vt:lpstr>Sarima Forecast Backups</vt:lpstr>
    </vt:vector>
  </TitlesOfParts>
  <Company>HUmana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Buri</dc:creator>
  <cp:lastModifiedBy>Steven Buri</cp:lastModifiedBy>
  <dcterms:created xsi:type="dcterms:W3CDTF">2022-08-31T21:21:56Z</dcterms:created>
  <dcterms:modified xsi:type="dcterms:W3CDTF">2022-11-03T16:04:31Z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b6c078-73cb-4371-8a5b-e9fc18accbf8_Enabled">
    <vt:lpwstr>true</vt:lpwstr>
  </property>
  <property fmtid="{D5CDD505-2E9C-101B-9397-08002B2CF9AE}" pid="3" name="MSIP_Label_e2b6c078-73cb-4371-8a5b-e9fc18accbf8_SetDate">
    <vt:lpwstr>2022-10-31T16:06:17Z</vt:lpwstr>
  </property>
  <property fmtid="{D5CDD505-2E9C-101B-9397-08002B2CF9AE}" pid="4" name="MSIP_Label_e2b6c078-73cb-4371-8a5b-e9fc18accbf8_Method">
    <vt:lpwstr>Standard</vt:lpwstr>
  </property>
  <property fmtid="{D5CDD505-2E9C-101B-9397-08002B2CF9AE}" pid="5" name="MSIP_Label_e2b6c078-73cb-4371-8a5b-e9fc18accbf8_Name">
    <vt:lpwstr>INTERNAL</vt:lpwstr>
  </property>
  <property fmtid="{D5CDD505-2E9C-101B-9397-08002B2CF9AE}" pid="6" name="MSIP_Label_e2b6c078-73cb-4371-8a5b-e9fc18accbf8_SiteId">
    <vt:lpwstr>56c62bbe-8598-4b85-9e51-1ca753fa50f2</vt:lpwstr>
  </property>
  <property fmtid="{D5CDD505-2E9C-101B-9397-08002B2CF9AE}" pid="7" name="MSIP_Label_e2b6c078-73cb-4371-8a5b-e9fc18accbf8_ActionId">
    <vt:lpwstr>9550688e-8f4c-4a2d-8d65-5166b29ac8d6</vt:lpwstr>
  </property>
  <property fmtid="{D5CDD505-2E9C-101B-9397-08002B2CF9AE}" pid="8" name="MSIP_Label_e2b6c078-73cb-4371-8a5b-e9fc18accbf8_ContentBits">
    <vt:lpwstr>0</vt:lpwstr>
  </property>
</Properties>
</file>