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CustomEnv/Impact/"/>
    </mc:Choice>
  </mc:AlternateContent>
  <xr:revisionPtr revIDLastSave="416" documentId="8_{0B40D6D4-65E6-4A7A-AF4C-BE61588FAE02}" xr6:coauthVersionLast="47" xr6:coauthVersionMax="47" xr10:uidLastSave="{ED51527C-3CDC-4544-B19A-B8BE3B8D0C9F}"/>
  <bookViews>
    <workbookView xWindow="-110" yWindow="-110" windowWidth="34620" windowHeight="14020" activeTab="4" xr2:uid="{BBA7550B-BEA3-4F64-81C9-D66EB43BF2E3}"/>
  </bookViews>
  <sheets>
    <sheet name="Budget" sheetId="2" r:id="rId1"/>
    <sheet name="Budget backups" sheetId="3" r:id="rId2"/>
    <sheet name="Contract Classifier" sheetId="1" r:id="rId3"/>
    <sheet name="Sarima Forecast" sheetId="5" r:id="rId4"/>
    <sheet name="Sarima Forecast Back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N7" i="5"/>
  <c r="N5" i="5"/>
  <c r="AG3" i="2" l="1"/>
  <c r="AG5" i="2" s="1"/>
  <c r="AC3" i="2"/>
  <c r="AC5" i="2" s="1"/>
  <c r="U5" i="2"/>
  <c r="K14" i="5"/>
  <c r="K15" i="5"/>
  <c r="K13" i="5"/>
  <c r="B11" i="5" l="1"/>
  <c r="B12" i="5" s="1"/>
  <c r="B14" i="5" s="1"/>
  <c r="B15" i="5" s="1"/>
  <c r="B5" i="5"/>
  <c r="B6" i="5" s="1"/>
  <c r="Q3" i="2"/>
  <c r="Q6" i="2" s="1"/>
  <c r="Y2" i="2"/>
  <c r="Y5" i="2" s="1"/>
  <c r="M3" i="2"/>
  <c r="M2" i="2"/>
  <c r="Q2" i="2" s="1"/>
  <c r="Q5" i="2" l="1"/>
  <c r="B5" i="2" s="1"/>
  <c r="M5" i="2"/>
  <c r="B4" i="2" s="1"/>
  <c r="I2" i="2" l="1"/>
  <c r="B6" i="2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<sst xmlns="http://schemas.openxmlformats.org/spreadsheetml/2006/main" count="122" uniqueCount="79">
  <si>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</si>
  <si>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</si>
  <si>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</si>
  <si>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</si>
  <si>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</si>
  <si>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</si>
  <si>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</si>
  <si>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</si>
  <si>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</si>
  <si>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</si>
  <si>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</si>
  <si>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</si>
  <si>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</si>
  <si>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</si>
  <si>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</si>
  <si>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</si>
  <si>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</si>
  <si>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</si>
  <si>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</si>
  <si>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</si>
  <si>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</si>
  <si>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</si>
  <si>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</si>
  <si>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</si>
  <si>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</si>
  <si>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</si>
  <si>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</si>
  <si>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</si>
  <si>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</si>
  <si>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</si>
  <si>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</si>
  <si>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</si>
  <si>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</si>
  <si>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</si>
  <si>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</si>
  <si>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</si>
  <si>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</si>
  <si>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</si>
  <si>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</si>
  <si>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</si>
  <si>
    <t>Sep YTD Actuals</t>
  </si>
  <si>
    <t>Sep YTD Mean Validation</t>
  </si>
  <si>
    <t>Variance</t>
  </si>
  <si>
    <t>Variance %</t>
  </si>
  <si>
    <t>Original Forecast</t>
  </si>
  <si>
    <t>Original Sep YTD Forecast</t>
  </si>
  <si>
    <t>Original Forecast per Month</t>
  </si>
  <si>
    <t>Variance Percent</t>
  </si>
  <si>
    <t>Sum Errors</t>
  </si>
  <si>
    <t>Avg. Error</t>
  </si>
  <si>
    <t>Root Error</t>
  </si>
  <si>
    <t>Sum Naïve Errors</t>
  </si>
  <si>
    <t>Avg. Naïve Error</t>
  </si>
  <si>
    <t>Root Naïve Error</t>
  </si>
  <si>
    <t>Naïve Error</t>
  </si>
  <si>
    <t>Current Error</t>
  </si>
  <si>
    <t>Reduction in Error</t>
  </si>
  <si>
    <t>Sarima forecast is 42% better than naïve forecast using mean for validation months</t>
  </si>
  <si>
    <t>Sarima forecast is 93% better than our forecast was in Feb, Jan-Sep Forecast.</t>
  </si>
  <si>
    <t>Original Risk</t>
  </si>
  <si>
    <t>High</t>
  </si>
  <si>
    <t>Med</t>
  </si>
  <si>
    <t>Low</t>
  </si>
  <si>
    <t>New Risk</t>
  </si>
  <si>
    <t>Risk Improvement</t>
  </si>
  <si>
    <t xml:space="preserve">From "Processed_ForecastandActuals" 9/15/22. Multiplied 4,386 rows by by 3 for Forecast, Actuals, and Variances.
Added "BudgetDistributions_Main" 9/15/22 with 993 to account for budget information as well. </t>
  </si>
  <si>
    <t>Automated DL Inputs</t>
  </si>
  <si>
    <t>Manual DL Inputs</t>
  </si>
  <si>
    <t>Type</t>
  </si>
  <si>
    <t>From CECP Forecast</t>
  </si>
  <si>
    <t>From CECP Forecast, includes forecast months</t>
  </si>
  <si>
    <t>DL Inputs Automated</t>
  </si>
  <si>
    <t>Title</t>
  </si>
  <si>
    <t>Prior Script Count</t>
  </si>
  <si>
    <t>Current Script Count</t>
  </si>
  <si>
    <t>Reduction in required scripts needed</t>
  </si>
  <si>
    <t>Forecast Prediction, based on prediction Feb-Dec of 2022</t>
  </si>
  <si>
    <t>Actual Results</t>
  </si>
  <si>
    <t>Sarima Forecast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</si>
</sst>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  <xf numFmtId="9" fontId="0" fillId="0" borderId="0" xfId="1" applyFont="1"/>
    <xf numFmtId="0" fontId="0" fillId="0" borderId="8" xfId="0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5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11</xdr:row>
      <xdr:rowOff>50800</xdr:rowOff>
    </xdr:from>
    <xdr:to>
      <xdr:col>31</xdr:col>
      <xdr:colOff>478901</xdr:colOff>
      <xdr:row>68</xdr:row>
      <xdr:rowOff>61791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D4176-8ED2-4D4C-AF59-9A0B7873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6600"/>
          <a:ext cx="18995501" cy="10145591"/>
        </a:xfrm>
        <a:prstGeom prst="rect">
          <a:avLst/>
        </a:prstGeom>
      </xdr:spPr>
    </xdr:pic>
    <xdr:clientData/>
  </xdr:twoCellAnchor>
  <xdr:twoCellAnchor editAs="oneCell">
    <xdr:from>
      <xdr:col>34</xdr:col>
      <xdr:colOff>330200</xdr:colOff>
      <xdr:row>11</xdr:row>
      <xdr:rowOff>50800</xdr:rowOff>
    </xdr:from>
    <xdr:to>
      <xdr:col>65</xdr:col>
      <xdr:colOff>418575</xdr:colOff>
      <xdr:row>70</xdr:row>
      <xdr:rowOff>96720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93875-4B89-4FEE-A5A3-D6097FFD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6600" y="2006600"/>
          <a:ext cx="18985975" cy="10536120"/>
        </a:xfrm>
        <a:prstGeom prst="rect">
          <a:avLst/>
        </a:prstGeom>
      </xdr:spPr>
    </xdr:pic>
    <xdr:clientData/>
  </xdr:twoCellAnchor>
  <xdr:twoCellAnchor editAs="oneCell">
    <xdr:from>
      <xdr:col>67</xdr:col>
      <xdr:colOff>482600</xdr:colOff>
      <xdr:row>11</xdr:row>
      <xdr:rowOff>152400</xdr:rowOff>
    </xdr:from>
    <xdr:to>
      <xdr:col>98</xdr:col>
      <xdr:colOff>532869</xdr:colOff>
      <xdr:row>71</xdr:row>
      <xdr:rowOff>10994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F0BF37-DCFD-485A-8CF5-71BDD18DD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5800" y="2108200"/>
          <a:ext cx="18947869" cy="105265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76</xdr:row>
      <xdr:rowOff>127000</xdr:rowOff>
    </xdr:from>
    <xdr:to>
      <xdr:col>32</xdr:col>
      <xdr:colOff>209017</xdr:colOff>
      <xdr:row>136</xdr:row>
      <xdr:rowOff>33226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94FB2D-2CDC-4DA1-B523-77F6249C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400" y="13639800"/>
          <a:ext cx="18928817" cy="10574226"/>
        </a:xfrm>
        <a:prstGeom prst="rect">
          <a:avLst/>
        </a:prstGeom>
      </xdr:spPr>
    </xdr:pic>
    <xdr:clientData/>
  </xdr:twoCellAnchor>
  <xdr:twoCellAnchor editAs="oneCell">
    <xdr:from>
      <xdr:col>34</xdr:col>
      <xdr:colOff>355600</xdr:colOff>
      <xdr:row>79</xdr:row>
      <xdr:rowOff>152400</xdr:rowOff>
    </xdr:from>
    <xdr:to>
      <xdr:col>64</xdr:col>
      <xdr:colOff>339100</xdr:colOff>
      <xdr:row>112</xdr:row>
      <xdr:rowOff>48429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72D904-D74F-45E1-9E48-61A770769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82000" y="14198600"/>
          <a:ext cx="18271500" cy="5763429"/>
        </a:xfrm>
        <a:prstGeom prst="rect">
          <a:avLst/>
        </a:prstGeom>
      </xdr:spPr>
    </xdr:pic>
    <xdr:clientData/>
  </xdr:twoCellAnchor>
  <xdr:twoCellAnchor editAs="oneCell">
    <xdr:from>
      <xdr:col>65</xdr:col>
      <xdr:colOff>177800</xdr:colOff>
      <xdr:row>80</xdr:row>
      <xdr:rowOff>76200</xdr:rowOff>
    </xdr:from>
    <xdr:to>
      <xdr:col>69</xdr:col>
      <xdr:colOff>340088</xdr:colOff>
      <xdr:row>94</xdr:row>
      <xdr:rowOff>130530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6463DB-C98F-4CF4-9807-6C130D2B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01800" y="14300200"/>
          <a:ext cx="2600688" cy="254353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64" dataDxfId="63">
  <autoFilter ref="A1:B6" xr:uid="{0AE75F34-76B8-4ABB-9EA2-1EF5A6FB3364}"/>
  <tableColumns count="2">
    <tableColumn id="1" xr3:uid="{84CEBBF1-AC5E-41C8-8049-FD144B0ADE50}" name="Query" dataDxfId="62"/>
    <tableColumn id="2" xr3:uid="{5385DC53-2B7D-41CD-9F00-295AAE587E31}" name="Metric" dataDxfId="61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60" dataDxfId="58" headerRowBorderDxfId="59" tableBorderDxfId="57" totalsRowBorderDxfId="56">
  <autoFilter ref="D1:F3" xr:uid="{58E337BD-7A79-497A-85AF-FAD81B190DC3}"/>
  <tableColumns count="3">
    <tableColumn id="1" xr3:uid="{07AD9632-FD9A-4D7F-95DE-63CE76BD8ECC}" name="Increased Visibility" dataDxfId="55"/>
    <tableColumn id="2" xr3:uid="{9E168082-D05F-47C9-9004-F2AAED5F24F6}" name="Metric" dataDxfId="54"/>
    <tableColumn id="3" xr3:uid="{5B1795B7-B20F-4005-A2E9-78F7530AA574}" name="Notes" dataDxfId="5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52" dataDxfId="50" headerRowBorderDxfId="51" tableBorderDxfId="49" totalsRowBorderDxfId="48">
  <autoFilter ref="H1:J3" xr:uid="{0DBFCBAE-B46A-4EC2-9EF1-59960A831D4B}"/>
  <tableColumns count="3">
    <tableColumn id="1" xr3:uid="{89E6102F-F156-4701-9B18-F56A8DE43623}" name="Reduced Underspend/Overspend" dataDxfId="47"/>
    <tableColumn id="2" xr3:uid="{92A9C58F-D62E-4057-A20D-0699DC7490AD}" name="Metric" dataDxfId="46"/>
    <tableColumn id="3" xr3:uid="{4D037B42-992E-4B05-A268-A86045066E9B}" name="Notes" dataDxfId="4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44" dataDxfId="42" headerRowBorderDxfId="43" tableBorderDxfId="41" totalsRowBorderDxfId="40">
  <autoFilter ref="L1:N3" xr:uid="{1B270726-04DD-4554-B779-CE4538414360}"/>
  <tableColumns count="3">
    <tableColumn id="1" xr3:uid="{43754167-7C12-480B-8B0F-AC470CB179C0}" name="Increased Report Creation Speed" dataDxfId="39"/>
    <tableColumn id="2" xr3:uid="{CABD709F-B5C1-472D-926F-019CEB937CD2}" name="Metric" dataDxfId="38"/>
    <tableColumn id="3" xr3:uid="{4A2DF080-D579-44D3-BA1B-9BE812BC7E6E}" name="Notes" dataDxfId="3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36" dataDxfId="34" headerRowBorderDxfId="35" tableBorderDxfId="33" totalsRowBorderDxfId="32">
  <autoFilter ref="T1:V3" xr:uid="{0EE52BEF-63D4-4F8E-96F2-033D59D45715}"/>
  <tableColumns count="3">
    <tableColumn id="1" xr3:uid="{59BAF2A8-087F-4444-945C-04765696349E}" name="Variances Requiring Touchpoints" dataDxfId="31"/>
    <tableColumn id="2" xr3:uid="{271B9954-B2A3-4E22-8B68-352D30531BB7}" name="Metric" dataDxfId="30"/>
    <tableColumn id="3" xr3:uid="{4C854EE8-9734-40ED-8BA5-2057838617A9}" name="Notes" dataDxfId="2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28" dataDxfId="26" headerRowBorderDxfId="27" tableBorderDxfId="25" totalsRowBorderDxfId="24">
  <autoFilter ref="X1:Z3" xr:uid="{AD2F7457-8C4E-48C1-80D1-D0653326DA82}"/>
  <tableColumns count="3">
    <tableColumn id="1" xr3:uid="{1776EA5E-1F77-4A3C-8ACC-4AA80D2B4570}" name="YoY Variance" dataDxfId="23"/>
    <tableColumn id="2" xr3:uid="{A4ED0614-EB8B-4957-9D34-5DF120062FAD}" name="Metric" dataDxfId="22">
      <calculatedColumnFormula>20004141 / 17850000</calculatedColumnFormula>
    </tableColumn>
    <tableColumn id="3" xr3:uid="{CE05403B-5268-42D2-8032-1292226DAA3C}" name="Notes" dataDxfId="2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20" dataDxfId="18" headerRowBorderDxfId="19" tableBorderDxfId="17" totalsRowBorderDxfId="16">
  <autoFilter ref="P1:R3" xr:uid="{92035B57-C667-4DFA-927C-50AC4F14B00D}"/>
  <tableColumns count="3">
    <tableColumn id="1" xr3:uid="{0DC566FE-AD34-40D8-8547-586F2C5A4662}" name="Decreased Costs" dataDxfId="15"/>
    <tableColumn id="2" xr3:uid="{1D1F2F33-7DF9-4506-BEF0-45233F3330FE}" name="Metric" dataDxfId="14"/>
    <tableColumn id="3" xr3:uid="{A0B226A4-4743-4F6E-B770-00F27953236D}" name="Notes" dataDxfId="13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1DA81E-1531-49B8-BE34-CD2D010E25A2}" name="Table7" displayName="Table7" ref="AB1:AD3" totalsRowShown="0" headerRowDxfId="12" dataDxfId="10" headerRowBorderDxfId="11" tableBorderDxfId="9" totalsRowBorderDxfId="8">
  <autoFilter ref="AB1:AD3" xr:uid="{F21DA81E-1531-49B8-BE34-CD2D010E25A2}"/>
  <tableColumns count="3">
    <tableColumn id="1" xr3:uid="{9131DD34-0525-42B2-B835-363673C0FFD6}" name="Type" dataDxfId="7"/>
    <tableColumn id="2" xr3:uid="{04437AFB-88E4-45A7-A279-EDA86599E3C4}" name="Metric" dataDxfId="6">
      <calculatedColumnFormula>11+24</calculatedColumnFormula>
    </tableColumn>
    <tableColumn id="3" xr3:uid="{C55E199F-D6F7-4EC4-A77A-4EACB7935E27}" name="Notes" dataDxfId="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48AF6F-C8A2-4FA2-8722-CAE9B47CCBD9}" name="Table8" displayName="Table8" ref="AF1:AH3" totalsRowShown="0" headerRowDxfId="4" dataDxfId="3">
  <autoFilter ref="AF1:AH3" xr:uid="{2048AF6F-C8A2-4FA2-8722-CAE9B47CCBD9}"/>
  <tableColumns count="3">
    <tableColumn id="1" xr3:uid="{11CDF052-77AC-4A68-A463-88CF343DBFCE}" name="Title" dataDxfId="2"/>
    <tableColumn id="2" xr3:uid="{82D1AE67-80D8-447C-8B52-A3A96BEF7B3B}" name="Metric" dataDxfId="1"/>
    <tableColumn id="3" xr3:uid="{7B2E64D1-BD48-4C5E-A495-3FAF9E3A8FBE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AH10"/>
  <sheetViews>
    <sheetView showGridLines="0" topLeftCell="U1" zoomScaleNormal="100" workbookViewId="0">
      <selection activeCell="AD9" sqref="AD9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8.36328125" bestFit="1" customWidth="1"/>
    <col min="26" max="26" width="68.36328125" bestFit="1" customWidth="1"/>
    <col min="28" max="28" width="18.6328125" bestFit="1" customWidth="1"/>
    <col min="30" max="30" width="39.6328125" bestFit="1" customWidth="1"/>
    <col min="32" max="32" width="31.81640625" bestFit="1" customWidth="1"/>
  </cols>
  <sheetData>
    <row r="1" spans="1:34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7"/>
      <c r="P1" s="3" t="s">
        <v>37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32</v>
      </c>
      <c r="Y1" s="19" t="s">
        <v>17</v>
      </c>
      <c r="Z1" s="13" t="s">
        <v>24</v>
      </c>
      <c r="AB1" s="12" t="s">
        <v>68</v>
      </c>
      <c r="AC1" s="19" t="s">
        <v>17</v>
      </c>
      <c r="AD1" s="13" t="s">
        <v>24</v>
      </c>
      <c r="AF1" s="1" t="s">
        <v>72</v>
      </c>
      <c r="AG1" s="1" t="s">
        <v>17</v>
      </c>
      <c r="AH1" s="1" t="s">
        <v>24</v>
      </c>
    </row>
    <row r="2" spans="1:34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7">
        <f>ABS(5360636-9423629)</f>
        <v>4062993</v>
      </c>
      <c r="J2" s="8" t="s">
        <v>29</v>
      </c>
      <c r="L2" s="6" t="s">
        <v>22</v>
      </c>
      <c r="M2" s="7">
        <f>(30*48)+((5/4)*48)</f>
        <v>1500</v>
      </c>
      <c r="N2" s="8" t="s">
        <v>31</v>
      </c>
      <c r="O2" s="28"/>
      <c r="P2" s="6" t="s">
        <v>22</v>
      </c>
      <c r="Q2" s="30">
        <f>Table25[[#This Row],[Metric]]*50</f>
        <v>75000</v>
      </c>
      <c r="R2" s="8" t="s">
        <v>38</v>
      </c>
      <c r="T2" s="6" t="s">
        <v>22</v>
      </c>
      <c r="U2" s="10">
        <v>262</v>
      </c>
      <c r="V2" s="14" t="s">
        <v>26</v>
      </c>
      <c r="X2" s="20" t="s">
        <v>33</v>
      </c>
      <c r="Y2" s="24">
        <f>(20004141/17850000-1)</f>
        <v>0.12068016806722692</v>
      </c>
      <c r="Z2" s="21" t="s">
        <v>36</v>
      </c>
      <c r="AB2" s="20" t="s">
        <v>67</v>
      </c>
      <c r="AC2" s="34">
        <v>8</v>
      </c>
      <c r="AD2" s="21" t="s">
        <v>69</v>
      </c>
      <c r="AF2" s="1" t="s">
        <v>73</v>
      </c>
      <c r="AG2" s="1">
        <v>12</v>
      </c>
      <c r="AH2" s="1"/>
    </row>
    <row r="3" spans="1:34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65</v>
      </c>
      <c r="H3" s="9" t="s">
        <v>23</v>
      </c>
      <c r="I3" s="17">
        <v>663869</v>
      </c>
      <c r="J3" s="11" t="s">
        <v>28</v>
      </c>
      <c r="L3" s="9" t="s">
        <v>23</v>
      </c>
      <c r="M3" s="18">
        <f>((2)+(5/60)+(8/4))*48</f>
        <v>196.00000000000003</v>
      </c>
      <c r="N3" s="11" t="s">
        <v>30</v>
      </c>
      <c r="O3" s="28"/>
      <c r="P3" s="9" t="s">
        <v>23</v>
      </c>
      <c r="Q3" s="17">
        <f>Table25[[#This Row],[Metric]]*50</f>
        <v>9800.0000000000018</v>
      </c>
      <c r="R3" s="8" t="s">
        <v>38</v>
      </c>
      <c r="T3" s="9" t="s">
        <v>23</v>
      </c>
      <c r="U3" s="32">
        <v>5</v>
      </c>
      <c r="V3" s="33" t="s">
        <v>25</v>
      </c>
      <c r="X3" s="22" t="s">
        <v>34</v>
      </c>
      <c r="Y3" s="25">
        <f>ABS(18688166/20505605-1)</f>
        <v>8.8631327873525345E-2</v>
      </c>
      <c r="Z3" s="23"/>
      <c r="AB3" s="22" t="s">
        <v>66</v>
      </c>
      <c r="AC3" s="32">
        <f t="shared" ref="AC3" si="0">11+24</f>
        <v>35</v>
      </c>
      <c r="AD3" s="21" t="s">
        <v>70</v>
      </c>
      <c r="AF3" s="1" t="s">
        <v>74</v>
      </c>
      <c r="AG3" s="1">
        <f>7+0</f>
        <v>7</v>
      </c>
      <c r="AH3" s="1"/>
    </row>
    <row r="4" spans="1:34" x14ac:dyDescent="0.35">
      <c r="A4" s="1" t="s">
        <v>20</v>
      </c>
      <c r="B4" s="2">
        <f>M5</f>
        <v>-0.86933333333333329</v>
      </c>
    </row>
    <row r="5" spans="1:34" ht="15" thickBot="1" x14ac:dyDescent="0.4">
      <c r="A5" s="1" t="s">
        <v>39</v>
      </c>
      <c r="B5" s="2">
        <f>Q5</f>
        <v>-0.86933333333333329</v>
      </c>
      <c r="D5" s="15" t="s">
        <v>18</v>
      </c>
      <c r="E5" s="16">
        <f>(E3-E2)/E2</f>
        <v>6.8283333333333331</v>
      </c>
      <c r="F5" s="15"/>
      <c r="H5" s="15" t="s">
        <v>19</v>
      </c>
      <c r="I5" s="16">
        <f>(I3-I2)/I2</f>
        <v>-0.83660592080764107</v>
      </c>
      <c r="J5" s="15"/>
      <c r="L5" s="15" t="s">
        <v>20</v>
      </c>
      <c r="M5" s="16">
        <f>(M3-M2)/M2</f>
        <v>-0.86933333333333329</v>
      </c>
      <c r="N5" s="15"/>
      <c r="O5" s="29"/>
      <c r="P5" s="15" t="s">
        <v>37</v>
      </c>
      <c r="Q5" s="16">
        <f>(Q3-Q2)/Q2</f>
        <v>-0.86933333333333329</v>
      </c>
      <c r="R5" s="15"/>
      <c r="T5" s="15" t="s">
        <v>21</v>
      </c>
      <c r="U5" s="16">
        <f>(U3-U2)/U2</f>
        <v>-0.98091603053435117</v>
      </c>
      <c r="V5" s="15"/>
      <c r="X5" s="15" t="s">
        <v>35</v>
      </c>
      <c r="Y5" s="16">
        <f>(Y3-Y2)/Y2</f>
        <v>-0.26556840868706971</v>
      </c>
      <c r="Z5" s="15"/>
      <c r="AB5" s="15" t="s">
        <v>71</v>
      </c>
      <c r="AC5" s="16">
        <f>AC3/SUM(Table7[Metric])</f>
        <v>0.81395348837209303</v>
      </c>
      <c r="AD5" s="15"/>
      <c r="AF5" s="15" t="s">
        <v>75</v>
      </c>
      <c r="AG5" s="16">
        <f>AG3/SUM(Table8[Metric])-1</f>
        <v>-0.63157894736842102</v>
      </c>
      <c r="AH5" s="15"/>
    </row>
    <row r="6" spans="1:34" ht="15" thickTop="1" x14ac:dyDescent="0.35">
      <c r="A6" s="1" t="s">
        <v>21</v>
      </c>
      <c r="B6" s="2">
        <f>U5</f>
        <v>-0.98091603053435117</v>
      </c>
      <c r="Q6" s="26">
        <f>Q2-Q3</f>
        <v>65200</v>
      </c>
    </row>
    <row r="10" spans="1:34" x14ac:dyDescent="0.35">
      <c r="I10" s="26"/>
      <c r="V10" s="33"/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zoomScale="85" zoomScaleNormal="85" workbookViewId="0">
      <selection activeCell="H7" sqref="B4:H7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8EA-B209-497F-9FB1-EC41800A32F0}">
  <dimension ref="A2:N17"/>
  <sheetViews>
    <sheetView topLeftCell="F1" zoomScale="85" zoomScaleNormal="85" workbookViewId="0">
      <selection activeCell="O9" sqref="O9"/>
    </sheetView>
  </sheetViews>
  <sheetFormatPr defaultRowHeight="14.5" x14ac:dyDescent="0.35"/>
  <cols>
    <col min="1" max="1" width="21.90625" bestFit="1" customWidth="1"/>
    <col min="2" max="2" width="16" customWidth="1"/>
    <col min="7" max="7" width="16.90625" customWidth="1"/>
    <col min="8" max="8" width="24.08984375" customWidth="1"/>
    <col min="10" max="10" width="16.7265625" customWidth="1"/>
    <col min="11" max="11" width="13.36328125" bestFit="1" customWidth="1"/>
    <col min="13" max="13" width="48.7265625" bestFit="1" customWidth="1"/>
    <col min="14" max="14" width="13.36328125" bestFit="1" customWidth="1"/>
  </cols>
  <sheetData>
    <row r="2" spans="1:14" x14ac:dyDescent="0.35">
      <c r="A2" t="s">
        <v>40</v>
      </c>
      <c r="B2" s="26">
        <v>14229000</v>
      </c>
      <c r="G2" t="s">
        <v>48</v>
      </c>
      <c r="H2" s="26">
        <v>508786170882.57745</v>
      </c>
      <c r="J2" t="s">
        <v>59</v>
      </c>
      <c r="M2" t="s">
        <v>72</v>
      </c>
      <c r="N2" t="s">
        <v>17</v>
      </c>
    </row>
    <row r="3" spans="1:14" x14ac:dyDescent="0.35">
      <c r="A3" t="s">
        <v>41</v>
      </c>
      <c r="B3" s="26">
        <v>14668000</v>
      </c>
      <c r="G3" t="s">
        <v>49</v>
      </c>
      <c r="H3" s="26">
        <v>50878617088.257744</v>
      </c>
      <c r="J3" t="s">
        <v>60</v>
      </c>
      <c r="K3" s="26">
        <v>13400000</v>
      </c>
      <c r="M3" t="s">
        <v>76</v>
      </c>
      <c r="N3" s="26">
        <v>18619428</v>
      </c>
    </row>
    <row r="4" spans="1:14" x14ac:dyDescent="0.35">
      <c r="B4" s="26"/>
      <c r="G4" t="s">
        <v>50</v>
      </c>
      <c r="H4" s="26">
        <v>225562.88943054827</v>
      </c>
      <c r="J4" t="s">
        <v>61</v>
      </c>
      <c r="K4" s="26">
        <v>10400000</v>
      </c>
      <c r="M4" t="s">
        <v>77</v>
      </c>
      <c r="N4" s="26">
        <v>18688165.6895</v>
      </c>
    </row>
    <row r="5" spans="1:14" x14ac:dyDescent="0.35">
      <c r="A5" t="s">
        <v>42</v>
      </c>
      <c r="B5" s="26">
        <f>B3-B2</f>
        <v>439000</v>
      </c>
      <c r="H5" s="26"/>
      <c r="J5" t="s">
        <v>62</v>
      </c>
      <c r="K5" s="26">
        <v>7400000</v>
      </c>
      <c r="M5" t="s">
        <v>42</v>
      </c>
      <c r="N5" s="26">
        <f>N4-N3</f>
        <v>68737.689500000328</v>
      </c>
    </row>
    <row r="6" spans="1:14" x14ac:dyDescent="0.35">
      <c r="A6" t="s">
        <v>43</v>
      </c>
      <c r="B6" s="31">
        <f>B5/B2</f>
        <v>3.0852484362920797E-2</v>
      </c>
      <c r="G6" t="s">
        <v>51</v>
      </c>
      <c r="H6" s="26">
        <v>1535193236458.573</v>
      </c>
      <c r="K6" s="26"/>
    </row>
    <row r="7" spans="1:14" x14ac:dyDescent="0.35">
      <c r="G7" t="s">
        <v>52</v>
      </c>
      <c r="H7" s="26">
        <v>153519323645.8573</v>
      </c>
      <c r="J7" t="s">
        <v>63</v>
      </c>
      <c r="K7" s="26"/>
      <c r="M7" t="s">
        <v>78</v>
      </c>
      <c r="N7" s="35">
        <f>1-(N5/N4)</f>
        <v>0.99632186001333345</v>
      </c>
    </row>
    <row r="8" spans="1:14" x14ac:dyDescent="0.35">
      <c r="G8" t="s">
        <v>53</v>
      </c>
      <c r="H8" s="26">
        <v>391815.42037783214</v>
      </c>
      <c r="J8" t="s">
        <v>60</v>
      </c>
      <c r="K8" s="26">
        <v>2900000</v>
      </c>
    </row>
    <row r="9" spans="1:14" x14ac:dyDescent="0.35">
      <c r="H9" s="26"/>
      <c r="J9" t="s">
        <v>61</v>
      </c>
      <c r="K9" s="26">
        <v>50000</v>
      </c>
    </row>
    <row r="10" spans="1:14" x14ac:dyDescent="0.35">
      <c r="A10" t="s">
        <v>44</v>
      </c>
      <c r="B10" s="26">
        <v>37200000</v>
      </c>
      <c r="H10" s="26"/>
      <c r="J10" t="s">
        <v>62</v>
      </c>
      <c r="K10" s="26">
        <v>3100000</v>
      </c>
    </row>
    <row r="11" spans="1:14" x14ac:dyDescent="0.35">
      <c r="A11" t="s">
        <v>46</v>
      </c>
      <c r="B11" s="26">
        <f>B10/12</f>
        <v>3100000</v>
      </c>
      <c r="G11" t="s">
        <v>54</v>
      </c>
      <c r="H11" s="26">
        <v>391815.42037783214</v>
      </c>
    </row>
    <row r="12" spans="1:14" x14ac:dyDescent="0.35">
      <c r="A12" t="s">
        <v>45</v>
      </c>
      <c r="B12" s="26">
        <f>B11*9</f>
        <v>27900000</v>
      </c>
      <c r="G12" t="s">
        <v>55</v>
      </c>
      <c r="H12" s="26">
        <v>225562.88943054827</v>
      </c>
      <c r="J12" t="s">
        <v>64</v>
      </c>
    </row>
    <row r="13" spans="1:14" x14ac:dyDescent="0.35">
      <c r="B13" s="26"/>
      <c r="G13" t="s">
        <v>56</v>
      </c>
      <c r="H13" s="31">
        <v>-0.42431339426856818</v>
      </c>
      <c r="J13" t="s">
        <v>60</v>
      </c>
      <c r="K13" s="31">
        <f>(K8-K3)/K3</f>
        <v>-0.78358208955223885</v>
      </c>
    </row>
    <row r="14" spans="1:14" x14ac:dyDescent="0.35">
      <c r="A14" t="s">
        <v>42</v>
      </c>
      <c r="B14" s="26">
        <f>B12-B2</f>
        <v>13671000</v>
      </c>
      <c r="J14" t="s">
        <v>61</v>
      </c>
      <c r="K14" s="31">
        <f t="shared" ref="K14:K15" si="0">(K9-K4)/K4</f>
        <v>-0.99519230769230771</v>
      </c>
    </row>
    <row r="15" spans="1:14" x14ac:dyDescent="0.35">
      <c r="A15" t="s">
        <v>47</v>
      </c>
      <c r="B15" s="31">
        <f>B14/B2</f>
        <v>0.96078431372549022</v>
      </c>
      <c r="G15" t="s">
        <v>57</v>
      </c>
      <c r="J15" t="s">
        <v>62</v>
      </c>
      <c r="K15" s="31">
        <f t="shared" si="0"/>
        <v>-0.58108108108108103</v>
      </c>
    </row>
    <row r="17" spans="1:1" x14ac:dyDescent="0.35">
      <c r="A17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1C1E-1011-4EB9-B287-B5D386B34ADE}">
  <dimension ref="A1"/>
  <sheetViews>
    <sheetView showGridLines="0" tabSelected="1" zoomScale="25" zoomScaleNormal="25" workbookViewId="0">
      <selection activeCell="BU112" sqref="BU111:BU1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</vt:lpstr>
      <vt:lpstr>Budget backups</vt:lpstr>
      <vt:lpstr>Contract Classifier</vt:lpstr>
      <vt:lpstr>Sarima Forecast</vt:lpstr>
      <vt:lpstr>Sarima Forecast Backups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2023-01-25T18:13:17Z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2022-10-31T16:06:17Z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9550688e-8f4c-4a2d-8d65-5166b29ac8d6</vt:lpwstr>
  </property>
  <property fmtid="{D5CDD505-2E9C-101B-9397-08002B2CF9AE}" pid="8" name="MSIP_Label_e2b6c078-73cb-4371-8a5b-e9fc18accbf8_ContentBits">
    <vt:lpwstr>0</vt:lpwstr>
  </property>
</Properties>
</file>