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pirewellness-my.sharepoint.com/personal/sburi_humana_com/Documents/Documents/My Files/Work Impact/"/>
    </mc:Choice>
  </mc:AlternateContent>
  <xr:revisionPtr revIDLastSave="255" documentId="8_{0B40D6D4-65E6-4A7A-AF4C-BE61588FAE02}" xr6:coauthVersionLast="47" xr6:coauthVersionMax="47" xr10:uidLastSave="{D8BE7493-7B52-44E5-A8C1-FE864711A013}"/>
  <bookViews>
    <workbookView xWindow="-110" yWindow="-110" windowWidth="34620" windowHeight="14020" xr2:uid="{BBA7550B-BEA3-4F64-81C9-D66EB43BF2E3}"/>
  </bookViews>
  <sheets>
    <sheet name="Budget" sheetId="2" r:id="rId1"/>
    <sheet name="Budget backups" sheetId="3" r:id="rId2"/>
    <sheet name="Contract Classifie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2" l="1"/>
  <c r="B5" i="2"/>
  <c r="Q3" i="2"/>
  <c r="Y2" i="2"/>
  <c r="Y5" i="2" s="1"/>
  <c r="M3" i="2"/>
  <c r="M2" i="2"/>
  <c r="Q2" i="2" s="1"/>
  <c r="Q5" i="2" l="1"/>
  <c r="M5" i="2"/>
  <c r="B4" i="2" s="1"/>
  <c r="I2" i="2" l="1"/>
  <c r="U5" i="2"/>
  <c r="B6" i="2" s="1"/>
  <c r="E3" i="2"/>
  <c r="E2" i="2"/>
  <c r="E5" i="2" l="1"/>
  <c r="B2" i="2" s="1"/>
  <c r="I5" i="2"/>
  <c r="B3" i="2" s="1"/>
  <c r="L3" i="1"/>
  <c r="F3" i="1"/>
  <c r="J3" i="1" s="1"/>
  <c r="D3" i="1"/>
  <c r="H3" i="1" l="1"/>
</calcChain>
</file>

<file path=xl/sharedStrings.xml><?xml version="1.0" encoding="utf-8"?>
<sst xmlns="http://schemas.openxmlformats.org/spreadsheetml/2006/main" count="70" uniqueCount="41">
  <si>
    <t>Steven Buri</t>
  </si>
  <si>
    <t>Brian Cleary</t>
  </si>
  <si>
    <t>Jeff Griffith</t>
  </si>
  <si>
    <t>Chris Mitchell</t>
  </si>
  <si>
    <t>Eric Leventhal</t>
  </si>
  <si>
    <t>Richard Carr</t>
  </si>
  <si>
    <t>Brandon Baird</t>
  </si>
  <si>
    <t>People Involved In Classification</t>
  </si>
  <si>
    <t>Total People</t>
  </si>
  <si>
    <t>Assumed Hours Per Person</t>
  </si>
  <si>
    <t>Total Hours</t>
  </si>
  <si>
    <t>Dummy Cost Per Hour</t>
  </si>
  <si>
    <t>Total Cost To Classify</t>
  </si>
  <si>
    <t>Algorithm Run Time (minutes)</t>
  </si>
  <si>
    <t>Manual Classification Time (minutes)</t>
  </si>
  <si>
    <t>Times Faster</t>
  </si>
  <si>
    <t>Query</t>
  </si>
  <si>
    <t>Metric</t>
  </si>
  <si>
    <t>Increased Visibility</t>
  </si>
  <si>
    <t>Reduced Underspend/Overspend</t>
  </si>
  <si>
    <t>Increased Report Creation Speed</t>
  </si>
  <si>
    <t>Variances Requiring Touchpoints</t>
  </si>
  <si>
    <t>Prior</t>
  </si>
  <si>
    <t>Current</t>
  </si>
  <si>
    <t>Notes</t>
  </si>
  <si>
    <t>On avg, 5 lines have material variance</t>
  </si>
  <si>
    <t>out of 262 total (as of Aug 2022)</t>
  </si>
  <si>
    <t>from "2021 CECP-Budget.xlsx". 75 lines of data filtered to FY=['2021','tbd','blank'), * 12 months, *2 for forecast + actuals. 32/75 lines did not have forecast at all. 42/75 lines did not have any payment information. 75 is very conservative.</t>
  </si>
  <si>
    <t>From "Processed_ForecastandActuals" 9/15/22. Multiplied 4,386 rows by by 3 for Forecast, Actuals, and Variances.
Added "BudgetDistributions_Main" 9/15/22 with 993 to account for budget information as well. Does not take into account</t>
  </si>
  <si>
    <t>From 9/15/22 CECP Financial Health</t>
  </si>
  <si>
    <t>From "ServiceNow vs. Power BI Actuals --&gt; Plan vs. Actuals" on 7/15/21. 5.4M of FY21 allocation against 9.4M of spend.</t>
  </si>
  <si>
    <t>Dave and I spend about an hour a week on variance analysis, the scripts run in 5 mins, and typically there's around 8 hours a month to update raw data monthly.</t>
  </si>
  <si>
    <t>Ravi's job was to pull invoices down and manually type them into the CECP-Budget.xlsx as well as to pull the "IT Prioritization &amp; Deliverables" down and compare it against ServiceNow for errors. This process has been fully automated. Conservatively using 30 hours a week for 48 weeks (52 work weeks a year minus 4 weeks to be conservative). This would then be reviewed with 5-7 people (Ravi, Mike, Dawne, Dave, Brian, Steven, Tabitha) on a monthly basis for an hour. Result is 1440 hours.</t>
  </si>
  <si>
    <t>YoY Variance</t>
  </si>
  <si>
    <t>Prior (2021)</t>
  </si>
  <si>
    <t>Current (2022)</t>
  </si>
  <si>
    <t>YoY Variance Change</t>
  </si>
  <si>
    <t>Taken from "EXL CECP 2021 Close" with 20M of actuals against 17.9M of budget.</t>
  </si>
  <si>
    <t>Decreased Costs</t>
  </si>
  <si>
    <t>Assuming conservative avg. cost of 50/hr</t>
  </si>
  <si>
    <t>Decreased Budget Management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</si>
</sst>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 vertical="top"/>
    </xf>
    <xf numFmtId="9" fontId="0" fillId="0" borderId="0" xfId="1" applyFont="1" applyAlignment="1">
      <alignment horizontal="left" vertical="top"/>
    </xf>
    <xf numFmtId="0" fontId="0" fillId="0" borderId="2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0" fillId="0" borderId="4" xfId="0" applyFont="1" applyFill="1" applyBorder="1" applyAlignment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top"/>
    </xf>
    <xf numFmtId="0" fontId="0" fillId="0" borderId="8" xfId="0" applyFont="1" applyFill="1" applyBorder="1" applyAlignment="1">
      <alignment horizontal="left" vertical="top"/>
    </xf>
    <xf numFmtId="0" fontId="0" fillId="0" borderId="9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/>
    <xf numFmtId="9" fontId="0" fillId="0" borderId="10" xfId="1" applyFont="1" applyBorder="1"/>
    <xf numFmtId="164" fontId="0" fillId="0" borderId="8" xfId="0" applyNumberFormat="1" applyFont="1" applyFill="1" applyBorder="1" applyAlignment="1">
      <alignment horizontal="left" vertical="top"/>
    </xf>
    <xf numFmtId="1" fontId="0" fillId="0" borderId="8" xfId="0" applyNumberFormat="1" applyFont="1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9" fontId="0" fillId="0" borderId="1" xfId="0" applyNumberFormat="1" applyBorder="1" applyAlignment="1">
      <alignment horizontal="left" vertical="top"/>
    </xf>
    <xf numFmtId="9" fontId="0" fillId="0" borderId="8" xfId="0" applyNumberFormat="1" applyBorder="1" applyAlignment="1">
      <alignment horizontal="left" vertical="top"/>
    </xf>
    <xf numFmtId="164" fontId="0" fillId="0" borderId="0" xfId="0" applyNumberFormat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Border="1"/>
    <xf numFmtId="164" fontId="0" fillId="0" borderId="1" xfId="0" applyNumberFormat="1" applyFont="1" applyFill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52">
    <dxf>
      <numFmt numFmtId="164" formatCode="&quot;$&quot;#,##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indent="0" justifyLastLine="0" shrinkToFit="0" readingOrder="0"/>
    </dxf>
    <dxf>
      <border>
        <bottom style="thin">
          <color indexed="64"/>
        </bottom>
      </border>
    </dxf>
    <dxf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246743</xdr:colOff>
      <xdr:row>3</xdr:row>
      <xdr:rowOff>25400</xdr:rowOff>
    </xdr:from>
    <xdr:to>
      <xdr:col>89</xdr:col>
      <xdr:colOff>209998</xdr:colOff>
      <xdr:row>32</xdr:row>
      <xdr:rowOff>105530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988731-356F-474C-9C22-2D24CCEF2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47543" y="558800"/>
          <a:ext cx="9716855" cy="5236330"/>
        </a:xfrm>
        <a:prstGeom prst="rect">
          <a:avLst/>
        </a:prstGeom>
      </xdr:spPr>
    </xdr:pic>
    <xdr:clientData/>
  </xdr:twoCellAnchor>
  <xdr:twoCellAnchor editAs="oneCell">
    <xdr:from>
      <xdr:col>39</xdr:col>
      <xdr:colOff>384629</xdr:colOff>
      <xdr:row>38</xdr:row>
      <xdr:rowOff>43543</xdr:rowOff>
    </xdr:from>
    <xdr:to>
      <xdr:col>68</xdr:col>
      <xdr:colOff>496869</xdr:colOff>
      <xdr:row>71</xdr:row>
      <xdr:rowOff>181375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90117F-D82B-4FE8-B7B4-2E8A90931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9629" y="7282543"/>
          <a:ext cx="18527240" cy="6424332"/>
        </a:xfrm>
        <a:prstGeom prst="rect">
          <a:avLst/>
        </a:prstGeom>
      </xdr:spPr>
    </xdr:pic>
    <xdr:clientData/>
  </xdr:twoCellAnchor>
  <xdr:twoCellAnchor editAs="oneCell">
    <xdr:from>
      <xdr:col>39</xdr:col>
      <xdr:colOff>556985</xdr:colOff>
      <xdr:row>73</xdr:row>
      <xdr:rowOff>152400</xdr:rowOff>
    </xdr:from>
    <xdr:to>
      <xdr:col>61</xdr:col>
      <xdr:colOff>627351</xdr:colOff>
      <xdr:row>106</xdr:row>
      <xdr:rowOff>157318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F814EC-E780-42BB-9679-22DCCA47C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321985" y="14058900"/>
          <a:ext cx="14040366" cy="6291418"/>
        </a:xfrm>
        <a:prstGeom prst="rect">
          <a:avLst/>
        </a:prstGeom>
      </xdr:spPr>
    </xdr:pic>
    <xdr:clientData/>
  </xdr:twoCellAnchor>
  <xdr:twoCellAnchor editAs="oneCell">
    <xdr:from>
      <xdr:col>73</xdr:col>
      <xdr:colOff>346363</xdr:colOff>
      <xdr:row>39</xdr:row>
      <xdr:rowOff>92364</xdr:rowOff>
    </xdr:from>
    <xdr:to>
      <xdr:col>83</xdr:col>
      <xdr:colOff>95491</xdr:colOff>
      <xdr:row>52</xdr:row>
      <xdr:rowOff>101071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D86E71-A026-48C0-A1C6-75A8F1539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015727" y="7296728"/>
          <a:ext cx="5868219" cy="2410161"/>
        </a:xfrm>
        <a:prstGeom prst="rect">
          <a:avLst/>
        </a:prstGeom>
      </xdr:spPr>
    </xdr:pic>
    <xdr:clientData/>
  </xdr:twoCellAnchor>
  <xdr:twoCellAnchor editAs="oneCell">
    <xdr:from>
      <xdr:col>40</xdr:col>
      <xdr:colOff>114300</xdr:colOff>
      <xdr:row>1</xdr:row>
      <xdr:rowOff>0</xdr:rowOff>
    </xdr:from>
    <xdr:to>
      <xdr:col>60</xdr:col>
      <xdr:colOff>96949</xdr:colOff>
      <xdr:row>30</xdr:row>
      <xdr:rowOff>169018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AB2C83E-8F22-46AE-98E9-7A1C22E47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514300" y="190500"/>
          <a:ext cx="12682649" cy="5693518"/>
        </a:xfrm>
        <a:prstGeom prst="rect">
          <a:avLst/>
        </a:prstGeom>
      </xdr:spPr>
    </xdr:pic>
    <xdr:clientData/>
  </xdr:twoCellAnchor>
  <xdr:twoCellAnchor editAs="oneCell">
    <xdr:from>
      <xdr:col>94</xdr:col>
      <xdr:colOff>0</xdr:colOff>
      <xdr:row>2</xdr:row>
      <xdr:rowOff>101600</xdr:rowOff>
    </xdr:from>
    <xdr:to>
      <xdr:col>118</xdr:col>
      <xdr:colOff>192569</xdr:colOff>
      <xdr:row>32</xdr:row>
      <xdr:rowOff>16608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165B76E-0B43-4762-91B6-50461329F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302400" y="457200"/>
          <a:ext cx="14822969" cy="5249008"/>
        </a:xfrm>
        <a:prstGeom prst="rect">
          <a:avLst/>
        </a:prstGeom>
      </xdr:spPr>
    </xdr:pic>
    <xdr:clientData/>
  </xdr:twoCellAnchor>
  <xdr:twoCellAnchor editAs="oneCell">
    <xdr:from>
      <xdr:col>120</xdr:col>
      <xdr:colOff>317500</xdr:colOff>
      <xdr:row>2</xdr:row>
      <xdr:rowOff>15875</xdr:rowOff>
    </xdr:from>
    <xdr:to>
      <xdr:col>139</xdr:col>
      <xdr:colOff>601714</xdr:colOff>
      <xdr:row>23</xdr:row>
      <xdr:rowOff>149802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1E24CBE-E652-41FB-B021-EE3DFDA9E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07500" y="396875"/>
          <a:ext cx="11745964" cy="41344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E75F34-76B8-4ABB-9EA2-1EF5A6FB3364}" name="Table1" displayName="Table1" ref="A1:B6" totalsRowShown="0" headerRowDxfId="51" dataDxfId="50">
  <autoFilter ref="A1:B6" xr:uid="{0AE75F34-76B8-4ABB-9EA2-1EF5A6FB3364}"/>
  <tableColumns count="2">
    <tableColumn id="1" xr3:uid="{84CEBBF1-AC5E-41C8-8049-FD144B0ADE50}" name="Query" dataDxfId="49"/>
    <tableColumn id="2" xr3:uid="{5385DC53-2B7D-41CD-9F00-295AAE587E31}" name="Metric" dataDxfId="48" dataCellStyle="Percent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E337BD-7A79-497A-85AF-FAD81B190DC3}" name="Table2" displayName="Table2" ref="D1:F3" totalsRowShown="0" headerRowDxfId="47" dataDxfId="45" headerRowBorderDxfId="46" tableBorderDxfId="44" totalsRowBorderDxfId="43">
  <autoFilter ref="D1:F3" xr:uid="{58E337BD-7A79-497A-85AF-FAD81B190DC3}"/>
  <tableColumns count="3">
    <tableColumn id="1" xr3:uid="{07AD9632-FD9A-4D7F-95DE-63CE76BD8ECC}" name="Increased Visibility" dataDxfId="42"/>
    <tableColumn id="2" xr3:uid="{9E168082-D05F-47C9-9004-F2AAED5F24F6}" name="Metric" dataDxfId="41"/>
    <tableColumn id="3" xr3:uid="{5B1795B7-B20F-4005-A2E9-78F7530AA574}" name="Notes" dataDxfId="40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BFCBAE-B46A-4EC2-9EF1-59960A831D4B}" name="Table24" displayName="Table24" ref="H1:J3" totalsRowShown="0" headerRowDxfId="39" dataDxfId="37" headerRowBorderDxfId="38" tableBorderDxfId="36" totalsRowBorderDxfId="35">
  <autoFilter ref="H1:J3" xr:uid="{0DBFCBAE-B46A-4EC2-9EF1-59960A831D4B}"/>
  <tableColumns count="3">
    <tableColumn id="1" xr3:uid="{89E6102F-F156-4701-9B18-F56A8DE43623}" name="Reduced Underspend/Overspend" dataDxfId="34"/>
    <tableColumn id="2" xr3:uid="{92A9C58F-D62E-4057-A20D-0699DC7490AD}" name="Metric" dataDxfId="33"/>
    <tableColumn id="3" xr3:uid="{4D037B42-992E-4B05-A268-A86045066E9B}" name="Notes" dataDxfId="32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270726-04DD-4554-B779-CE4538414360}" name="Table25" displayName="Table25" ref="L1:N3" totalsRowShown="0" headerRowDxfId="31" dataDxfId="29" headerRowBorderDxfId="30" tableBorderDxfId="28" totalsRowBorderDxfId="27">
  <autoFilter ref="L1:N3" xr:uid="{1B270726-04DD-4554-B779-CE4538414360}"/>
  <tableColumns count="3">
    <tableColumn id="1" xr3:uid="{43754167-7C12-480B-8B0F-AC470CB179C0}" name="Increased Report Creation Speed" dataDxfId="26"/>
    <tableColumn id="2" xr3:uid="{CABD709F-B5C1-472D-926F-019CEB937CD2}" name="Metric" dataDxfId="25"/>
    <tableColumn id="3" xr3:uid="{4A2DF080-D579-44D3-BA1B-9BE812BC7E6E}" name="Notes" dataDxfId="24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EE52BEF-63D4-4F8E-96F2-033D59D45715}" name="Table26" displayName="Table26" ref="T1:V3" totalsRowShown="0" headerRowDxfId="23" dataDxfId="21" headerRowBorderDxfId="22" tableBorderDxfId="20" totalsRowBorderDxfId="19">
  <autoFilter ref="T1:V3" xr:uid="{0EE52BEF-63D4-4F8E-96F2-033D59D45715}"/>
  <tableColumns count="3">
    <tableColumn id="1" xr3:uid="{59BAF2A8-087F-4444-945C-04765696349E}" name="Variances Requiring Touchpoints" dataDxfId="18"/>
    <tableColumn id="2" xr3:uid="{271B9954-B2A3-4E22-8B68-352D30531BB7}" name="Metric" dataDxfId="17"/>
    <tableColumn id="3" xr3:uid="{4C854EE8-9734-40ED-8BA5-2057838617A9}" name="Notes" dataDxfId="16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2F7457-8C4E-48C1-80D1-D0653326DA82}" name="Table6" displayName="Table6" ref="X1:Z3" totalsRowShown="0" headerRowDxfId="15" dataDxfId="13" headerRowBorderDxfId="14" tableBorderDxfId="12" totalsRowBorderDxfId="11">
  <autoFilter ref="X1:Z3" xr:uid="{AD2F7457-8C4E-48C1-80D1-D0653326DA82}"/>
  <tableColumns count="3">
    <tableColumn id="1" xr3:uid="{1776EA5E-1F77-4A3C-8ACC-4AA80D2B4570}" name="YoY Variance" dataDxfId="10"/>
    <tableColumn id="2" xr3:uid="{A4ED0614-EB8B-4957-9D34-5DF120062FAD}" name="Metric" dataDxfId="9">
      <calculatedColumnFormula>20004141 / 17850000</calculatedColumnFormula>
    </tableColumn>
    <tableColumn id="3" xr3:uid="{CE05403B-5268-42D2-8032-1292226DAA3C}" name="Notes" dataDxfId="8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2035B57-C667-4DFA-927C-50AC4F14B00D}" name="Table2510" displayName="Table2510" ref="P1:R3" totalsRowShown="0" headerRowDxfId="7" dataDxfId="6" headerRowBorderDxfId="4" tableBorderDxfId="5" totalsRowBorderDxfId="3">
  <autoFilter ref="P1:R3" xr:uid="{92035B57-C667-4DFA-927C-50AC4F14B00D}"/>
  <tableColumns count="3">
    <tableColumn id="1" xr3:uid="{0DC566FE-AD34-40D8-8547-586F2C5A4662}" name="Decreased Costs" dataDxfId="2"/>
    <tableColumn id="2" xr3:uid="{1D1F2F33-7DF9-4506-BEF0-45233F3330FE}" name="Metric" dataDxfId="0"/>
    <tableColumn id="3" xr3:uid="{A0B226A4-4743-4F6E-B770-00F27953236D}" name="Notes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5C62-F45C-44A2-8E29-37096EA35BAB}">
  <dimension ref="A1:Z10"/>
  <sheetViews>
    <sheetView showGridLines="0" tabSelected="1" zoomScale="70" zoomScaleNormal="70" workbookViewId="0">
      <selection activeCell="I10" sqref="I10"/>
    </sheetView>
  </sheetViews>
  <sheetFormatPr defaultRowHeight="14.5" x14ac:dyDescent="0.35"/>
  <cols>
    <col min="1" max="1" width="31.90625" bestFit="1" customWidth="1"/>
    <col min="4" max="4" width="18.36328125" customWidth="1"/>
    <col min="6" max="6" width="55.81640625" customWidth="1"/>
    <col min="8" max="8" width="31.26953125" bestFit="1" customWidth="1"/>
    <col min="9" max="9" width="10.81640625" bestFit="1" customWidth="1"/>
    <col min="10" max="10" width="31" bestFit="1" customWidth="1"/>
    <col min="12" max="12" width="30.90625" bestFit="1" customWidth="1"/>
    <col min="14" max="14" width="53.6328125" customWidth="1"/>
    <col min="15" max="15" width="9.81640625" customWidth="1"/>
    <col min="16" max="16" width="17.36328125" bestFit="1" customWidth="1"/>
    <col min="17" max="17" width="9.453125" bestFit="1" customWidth="1"/>
    <col min="18" max="18" width="35.1796875" bestFit="1" customWidth="1"/>
    <col min="20" max="20" width="30.7265625" bestFit="1" customWidth="1"/>
    <col min="22" max="22" width="32.453125" bestFit="1" customWidth="1"/>
    <col min="24" max="24" width="14.6328125" bestFit="1" customWidth="1"/>
  </cols>
  <sheetData>
    <row r="1" spans="1:26" x14ac:dyDescent="0.35">
      <c r="A1" s="1" t="s">
        <v>16</v>
      </c>
      <c r="B1" s="1" t="s">
        <v>17</v>
      </c>
      <c r="D1" s="3" t="s">
        <v>18</v>
      </c>
      <c r="E1" s="4" t="s">
        <v>17</v>
      </c>
      <c r="F1" s="5" t="s">
        <v>24</v>
      </c>
      <c r="H1" s="12" t="s">
        <v>19</v>
      </c>
      <c r="I1" s="4" t="s">
        <v>17</v>
      </c>
      <c r="J1" s="5" t="s">
        <v>24</v>
      </c>
      <c r="L1" s="3" t="s">
        <v>20</v>
      </c>
      <c r="M1" s="4" t="s">
        <v>17</v>
      </c>
      <c r="N1" s="5" t="s">
        <v>24</v>
      </c>
      <c r="O1" s="28"/>
      <c r="P1" s="3" t="s">
        <v>38</v>
      </c>
      <c r="Q1" s="4" t="s">
        <v>17</v>
      </c>
      <c r="R1" s="5" t="s">
        <v>24</v>
      </c>
      <c r="T1" s="3" t="s">
        <v>21</v>
      </c>
      <c r="U1" s="4" t="s">
        <v>17</v>
      </c>
      <c r="V1" s="13" t="s">
        <v>24</v>
      </c>
      <c r="X1" s="12" t="s">
        <v>33</v>
      </c>
      <c r="Y1" s="20" t="s">
        <v>17</v>
      </c>
      <c r="Z1" s="13" t="s">
        <v>24</v>
      </c>
    </row>
    <row r="2" spans="1:26" ht="130.5" x14ac:dyDescent="0.35">
      <c r="A2" s="1" t="s">
        <v>18</v>
      </c>
      <c r="B2" s="2">
        <f>E5</f>
        <v>6.8283333333333331</v>
      </c>
      <c r="D2" s="6" t="s">
        <v>22</v>
      </c>
      <c r="E2" s="7">
        <f>75*12*2</f>
        <v>1800</v>
      </c>
      <c r="F2" s="8" t="s">
        <v>27</v>
      </c>
      <c r="H2" s="6" t="s">
        <v>22</v>
      </c>
      <c r="I2" s="18">
        <f>ABS(5360636-9423629)</f>
        <v>4062993</v>
      </c>
      <c r="J2" s="8" t="s">
        <v>30</v>
      </c>
      <c r="L2" s="6" t="s">
        <v>22</v>
      </c>
      <c r="M2" s="7">
        <f>(30*48)+((5/4)*48)</f>
        <v>1500</v>
      </c>
      <c r="N2" s="8" t="s">
        <v>32</v>
      </c>
      <c r="O2" s="29"/>
      <c r="P2" s="6" t="s">
        <v>22</v>
      </c>
      <c r="Q2" s="31">
        <f>Table25[[#This Row],[Metric]]*50</f>
        <v>75000</v>
      </c>
      <c r="R2" s="8" t="s">
        <v>39</v>
      </c>
      <c r="T2" s="6" t="s">
        <v>22</v>
      </c>
      <c r="U2" s="7">
        <v>5</v>
      </c>
      <c r="V2" s="14" t="s">
        <v>25</v>
      </c>
      <c r="X2" s="21" t="s">
        <v>34</v>
      </c>
      <c r="Y2" s="25">
        <f>(20004141/17850000-1)</f>
        <v>0.12068016806722692</v>
      </c>
      <c r="Z2" s="22" t="s">
        <v>37</v>
      </c>
    </row>
    <row r="3" spans="1:26" ht="58" x14ac:dyDescent="0.35">
      <c r="A3" s="1" t="s">
        <v>19</v>
      </c>
      <c r="B3" s="2">
        <f>I5</f>
        <v>-0.83660592080764107</v>
      </c>
      <c r="D3" s="9" t="s">
        <v>23</v>
      </c>
      <c r="E3" s="10">
        <f>(4386*3)+933</f>
        <v>14091</v>
      </c>
      <c r="F3" s="11" t="s">
        <v>28</v>
      </c>
      <c r="H3" s="9" t="s">
        <v>23</v>
      </c>
      <c r="I3" s="18">
        <v>663869</v>
      </c>
      <c r="J3" s="11" t="s">
        <v>29</v>
      </c>
      <c r="L3" s="9" t="s">
        <v>23</v>
      </c>
      <c r="M3" s="19">
        <f>((2)+(5/60)+(8/4))*48</f>
        <v>196.00000000000003</v>
      </c>
      <c r="N3" s="11" t="s">
        <v>31</v>
      </c>
      <c r="O3" s="29"/>
      <c r="P3" s="9" t="s">
        <v>23</v>
      </c>
      <c r="Q3" s="18">
        <f>Table25[[#This Row],[Metric]]*50</f>
        <v>9800.0000000000018</v>
      </c>
      <c r="R3" s="8" t="s">
        <v>39</v>
      </c>
      <c r="T3" s="9" t="s">
        <v>23</v>
      </c>
      <c r="U3" s="10">
        <v>262</v>
      </c>
      <c r="V3" s="15" t="s">
        <v>26</v>
      </c>
      <c r="X3" s="23" t="s">
        <v>35</v>
      </c>
      <c r="Y3" s="26"/>
      <c r="Z3" s="24"/>
    </row>
    <row r="4" spans="1:26" x14ac:dyDescent="0.35">
      <c r="A4" s="1" t="s">
        <v>20</v>
      </c>
      <c r="B4" s="2">
        <f>M5</f>
        <v>-0.86933333333333329</v>
      </c>
    </row>
    <row r="5" spans="1:26" ht="15" thickBot="1" x14ac:dyDescent="0.4">
      <c r="A5" s="1" t="s">
        <v>40</v>
      </c>
      <c r="B5" s="2">
        <f>Q5</f>
        <v>-0.86933333333333329</v>
      </c>
      <c r="D5" s="16" t="s">
        <v>18</v>
      </c>
      <c r="E5" s="17">
        <f>(E3-E2)/E2</f>
        <v>6.8283333333333331</v>
      </c>
      <c r="F5" s="16"/>
      <c r="H5" s="16" t="s">
        <v>19</v>
      </c>
      <c r="I5" s="17">
        <f>(I3-I2)/I2</f>
        <v>-0.83660592080764107</v>
      </c>
      <c r="J5" s="16"/>
      <c r="L5" s="16" t="s">
        <v>20</v>
      </c>
      <c r="M5" s="17">
        <f>(M3-M2)/M2</f>
        <v>-0.86933333333333329</v>
      </c>
      <c r="N5" s="16"/>
      <c r="O5" s="30"/>
      <c r="P5" s="16" t="s">
        <v>38</v>
      </c>
      <c r="Q5" s="17">
        <f>(Q3-Q2)/Q2</f>
        <v>-0.86933333333333329</v>
      </c>
      <c r="R5" s="16"/>
      <c r="T5" s="16" t="s">
        <v>21</v>
      </c>
      <c r="U5" s="17">
        <f>U2/U3</f>
        <v>1.9083969465648856E-2</v>
      </c>
      <c r="V5" s="16"/>
      <c r="X5" s="16" t="s">
        <v>36</v>
      </c>
      <c r="Y5" s="17">
        <f>(Y3-Y2)/Y2</f>
        <v>-1</v>
      </c>
      <c r="Z5" s="16"/>
    </row>
    <row r="6" spans="1:26" ht="15" thickTop="1" x14ac:dyDescent="0.35">
      <c r="A6" s="1" t="s">
        <v>21</v>
      </c>
      <c r="B6" s="2">
        <f>U5</f>
        <v>1.9083969465648856E-2</v>
      </c>
      <c r="Q6" s="27">
        <f>Q2-Q3</f>
        <v>65200</v>
      </c>
    </row>
    <row r="10" spans="1:26" x14ac:dyDescent="0.35">
      <c r="I10" s="27"/>
    </row>
  </sheetData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E69B-0EE7-4389-8467-26C8BF1B2063}">
  <dimension ref="A1"/>
  <sheetViews>
    <sheetView showGridLines="0" topLeftCell="CO1" zoomScale="40" zoomScaleNormal="40" workbookViewId="0">
      <selection activeCell="DS28" sqref="DS28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C0B4-B4C9-49F9-A9C5-739CA73257C1}">
  <dimension ref="B2:L9"/>
  <sheetViews>
    <sheetView workbookViewId="0">
      <selection activeCell="B19" sqref="B19"/>
    </sheetView>
  </sheetViews>
  <sheetFormatPr defaultRowHeight="14.5" x14ac:dyDescent="0.35"/>
  <cols>
    <col min="1" max="1" width="2.54296875" customWidth="1"/>
    <col min="2" max="2" width="27.7265625" bestFit="1" customWidth="1"/>
    <col min="4" max="4" width="11.08984375" bestFit="1" customWidth="1"/>
    <col min="5" max="5" width="23.54296875" bestFit="1" customWidth="1"/>
    <col min="6" max="6" width="10.453125" bestFit="1" customWidth="1"/>
    <col min="7" max="7" width="19.453125" bestFit="1" customWidth="1"/>
    <col min="8" max="8" width="18.453125" bestFit="1" customWidth="1"/>
    <col min="10" max="10" width="31.90625" bestFit="1" customWidth="1"/>
    <col min="11" max="11" width="26.08984375" bestFit="1" customWidth="1"/>
    <col min="12" max="12" width="12.6328125" bestFit="1" customWidth="1"/>
  </cols>
  <sheetData>
    <row r="2" spans="2:12" x14ac:dyDescent="0.35">
      <c r="B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J2" t="s">
        <v>14</v>
      </c>
      <c r="K2" t="s">
        <v>13</v>
      </c>
      <c r="L2" t="s">
        <v>15</v>
      </c>
    </row>
    <row r="3" spans="2:12" x14ac:dyDescent="0.35">
      <c r="B3" t="s">
        <v>4</v>
      </c>
      <c r="D3">
        <f>COUNTA(B3:B9)</f>
        <v>7</v>
      </c>
      <c r="E3">
        <v>4</v>
      </c>
      <c r="F3">
        <f>E3*D3</f>
        <v>28</v>
      </c>
      <c r="G3">
        <v>60</v>
      </c>
      <c r="H3">
        <f>G3*F3</f>
        <v>1680</v>
      </c>
      <c r="J3">
        <f>F3*60</f>
        <v>1680</v>
      </c>
      <c r="K3">
        <v>0.2</v>
      </c>
      <c r="L3">
        <f>J3/K3</f>
        <v>8400</v>
      </c>
    </row>
    <row r="4" spans="2:12" x14ac:dyDescent="0.35">
      <c r="B4" t="s">
        <v>0</v>
      </c>
    </row>
    <row r="5" spans="2:12" x14ac:dyDescent="0.35">
      <c r="B5" t="s">
        <v>1</v>
      </c>
    </row>
    <row r="6" spans="2:12" x14ac:dyDescent="0.35">
      <c r="B6" t="s">
        <v>2</v>
      </c>
    </row>
    <row r="7" spans="2:12" x14ac:dyDescent="0.35">
      <c r="B7" t="s">
        <v>3</v>
      </c>
    </row>
    <row r="8" spans="2:12" x14ac:dyDescent="0.35">
      <c r="B8" t="s">
        <v>5</v>
      </c>
    </row>
    <row r="9" spans="2:12" x14ac:dyDescent="0.35">
      <c r="B9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Budget backups</vt:lpstr>
      <vt:lpstr>Contract Classifier</vt:lpstr>
    </vt:vector>
  </TitlesOfParts>
  <Company>HUmana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Buri</dc:creator>
  <cp:lastModifiedBy>Steven Buri</cp:lastModifiedBy>
  <dcterms:created xsi:type="dcterms:W3CDTF">2022-08-31T21:21:56Z</dcterms:created>
  <dcterms:modified xsi:type="dcterms:W3CDTF">2022-09-15T19:48:00Z</dcterms:modified>
</cp:coreProperties>
</file>