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a\Downloads\"/>
    </mc:Choice>
  </mc:AlternateContent>
  <bookViews>
    <workbookView xWindow="0" yWindow="0" windowWidth="20490" windowHeight="7680"/>
  </bookViews>
  <sheets>
    <sheet name="PRESENTACION" sheetId="7" r:id="rId1"/>
    <sheet name="TABLAS" sheetId="6" r:id="rId2"/>
    <sheet name="LIQUIDACIÓN" sheetId="4" r:id="rId3"/>
  </sheets>
  <definedNames>
    <definedName name="AFP">TABLAS!$A$21:$E$27</definedName>
    <definedName name="AFPS">#REF!</definedName>
    <definedName name="Añitos">#REF!</definedName>
    <definedName name="AÑOS">#REF!</definedName>
    <definedName name="_xlnm.Print_Area" localSheetId="2">LIQUIDACIÓN!$A$4:$W$116</definedName>
    <definedName name="COD_TRABAJADOR">OFFSET(TABLAS!$A$38,0,0,COUNTA(#REF!),1)</definedName>
    <definedName name="MESES">#REF!</definedName>
    <definedName name="mesesitos">#REF!</definedName>
    <definedName name="TABLA">TABLAS!$A$36:$Q$44</definedName>
    <definedName name="TABLA1">TABLAS!$A$36:$R$54</definedName>
  </definedNames>
  <calcPr calcId="162913"/>
</workbook>
</file>

<file path=xl/calcChain.xml><?xml version="1.0" encoding="utf-8"?>
<calcChain xmlns="http://schemas.openxmlformats.org/spreadsheetml/2006/main">
  <c r="R88" i="4" l="1"/>
  <c r="R100" i="4" l="1"/>
  <c r="I95" i="4"/>
  <c r="L91" i="4"/>
  <c r="L82" i="4"/>
  <c r="C82" i="4"/>
  <c r="R69" i="4"/>
  <c r="R68" i="4"/>
  <c r="S51" i="4"/>
  <c r="M51" i="4"/>
  <c r="R45" i="4"/>
  <c r="R44" i="4"/>
  <c r="R25" i="4"/>
  <c r="R24" i="4"/>
  <c r="R23" i="4"/>
  <c r="M15" i="4"/>
  <c r="M14" i="4"/>
  <c r="M13" i="4"/>
  <c r="M12" i="4"/>
  <c r="M11" i="4"/>
  <c r="M10" i="4"/>
  <c r="M9" i="4"/>
  <c r="R73" i="4" l="1"/>
  <c r="R49" i="4"/>
  <c r="F55" i="4"/>
  <c r="M17" i="4"/>
  <c r="M16" i="4" s="1"/>
  <c r="K39" i="6"/>
  <c r="K40" i="6"/>
  <c r="K38" i="6"/>
  <c r="L96" i="4"/>
  <c r="Q116" i="4"/>
  <c r="M34" i="6"/>
  <c r="L38" i="6"/>
  <c r="N38" i="6"/>
  <c r="L39" i="6"/>
  <c r="N39" i="6"/>
  <c r="M39" i="6" s="1"/>
  <c r="L40" i="6"/>
  <c r="N40" i="6"/>
  <c r="M40" i="6" s="1"/>
  <c r="L41" i="6"/>
  <c r="N41" i="6"/>
  <c r="L42" i="6"/>
  <c r="N42" i="6"/>
  <c r="L43" i="6"/>
  <c r="N43" i="6"/>
  <c r="K44" i="6"/>
  <c r="M44" i="6"/>
  <c r="Q115" i="4"/>
  <c r="T18" i="4"/>
  <c r="T20" i="4"/>
  <c r="F59" i="4" l="1"/>
  <c r="F60" i="4" s="1"/>
  <c r="O16" i="4"/>
  <c r="S16" i="4" s="1"/>
  <c r="S75" i="4"/>
  <c r="M31" i="4"/>
  <c r="S31" i="4"/>
  <c r="M38" i="6"/>
  <c r="M75" i="4" s="1"/>
  <c r="R29" i="4"/>
  <c r="L36" i="4" s="1"/>
  <c r="L59" i="4"/>
  <c r="L94" i="4"/>
  <c r="L93" i="4"/>
  <c r="L95" i="4"/>
  <c r="F80" i="4" l="1"/>
  <c r="L79" i="4"/>
  <c r="L80" i="4"/>
  <c r="B41" i="4"/>
  <c r="F79" i="4"/>
  <c r="F35" i="4"/>
  <c r="F36" i="4" s="1"/>
  <c r="T36" i="4" s="1"/>
  <c r="B65" i="4"/>
  <c r="B20" i="4"/>
  <c r="M33" i="4"/>
  <c r="T59" i="4"/>
  <c r="L35" i="4"/>
  <c r="L60" i="4"/>
  <c r="T60" i="4" s="1"/>
  <c r="L55" i="4"/>
  <c r="T55" i="4" s="1"/>
  <c r="T96" i="4"/>
  <c r="T79" i="4" l="1"/>
  <c r="T82" i="4" s="1"/>
  <c r="R84" i="4" s="1"/>
  <c r="T80" i="4"/>
  <c r="T62" i="4"/>
  <c r="V41" i="4" s="1"/>
  <c r="T35" i="4"/>
  <c r="T38" i="4" s="1"/>
  <c r="T95" i="4"/>
  <c r="T93" i="4"/>
  <c r="T94" i="4"/>
  <c r="R98" i="4" l="1"/>
  <c r="R89" i="4"/>
  <c r="V65" i="4"/>
  <c r="V20" i="4"/>
  <c r="R102" i="4"/>
  <c r="V86" i="4" l="1"/>
  <c r="V106" i="4" l="1"/>
</calcChain>
</file>

<file path=xl/comments1.xml><?xml version="1.0" encoding="utf-8"?>
<comments xmlns="http://schemas.openxmlformats.org/spreadsheetml/2006/main">
  <authors>
    <author>Casa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Elige el código del trabajador.</t>
        </r>
      </text>
    </comment>
  </commentList>
</comments>
</file>

<file path=xl/sharedStrings.xml><?xml version="1.0" encoding="utf-8"?>
<sst xmlns="http://schemas.openxmlformats.org/spreadsheetml/2006/main" count="179" uniqueCount="115">
  <si>
    <t>Motivo del cese</t>
  </si>
  <si>
    <t>:</t>
  </si>
  <si>
    <t>Remuneración computable</t>
  </si>
  <si>
    <t>Meses</t>
  </si>
  <si>
    <t>Total Liquidación por beneficios sociales</t>
  </si>
  <si>
    <t>DNI</t>
  </si>
  <si>
    <t>Cargo</t>
  </si>
  <si>
    <t>Asignación Familiar</t>
  </si>
  <si>
    <t>I</t>
  </si>
  <si>
    <t>"LIQUIDACIÓN DE BENEFICIOS SOCIALES"</t>
  </si>
  <si>
    <t>DATOS GENERALES DEL TRABAJADOR</t>
  </si>
  <si>
    <t>CARGO</t>
  </si>
  <si>
    <t>II</t>
  </si>
  <si>
    <t>ADMINISTRADORAS DE FONDO DE PENSIONES</t>
  </si>
  <si>
    <t>Tope Vigente Prima</t>
  </si>
  <si>
    <t>CODIGO</t>
  </si>
  <si>
    <t>AFP</t>
  </si>
  <si>
    <t>ASIGNACIÓN FAMILIAR</t>
  </si>
  <si>
    <t xml:space="preserve">APELLIDOS Y NOMBRES </t>
  </si>
  <si>
    <t>MOTIVO DE CESE</t>
  </si>
  <si>
    <t>REMUNERACION MENSUAL</t>
  </si>
  <si>
    <t>ÚLTIMA GRATIFICACIÓN</t>
  </si>
  <si>
    <t>Apellidos y Nombres</t>
  </si>
  <si>
    <t>Fecha de ingreso</t>
  </si>
  <si>
    <t>Fecha de cese</t>
  </si>
  <si>
    <t>Remuneración mensual</t>
  </si>
  <si>
    <t>Tiempo de servicio</t>
  </si>
  <si>
    <t>Días</t>
  </si>
  <si>
    <t xml:space="preserve">PERIODO PENDIENTE </t>
  </si>
  <si>
    <t>INICIAL</t>
  </si>
  <si>
    <t>FINAL</t>
  </si>
  <si>
    <t>al</t>
  </si>
  <si>
    <t>Sueldo Básico</t>
  </si>
  <si>
    <t>Gratificación Ordinaria (1/6)</t>
  </si>
  <si>
    <t>Por los meses</t>
  </si>
  <si>
    <t>Por los días</t>
  </si>
  <si>
    <t>Total computable</t>
  </si>
  <si>
    <t>*</t>
  </si>
  <si>
    <t>Total CTS  por pagar</t>
  </si>
  <si>
    <t>III</t>
  </si>
  <si>
    <t>INFORMACIÓN HISTÓRICA DEL TRABAJADOR</t>
  </si>
  <si>
    <t>CASO PRÁCTICO APLICADO</t>
  </si>
  <si>
    <t>del</t>
  </si>
  <si>
    <t>PERIODO PENDIENTE</t>
  </si>
  <si>
    <t>Vacaciones vencidas</t>
  </si>
  <si>
    <t>Vacaciones truncas</t>
  </si>
  <si>
    <t>Años</t>
  </si>
  <si>
    <t>=</t>
  </si>
  <si>
    <t>Total Vacaciones por pagar</t>
  </si>
  <si>
    <t>IV</t>
  </si>
  <si>
    <t>CTS trunco</t>
  </si>
  <si>
    <t xml:space="preserve">PERIODO PENDIENTE PARA COMPUTAR CTS </t>
  </si>
  <si>
    <t>PERIODO PENDIENTE PARA COMPUTAR GRATIFICACIÓN</t>
  </si>
  <si>
    <t>CTS</t>
  </si>
  <si>
    <t>Gratificaciones truncas</t>
  </si>
  <si>
    <t>DESCUENTOS</t>
  </si>
  <si>
    <t>V</t>
  </si>
  <si>
    <t>Fondo</t>
  </si>
  <si>
    <t>Seguro</t>
  </si>
  <si>
    <t>Comisión</t>
  </si>
  <si>
    <t>Monto afecto</t>
  </si>
  <si>
    <t>Monto no afecto</t>
  </si>
  <si>
    <t>FONDO DE PENSIONES</t>
  </si>
  <si>
    <t>INTEGRA</t>
  </si>
  <si>
    <t>PROFUTURO</t>
  </si>
  <si>
    <t>PRIMA</t>
  </si>
  <si>
    <t>COMISIÓN</t>
  </si>
  <si>
    <t>Flujo</t>
  </si>
  <si>
    <t>Mixta</t>
  </si>
  <si>
    <t>ONP</t>
  </si>
  <si>
    <t>Total descuentos</t>
  </si>
  <si>
    <t>RETENCION QUINTA CATEGORÍA</t>
  </si>
  <si>
    <t>RENTA DE QUINTA CATEGORÍA</t>
  </si>
  <si>
    <t>Recibí de _______________________________ la suma de______________________________________/100 Nuevos Soles, por  concepto de la liquidación por beneficios sociales a la fecha de mi cese, encontrándose conforme por lo que firmo la presente liquidación en señal de conformidad.</t>
  </si>
  <si>
    <t>Carácterísticas:</t>
  </si>
  <si>
    <t>Onp</t>
  </si>
  <si>
    <t>OTROS CONCEPTOS</t>
  </si>
  <si>
    <t>ASEGURADORA DE FONDO DE PENSIONES</t>
  </si>
  <si>
    <t>FECHA DE PARA INICIO DE CÓMPUTO</t>
  </si>
  <si>
    <t>AFP / ONP</t>
  </si>
  <si>
    <t>ASISTENTA CONTABLE</t>
  </si>
  <si>
    <t>RENUNCIA</t>
  </si>
  <si>
    <t>HABITAT</t>
  </si>
  <si>
    <t>APORTE</t>
  </si>
  <si>
    <t>ESSALUD</t>
  </si>
  <si>
    <t>EPS</t>
  </si>
  <si>
    <t>APORTES</t>
  </si>
  <si>
    <t>TERMINO DE CONTRATO</t>
  </si>
  <si>
    <t>FECHA DE INGRESO</t>
  </si>
  <si>
    <t>FECHA DE CESE</t>
  </si>
  <si>
    <t>GRATIFICACIÓN</t>
  </si>
  <si>
    <t>ASISTENTE ADMINISTRATIVO</t>
  </si>
  <si>
    <t>GERENTE DE FINANZAS</t>
  </si>
  <si>
    <t>MARIBEL MUÑOZ URQUIAGA</t>
  </si>
  <si>
    <t>EDWIN HILARIO QUIROZ</t>
  </si>
  <si>
    <t>ANGHELA NAVARRETE RIOS</t>
  </si>
  <si>
    <t>Lima, __ de _______ del 2017</t>
  </si>
  <si>
    <t>CÓDIGO</t>
  </si>
  <si>
    <t>▼</t>
  </si>
  <si>
    <t>En el presente caso calcularé cuáles son los montos correspondientes a la Liquidación de Beneficios Sociales, es decir, Compensación por Tiempo de Servicios (CTS),Gratificaciones  y Vacaciones de un Trabajador.</t>
  </si>
  <si>
    <r>
      <t xml:space="preserve">Para empezar requeriremos de </t>
    </r>
    <r>
      <rPr>
        <b/>
        <sz val="10"/>
        <rFont val="Arial"/>
        <family val="2"/>
      </rPr>
      <t>información respecto al trabajador</t>
    </r>
    <r>
      <rPr>
        <sz val="10"/>
        <rFont val="Arial"/>
        <family val="2"/>
      </rPr>
      <t xml:space="preserve"> (Remuneración, Fecha de ingreso y de cese, etc. es decir la que normalmente necesitamos para elaborar la Liquidación de los Beneficios Sociales de un trabajador).</t>
    </r>
  </si>
  <si>
    <t>La presente plantilla cuenta con tablas, las cuáles deben ser llenadas con información de la empresa, del trabajador, tasas de las AFP, etc) Cada fecha, dato o concepto requerido en la Tabla "Información Histórica del Trabajador" debe ser Ingresado con cuidado y minuciosidad, por ser de donde se tomará la información para que la liquidación se calcule automáticamente.</t>
  </si>
  <si>
    <t>Actualizado a Julio 2017</t>
  </si>
  <si>
    <t>Año</t>
  </si>
  <si>
    <t xml:space="preserve">  - En días</t>
  </si>
  <si>
    <t>¿Pagadas?</t>
  </si>
  <si>
    <t>Si</t>
  </si>
  <si>
    <t>No</t>
  </si>
  <si>
    <t>¿Paga los días?</t>
  </si>
  <si>
    <t>Otros Conceptos 1</t>
  </si>
  <si>
    <t>Otros Conceptos 2</t>
  </si>
  <si>
    <t>PERIODO COMPUTABLE</t>
  </si>
  <si>
    <t>Total Gratificaciones por pagar</t>
  </si>
  <si>
    <t>www.excelnegocios.com</t>
  </si>
  <si>
    <t>Contacto: Gustavo@excelnegocios.com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</si>
</sst>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dd\-mm\-yy;@"/>
    <numFmt numFmtId="167" formatCode="0.0"/>
    <numFmt numFmtId="168" formatCode="000"/>
    <numFmt numFmtId="169" formatCode="0.000"/>
  </numFmts>
  <fonts count="3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8"/>
      <name val="Arial"/>
      <family val="2"/>
    </font>
    <font>
      <b/>
      <sz val="8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8.5"/>
      <color theme="0"/>
      <name val="Arial Narrow"/>
      <family val="2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Arial Narrow"/>
      <family val="2"/>
    </font>
    <font>
      <sz val="8"/>
      <color rgb="FF0070C0"/>
      <name val="Calibri"/>
      <family val="2"/>
      <scheme val="minor"/>
    </font>
    <font>
      <b/>
      <sz val="7"/>
      <color theme="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6"/>
      <name val="Calibri"/>
      <family val="2"/>
      <scheme val="minor"/>
    </font>
    <font>
      <b/>
      <sz val="9"/>
      <color indexed="81"/>
      <name val="Tahoma"/>
      <family val="2"/>
    </font>
    <font>
      <i/>
      <sz val="8"/>
      <name val="Calibri"/>
      <family val="2"/>
      <scheme val="minor"/>
    </font>
    <font>
      <sz val="10"/>
      <name val="Times New Roman"/>
      <family val="1"/>
    </font>
    <font>
      <sz val="10"/>
      <color theme="0" tint="-0.34998626667073579"/>
      <name val="Times New Roman"/>
      <family val="1"/>
    </font>
    <font>
      <u/>
      <sz val="16"/>
      <color theme="10"/>
      <name val="Times New Roman"/>
      <family val="1"/>
    </font>
    <font>
      <b/>
      <sz val="12"/>
      <name val="Times New Roman"/>
      <family val="1"/>
    </font>
    <font>
      <b/>
      <u/>
      <sz val="16"/>
      <name val="Times New Roman"/>
      <family val="1"/>
    </font>
    <font>
      <b/>
      <u/>
      <sz val="10"/>
      <name val="Times New Roman"/>
      <family val="1"/>
    </font>
    <font>
      <sz val="10"/>
      <color rgb="FFFFC000"/>
      <name val="Times New Roman"/>
      <family val="1"/>
    </font>
    <font>
      <u/>
      <sz val="10"/>
      <color indexed="12"/>
      <name val="Arial"/>
      <family val="2"/>
    </font>
    <font>
      <b/>
      <u/>
      <sz val="20"/>
      <color rgb="FF0070C0"/>
      <name val="Calibri"/>
      <family val="2"/>
    </font>
    <font>
      <b/>
      <sz val="11"/>
      <color rgb="FF002060"/>
      <name val="Arial"/>
      <family val="2"/>
    </font>
    <font>
      <b/>
      <u/>
      <sz val="12"/>
      <color rgb="FF1108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hair">
        <color indexed="64"/>
      </right>
      <top style="thin">
        <color theme="0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theme="0"/>
      </top>
      <bottom style="hair">
        <color indexed="64"/>
      </bottom>
      <diagonal/>
    </border>
    <border>
      <left style="thin">
        <color theme="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/>
      <top style="hair">
        <color indexed="64"/>
      </top>
      <bottom/>
      <diagonal/>
    </border>
    <border>
      <left style="thin">
        <color indexed="64"/>
      </left>
      <right style="thin">
        <color theme="0"/>
      </right>
      <top style="hair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hair">
        <color theme="0"/>
      </top>
      <bottom/>
      <diagonal/>
    </border>
    <border>
      <left/>
      <right/>
      <top style="hair">
        <color theme="0"/>
      </top>
      <bottom/>
      <diagonal/>
    </border>
    <border>
      <left style="thin">
        <color theme="0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theme="0"/>
      </top>
      <bottom style="hair">
        <color indexed="64"/>
      </bottom>
      <diagonal/>
    </border>
    <border>
      <left/>
      <right/>
      <top style="thin">
        <color theme="0"/>
      </top>
      <bottom/>
      <diagonal/>
    </border>
    <border>
      <left style="hair">
        <color theme="0"/>
      </left>
      <right/>
      <top/>
      <bottom/>
      <diagonal/>
    </border>
    <border>
      <left style="hair">
        <color theme="0"/>
      </left>
      <right style="hair">
        <color indexed="64"/>
      </right>
      <top/>
      <bottom style="thin">
        <color theme="0"/>
      </bottom>
      <diagonal/>
    </border>
    <border>
      <left style="hair">
        <color indexed="64"/>
      </left>
      <right style="hair">
        <color theme="0"/>
      </right>
      <top/>
      <bottom/>
      <diagonal/>
    </border>
    <border>
      <left style="hair">
        <color indexed="64"/>
      </left>
      <right/>
      <top style="thin">
        <color theme="0"/>
      </top>
      <bottom style="hair">
        <color indexed="64"/>
      </bottom>
      <diagonal/>
    </border>
    <border>
      <left style="hair">
        <color indexed="64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0"/>
      </left>
      <right/>
      <top style="hair">
        <color theme="0"/>
      </top>
      <bottom/>
      <diagonal/>
    </border>
    <border>
      <left style="hair">
        <color theme="0"/>
      </left>
      <right/>
      <top/>
      <bottom style="hair">
        <color theme="0"/>
      </bottom>
      <diagonal/>
    </border>
    <border>
      <left/>
      <right/>
      <top/>
      <bottom style="hair">
        <color theme="0"/>
      </bottom>
      <diagonal/>
    </border>
    <border>
      <left style="hair">
        <color indexed="64"/>
      </left>
      <right style="hair">
        <color theme="0"/>
      </right>
      <top style="hair">
        <color indexed="64"/>
      </top>
      <bottom style="hair">
        <color indexed="64"/>
      </bottom>
      <diagonal/>
    </border>
    <border>
      <left style="hair">
        <color theme="0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hair">
        <color theme="0"/>
      </left>
      <right/>
      <top style="thin">
        <color theme="0"/>
      </top>
      <bottom/>
      <diagonal/>
    </border>
    <border>
      <left style="hair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/>
      <right/>
      <top style="medium">
        <color rgb="FF002060"/>
      </top>
      <bottom/>
      <diagonal/>
    </border>
    <border>
      <left/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</borders>
  <cellStyleXfs count="6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>
      <alignment vertical="top"/>
      <protection locked="0"/>
    </xf>
  </cellStyleXfs>
  <cellXfs count="244">
    <xf numFmtId="0" fontId="0" fillId="0" borderId="0" xfId="0"/>
    <xf numFmtId="0" fontId="5" fillId="2" borderId="0" xfId="0" applyFont="1" applyFill="1"/>
    <xf numFmtId="0" fontId="11" fillId="2" borderId="0" xfId="0" applyFont="1" applyFill="1" applyAlignment="1">
      <alignment horizontal="center" vertical="center"/>
    </xf>
    <xf numFmtId="166" fontId="11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1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9" fontId="11" fillId="2" borderId="0" xfId="0" applyNumberFormat="1" applyFont="1" applyFill="1" applyBorder="1" applyAlignment="1">
      <alignment horizontal="center" vertical="center"/>
    </xf>
    <xf numFmtId="10" fontId="11" fillId="2" borderId="0" xfId="0" applyNumberFormat="1" applyFont="1" applyFill="1" applyBorder="1" applyAlignment="1">
      <alignment horizontal="center" vertical="center"/>
    </xf>
    <xf numFmtId="14" fontId="13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center" vertical="center"/>
    </xf>
    <xf numFmtId="1" fontId="11" fillId="2" borderId="0" xfId="0" applyNumberFormat="1" applyFont="1" applyFill="1" applyBorder="1" applyAlignment="1">
      <alignment horizontal="center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1" fillId="2" borderId="0" xfId="0" applyNumberFormat="1" applyFont="1" applyFill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49" fontId="11" fillId="2" borderId="19" xfId="0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vertical="center" wrapText="1"/>
    </xf>
    <xf numFmtId="0" fontId="16" fillId="4" borderId="20" xfId="0" applyFont="1" applyFill="1" applyBorder="1" applyAlignment="1">
      <alignment vertical="center" wrapText="1"/>
    </xf>
    <xf numFmtId="0" fontId="9" fillId="3" borderId="21" xfId="0" applyFont="1" applyFill="1" applyBorder="1" applyAlignment="1">
      <alignment vertical="center"/>
    </xf>
    <xf numFmtId="10" fontId="17" fillId="2" borderId="23" xfId="3" applyNumberFormat="1" applyFont="1" applyFill="1" applyBorder="1" applyAlignment="1">
      <alignment horizontal="center" vertical="center"/>
    </xf>
    <xf numFmtId="10" fontId="17" fillId="2" borderId="24" xfId="3" applyNumberFormat="1" applyFont="1" applyFill="1" applyBorder="1" applyAlignment="1">
      <alignment horizontal="center" vertical="center"/>
    </xf>
    <xf numFmtId="10" fontId="17" fillId="2" borderId="4" xfId="3" applyNumberFormat="1" applyFont="1" applyFill="1" applyBorder="1" applyAlignment="1">
      <alignment horizontal="center" vertical="center"/>
    </xf>
    <xf numFmtId="10" fontId="17" fillId="2" borderId="25" xfId="3" applyNumberFormat="1" applyFont="1" applyFill="1" applyBorder="1" applyAlignment="1">
      <alignment horizontal="center" vertical="center"/>
    </xf>
    <xf numFmtId="10" fontId="17" fillId="2" borderId="5" xfId="3" applyNumberFormat="1" applyFont="1" applyFill="1" applyBorder="1" applyAlignment="1">
      <alignment horizontal="center" vertical="center"/>
    </xf>
    <xf numFmtId="10" fontId="17" fillId="2" borderId="6" xfId="3" applyNumberFormat="1" applyFont="1" applyFill="1" applyBorder="1" applyAlignment="1">
      <alignment horizontal="center" vertical="center"/>
    </xf>
    <xf numFmtId="49" fontId="17" fillId="2" borderId="0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0" fontId="17" fillId="2" borderId="26" xfId="3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vertical="center"/>
    </xf>
    <xf numFmtId="0" fontId="19" fillId="4" borderId="28" xfId="0" applyFont="1" applyFill="1" applyBorder="1" applyAlignment="1">
      <alignment vertical="center" wrapText="1"/>
    </xf>
    <xf numFmtId="0" fontId="11" fillId="2" borderId="29" xfId="0" applyFont="1" applyFill="1" applyBorder="1" applyAlignment="1">
      <alignment horizontal="center" vertical="center"/>
    </xf>
    <xf numFmtId="14" fontId="11" fillId="2" borderId="4" xfId="0" applyNumberFormat="1" applyFont="1" applyFill="1" applyBorder="1" applyAlignment="1">
      <alignment horizontal="center" vertical="center"/>
    </xf>
    <xf numFmtId="14" fontId="11" fillId="2" borderId="5" xfId="0" applyNumberFormat="1" applyFont="1" applyFill="1" applyBorder="1" applyAlignment="1">
      <alignment horizontal="center" vertical="center"/>
    </xf>
    <xf numFmtId="10" fontId="17" fillId="2" borderId="30" xfId="3" applyNumberFormat="1" applyFont="1" applyFill="1" applyBorder="1" applyAlignment="1">
      <alignment horizontal="center" vertical="center"/>
    </xf>
    <xf numFmtId="14" fontId="11" fillId="2" borderId="31" xfId="0" applyNumberFormat="1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vertical="center" wrapText="1"/>
    </xf>
    <xf numFmtId="0" fontId="11" fillId="2" borderId="33" xfId="0" applyFont="1" applyFill="1" applyBorder="1" applyAlignment="1">
      <alignment horizontal="center" vertical="center"/>
    </xf>
    <xf numFmtId="0" fontId="16" fillId="4" borderId="34" xfId="0" applyFont="1" applyFill="1" applyBorder="1" applyAlignment="1">
      <alignment vertical="center" wrapText="1"/>
    </xf>
    <xf numFmtId="0" fontId="11" fillId="2" borderId="35" xfId="0" applyFont="1" applyFill="1" applyBorder="1" applyAlignment="1">
      <alignment horizontal="center" vertical="center"/>
    </xf>
    <xf numFmtId="168" fontId="11" fillId="2" borderId="4" xfId="0" applyNumberFormat="1" applyFont="1" applyFill="1" applyBorder="1" applyAlignment="1">
      <alignment horizontal="center"/>
    </xf>
    <xf numFmtId="0" fontId="11" fillId="2" borderId="4" xfId="0" applyFont="1" applyFill="1" applyBorder="1" applyAlignment="1">
      <alignment horizontal="left"/>
    </xf>
    <xf numFmtId="0" fontId="11" fillId="2" borderId="4" xfId="0" applyFont="1" applyFill="1" applyBorder="1" applyAlignment="1">
      <alignment horizontal="center"/>
    </xf>
    <xf numFmtId="14" fontId="11" fillId="2" borderId="4" xfId="0" applyNumberFormat="1" applyFont="1" applyFill="1" applyBorder="1" applyAlignment="1">
      <alignment horizontal="center"/>
    </xf>
    <xf numFmtId="164" fontId="11" fillId="2" borderId="4" xfId="2" applyFont="1" applyFill="1" applyBorder="1" applyAlignment="1">
      <alignment horizontal="right"/>
    </xf>
    <xf numFmtId="14" fontId="20" fillId="2" borderId="4" xfId="0" applyNumberFormat="1" applyFont="1" applyFill="1" applyBorder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4" fontId="11" fillId="2" borderId="4" xfId="0" applyNumberFormat="1" applyFont="1" applyFill="1" applyBorder="1" applyAlignment="1">
      <alignment horizontal="center" vertical="center"/>
    </xf>
    <xf numFmtId="164" fontId="11" fillId="2" borderId="4" xfId="2" applyFont="1" applyFill="1" applyBorder="1" applyAlignment="1">
      <alignment horizontal="left"/>
    </xf>
    <xf numFmtId="168" fontId="11" fillId="2" borderId="5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left"/>
    </xf>
    <xf numFmtId="14" fontId="11" fillId="2" borderId="5" xfId="0" applyNumberFormat="1" applyFont="1" applyFill="1" applyBorder="1" applyAlignment="1">
      <alignment horizontal="center"/>
    </xf>
    <xf numFmtId="164" fontId="11" fillId="2" borderId="5" xfId="2" applyFont="1" applyFill="1" applyBorder="1" applyAlignment="1">
      <alignment horizontal="left"/>
    </xf>
    <xf numFmtId="0" fontId="11" fillId="2" borderId="5" xfId="0" applyNumberFormat="1" applyFont="1" applyFill="1" applyBorder="1" applyAlignment="1">
      <alignment horizontal="center"/>
    </xf>
    <xf numFmtId="168" fontId="11" fillId="2" borderId="5" xfId="0" applyNumberFormat="1" applyFont="1" applyFill="1" applyBorder="1" applyAlignment="1">
      <alignment horizontal="left"/>
    </xf>
    <xf numFmtId="49" fontId="11" fillId="2" borderId="5" xfId="0" applyNumberFormat="1" applyFont="1" applyFill="1" applyBorder="1" applyAlignment="1">
      <alignment horizontal="center"/>
    </xf>
    <xf numFmtId="166" fontId="11" fillId="2" borderId="5" xfId="0" applyNumberFormat="1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164" fontId="11" fillId="2" borderId="5" xfId="2" applyFont="1" applyFill="1" applyBorder="1" applyAlignment="1">
      <alignment horizontal="center"/>
    </xf>
    <xf numFmtId="0" fontId="11" fillId="2" borderId="36" xfId="0" applyFont="1" applyFill="1" applyBorder="1" applyAlignment="1"/>
    <xf numFmtId="168" fontId="11" fillId="2" borderId="9" xfId="0" applyNumberFormat="1" applyFont="1" applyFill="1" applyBorder="1" applyAlignment="1">
      <alignment horizontal="center"/>
    </xf>
    <xf numFmtId="0" fontId="11" fillId="2" borderId="10" xfId="0" applyFont="1" applyFill="1" applyBorder="1" applyAlignment="1"/>
    <xf numFmtId="0" fontId="11" fillId="2" borderId="11" xfId="0" applyFont="1" applyFill="1" applyBorder="1" applyAlignment="1">
      <alignment horizontal="center"/>
    </xf>
    <xf numFmtId="14" fontId="11" fillId="2" borderId="9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left"/>
    </xf>
    <xf numFmtId="164" fontId="11" fillId="2" borderId="9" xfId="2" applyFont="1" applyFill="1" applyBorder="1" applyAlignment="1">
      <alignment horizontal="left"/>
    </xf>
    <xf numFmtId="14" fontId="11" fillId="2" borderId="11" xfId="0" applyNumberFormat="1" applyFont="1" applyFill="1" applyBorder="1" applyAlignment="1">
      <alignment horizontal="center"/>
    </xf>
    <xf numFmtId="4" fontId="20" fillId="2" borderId="11" xfId="0" applyNumberFormat="1" applyFont="1" applyFill="1" applyBorder="1" applyAlignment="1">
      <alignment horizontal="center"/>
    </xf>
    <xf numFmtId="4" fontId="11" fillId="2" borderId="11" xfId="0" applyNumberFormat="1" applyFont="1" applyFill="1" applyBorder="1" applyAlignment="1">
      <alignment horizontal="center" vertical="center"/>
    </xf>
    <xf numFmtId="4" fontId="11" fillId="2" borderId="11" xfId="0" applyNumberFormat="1" applyFont="1" applyFill="1" applyBorder="1" applyAlignment="1">
      <alignment horizontal="center" vertical="center" wrapText="1"/>
    </xf>
    <xf numFmtId="164" fontId="11" fillId="2" borderId="11" xfId="2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left"/>
    </xf>
    <xf numFmtId="14" fontId="20" fillId="2" borderId="5" xfId="0" applyNumberFormat="1" applyFont="1" applyFill="1" applyBorder="1" applyAlignment="1">
      <alignment horizontal="center"/>
    </xf>
    <xf numFmtId="4" fontId="20" fillId="2" borderId="5" xfId="0" applyNumberFormat="1" applyFont="1" applyFill="1" applyBorder="1" applyAlignment="1">
      <alignment horizontal="center"/>
    </xf>
    <xf numFmtId="4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/>
    <xf numFmtId="166" fontId="11" fillId="2" borderId="5" xfId="0" applyNumberFormat="1" applyFont="1" applyFill="1" applyBorder="1" applyAlignment="1">
      <alignment horizontal="center" vertical="center"/>
    </xf>
    <xf numFmtId="0" fontId="11" fillId="2" borderId="37" xfId="0" applyFont="1" applyFill="1" applyBorder="1" applyAlignment="1"/>
    <xf numFmtId="164" fontId="11" fillId="2" borderId="24" xfId="2" applyFont="1" applyFill="1" applyBorder="1" applyAlignment="1">
      <alignment horizontal="right"/>
    </xf>
    <xf numFmtId="14" fontId="11" fillId="2" borderId="24" xfId="0" applyNumberFormat="1" applyFont="1" applyFill="1" applyBorder="1" applyAlignment="1">
      <alignment horizontal="center"/>
    </xf>
    <xf numFmtId="0" fontId="21" fillId="3" borderId="38" xfId="0" applyFont="1" applyFill="1" applyBorder="1" applyAlignment="1">
      <alignment horizontal="center" vertical="center" wrapText="1"/>
    </xf>
    <xf numFmtId="0" fontId="21" fillId="3" borderId="39" xfId="0" applyFont="1" applyFill="1" applyBorder="1" applyAlignment="1">
      <alignment horizontal="center" vertical="center" wrapText="1"/>
    </xf>
    <xf numFmtId="14" fontId="20" fillId="2" borderId="24" xfId="0" applyNumberFormat="1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 vertical="center"/>
    </xf>
    <xf numFmtId="164" fontId="11" fillId="2" borderId="24" xfId="2" applyFont="1" applyFill="1" applyBorder="1" applyAlignment="1">
      <alignment horizontal="left"/>
    </xf>
    <xf numFmtId="4" fontId="11" fillId="2" borderId="24" xfId="0" applyNumberFormat="1" applyFont="1" applyFill="1" applyBorder="1" applyAlignment="1">
      <alignment horizontal="center" vertical="center"/>
    </xf>
    <xf numFmtId="4" fontId="20" fillId="2" borderId="24" xfId="0" applyNumberFormat="1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 wrapText="1"/>
    </xf>
    <xf numFmtId="0" fontId="21" fillId="3" borderId="40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164" fontId="11" fillId="2" borderId="12" xfId="2" applyFont="1" applyFill="1" applyBorder="1" applyAlignment="1">
      <alignment horizontal="left"/>
    </xf>
    <xf numFmtId="0" fontId="11" fillId="2" borderId="7" xfId="0" applyFont="1" applyFill="1" applyBorder="1" applyAlignment="1">
      <alignment horizontal="center"/>
    </xf>
    <xf numFmtId="4" fontId="12" fillId="2" borderId="9" xfId="0" applyNumberFormat="1" applyFont="1" applyFill="1" applyBorder="1" applyAlignment="1">
      <alignment horizontal="center" vertical="center"/>
    </xf>
    <xf numFmtId="0" fontId="7" fillId="2" borderId="0" xfId="0" applyFont="1" applyFill="1"/>
    <xf numFmtId="0" fontId="15" fillId="2" borderId="0" xfId="0" applyFont="1" applyFill="1" applyAlignment="1">
      <alignment horizontal="center" vertical="center"/>
    </xf>
    <xf numFmtId="166" fontId="15" fillId="2" borderId="0" xfId="0" applyNumberFormat="1" applyFont="1" applyFill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vertical="top" wrapText="1"/>
    </xf>
    <xf numFmtId="0" fontId="27" fillId="2" borderId="0" xfId="0" applyFont="1" applyFill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164" fontId="4" fillId="7" borderId="0" xfId="2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vertical="center"/>
    </xf>
    <xf numFmtId="164" fontId="4" fillId="2" borderId="0" xfId="2" applyFont="1" applyFill="1" applyAlignment="1">
      <alignment vertical="center"/>
    </xf>
    <xf numFmtId="0" fontId="29" fillId="2" borderId="0" xfId="0" applyFont="1" applyFill="1" applyAlignment="1">
      <alignment vertical="center"/>
    </xf>
    <xf numFmtId="0" fontId="30" fillId="2" borderId="0" xfId="1" applyFont="1" applyFill="1" applyAlignment="1" applyProtection="1">
      <alignment horizontal="left" vertical="center"/>
    </xf>
    <xf numFmtId="0" fontId="31" fillId="2" borderId="0" xfId="0" applyFont="1" applyFill="1" applyAlignment="1">
      <alignment vertical="center"/>
    </xf>
    <xf numFmtId="0" fontId="4" fillId="2" borderId="58" xfId="0" applyFont="1" applyFill="1" applyBorder="1" applyAlignment="1">
      <alignment vertical="center"/>
    </xf>
    <xf numFmtId="0" fontId="3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28" fillId="2" borderId="0" xfId="0" quotePrefix="1" applyFont="1" applyFill="1" applyAlignment="1">
      <alignment vertical="center"/>
    </xf>
    <xf numFmtId="0" fontId="28" fillId="2" borderId="0" xfId="0" applyFont="1" applyFill="1" applyBorder="1" applyAlignment="1">
      <alignment horizontal="left" vertical="center"/>
    </xf>
    <xf numFmtId="49" fontId="28" fillId="2" borderId="0" xfId="0" applyNumberFormat="1" applyFont="1" applyFill="1" applyBorder="1" applyAlignment="1">
      <alignment horizontal="left" vertical="center"/>
    </xf>
    <xf numFmtId="14" fontId="28" fillId="2" borderId="0" xfId="0" applyNumberFormat="1" applyFont="1" applyFill="1" applyAlignment="1">
      <alignment vertical="center"/>
    </xf>
    <xf numFmtId="14" fontId="28" fillId="2" borderId="0" xfId="0" applyNumberFormat="1" applyFont="1" applyFill="1" applyBorder="1" applyAlignment="1">
      <alignment horizontal="left" vertical="center"/>
    </xf>
    <xf numFmtId="14" fontId="28" fillId="2" borderId="0" xfId="0" applyNumberFormat="1" applyFont="1" applyFill="1" applyAlignment="1">
      <alignment horizontal="left" vertical="center"/>
    </xf>
    <xf numFmtId="1" fontId="28" fillId="2" borderId="0" xfId="0" applyNumberFormat="1" applyFont="1" applyFill="1" applyBorder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1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left" vertical="center"/>
    </xf>
    <xf numFmtId="164" fontId="28" fillId="2" borderId="0" xfId="2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4" fontId="28" fillId="2" borderId="0" xfId="2" applyFont="1" applyFill="1" applyBorder="1" applyAlignment="1">
      <alignment horizontal="center" vertical="center"/>
    </xf>
    <xf numFmtId="14" fontId="28" fillId="2" borderId="0" xfId="0" applyNumberFormat="1" applyFont="1" applyFill="1" applyBorder="1" applyAlignment="1">
      <alignment horizontal="center" vertical="center"/>
    </xf>
    <xf numFmtId="4" fontId="28" fillId="2" borderId="0" xfId="0" applyNumberFormat="1" applyFont="1" applyFill="1" applyBorder="1" applyAlignment="1">
      <alignment horizontal="right" vertical="center"/>
    </xf>
    <xf numFmtId="43" fontId="28" fillId="2" borderId="0" xfId="0" applyNumberFormat="1" applyFont="1" applyFill="1" applyAlignment="1">
      <alignment vertical="center"/>
    </xf>
    <xf numFmtId="0" fontId="28" fillId="0" borderId="0" xfId="0" applyFont="1" applyAlignment="1">
      <alignment horizontal="center"/>
    </xf>
    <xf numFmtId="165" fontId="28" fillId="2" borderId="0" xfId="0" applyNumberFormat="1" applyFont="1" applyFill="1" applyAlignment="1">
      <alignment horizontal="center" vertical="center"/>
    </xf>
    <xf numFmtId="164" fontId="28" fillId="2" borderId="0" xfId="0" applyNumberFormat="1" applyFont="1" applyFill="1" applyAlignment="1">
      <alignment vertical="center"/>
    </xf>
    <xf numFmtId="169" fontId="28" fillId="2" borderId="0" xfId="0" applyNumberFormat="1" applyFont="1" applyFill="1" applyAlignment="1">
      <alignment vertical="center"/>
    </xf>
    <xf numFmtId="0" fontId="28" fillId="2" borderId="0" xfId="0" applyFont="1" applyFill="1" applyBorder="1" applyAlignment="1">
      <alignment horizontal="center" vertical="center"/>
    </xf>
    <xf numFmtId="167" fontId="28" fillId="2" borderId="0" xfId="0" applyNumberFormat="1" applyFont="1" applyFill="1" applyAlignment="1">
      <alignment vertical="center"/>
    </xf>
    <xf numFmtId="2" fontId="28" fillId="2" borderId="0" xfId="0" applyNumberFormat="1" applyFont="1" applyFill="1" applyAlignment="1">
      <alignment vertical="center"/>
    </xf>
    <xf numFmtId="164" fontId="28" fillId="2" borderId="0" xfId="2" applyFont="1" applyFill="1" applyAlignment="1">
      <alignment vertical="center"/>
    </xf>
    <xf numFmtId="43" fontId="28" fillId="2" borderId="0" xfId="0" applyNumberFormat="1" applyFont="1" applyFill="1" applyBorder="1" applyAlignment="1">
      <alignment vertical="center"/>
    </xf>
    <xf numFmtId="43" fontId="28" fillId="2" borderId="1" xfId="0" applyNumberFormat="1" applyFont="1" applyFill="1" applyBorder="1" applyAlignment="1">
      <alignment vertical="center"/>
    </xf>
    <xf numFmtId="164" fontId="28" fillId="2" borderId="1" xfId="2" applyFont="1" applyFill="1" applyBorder="1" applyAlignment="1">
      <alignment vertical="center"/>
    </xf>
    <xf numFmtId="0" fontId="28" fillId="2" borderId="0" xfId="0" applyFont="1" applyFill="1" applyAlignment="1">
      <alignment horizontal="right" vertical="center"/>
    </xf>
    <xf numFmtId="14" fontId="29" fillId="2" borderId="0" xfId="0" applyNumberFormat="1" applyFont="1" applyFill="1" applyAlignment="1">
      <alignment vertical="center"/>
    </xf>
    <xf numFmtId="164" fontId="28" fillId="2" borderId="0" xfId="2" applyFont="1" applyFill="1" applyBorder="1" applyAlignment="1">
      <alignment vertical="center"/>
    </xf>
    <xf numFmtId="14" fontId="28" fillId="2" borderId="0" xfId="0" applyNumberFormat="1" applyFont="1" applyFill="1" applyBorder="1" applyAlignment="1">
      <alignment vertical="center"/>
    </xf>
    <xf numFmtId="2" fontId="34" fillId="2" borderId="0" xfId="0" applyNumberFormat="1" applyFont="1" applyFill="1" applyAlignment="1">
      <alignment vertical="center"/>
    </xf>
    <xf numFmtId="1" fontId="4" fillId="2" borderId="0" xfId="0" applyNumberFormat="1" applyFont="1" applyFill="1" applyAlignment="1">
      <alignment horizontal="right" vertical="center"/>
    </xf>
    <xf numFmtId="1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29" fillId="2" borderId="0" xfId="0" applyFont="1" applyFill="1" applyBorder="1" applyAlignment="1">
      <alignment vertical="center"/>
    </xf>
    <xf numFmtId="10" fontId="28" fillId="2" borderId="0" xfId="3" applyNumberFormat="1" applyFont="1" applyFill="1" applyAlignment="1">
      <alignment horizontal="center" vertical="center"/>
    </xf>
    <xf numFmtId="10" fontId="28" fillId="2" borderId="0" xfId="0" applyNumberFormat="1" applyFont="1" applyFill="1" applyAlignment="1">
      <alignment vertical="center"/>
    </xf>
    <xf numFmtId="43" fontId="28" fillId="2" borderId="0" xfId="0" applyNumberFormat="1" applyFont="1" applyFill="1" applyAlignment="1">
      <alignment horizontal="center" vertical="center"/>
    </xf>
    <xf numFmtId="9" fontId="28" fillId="2" borderId="0" xfId="3" applyFont="1" applyFill="1" applyAlignment="1">
      <alignment vertical="center"/>
    </xf>
    <xf numFmtId="10" fontId="28" fillId="2" borderId="0" xfId="3" applyNumberFormat="1" applyFont="1" applyFill="1" applyAlignment="1">
      <alignment vertical="center"/>
    </xf>
    <xf numFmtId="10" fontId="28" fillId="2" borderId="0" xfId="3" applyNumberFormat="1" applyFont="1" applyFill="1" applyAlignment="1">
      <alignment horizontal="right" vertical="center"/>
    </xf>
    <xf numFmtId="43" fontId="28" fillId="2" borderId="0" xfId="0" applyNumberFormat="1" applyFont="1" applyFill="1" applyBorder="1" applyAlignment="1">
      <alignment horizontal="center" vertical="center"/>
    </xf>
    <xf numFmtId="10" fontId="4" fillId="2" borderId="0" xfId="0" applyNumberFormat="1" applyFont="1" applyFill="1" applyAlignment="1">
      <alignment vertical="center"/>
    </xf>
    <xf numFmtId="164" fontId="4" fillId="2" borderId="1" xfId="2" applyFont="1" applyFill="1" applyBorder="1" applyAlignment="1">
      <alignment vertical="center"/>
    </xf>
    <xf numFmtId="0" fontId="28" fillId="2" borderId="2" xfId="0" applyFont="1" applyFill="1" applyBorder="1" applyAlignment="1">
      <alignment vertical="center"/>
    </xf>
    <xf numFmtId="0" fontId="1" fillId="0" borderId="0" xfId="4"/>
    <xf numFmtId="0" fontId="1" fillId="0" borderId="59" xfId="4" applyBorder="1"/>
    <xf numFmtId="0" fontId="1" fillId="0" borderId="60" xfId="4" applyBorder="1"/>
    <xf numFmtId="0" fontId="1" fillId="0" borderId="61" xfId="4" applyBorder="1"/>
    <xf numFmtId="0" fontId="1" fillId="0" borderId="62" xfId="4" applyBorder="1"/>
    <xf numFmtId="0" fontId="1" fillId="0" borderId="0" xfId="4" applyBorder="1"/>
    <xf numFmtId="0" fontId="1" fillId="0" borderId="63" xfId="4" applyBorder="1"/>
    <xf numFmtId="0" fontId="1" fillId="0" borderId="65" xfId="4" applyBorder="1"/>
    <xf numFmtId="0" fontId="1" fillId="0" borderId="66" xfId="4" applyBorder="1"/>
    <xf numFmtId="0" fontId="1" fillId="0" borderId="67" xfId="4" applyBorder="1"/>
    <xf numFmtId="0" fontId="36" fillId="0" borderId="0" xfId="5" applyFont="1" applyFill="1" applyBorder="1" applyAlignment="1" applyProtection="1">
      <alignment horizontal="center" vertical="top"/>
    </xf>
    <xf numFmtId="0" fontId="37" fillId="0" borderId="64" xfId="4" applyFont="1" applyFill="1" applyBorder="1" applyAlignment="1">
      <alignment horizontal="left" vertical="center" indent="3"/>
    </xf>
    <xf numFmtId="0" fontId="37" fillId="0" borderId="0" xfId="4" applyFont="1" applyFill="1" applyBorder="1" applyAlignment="1">
      <alignment horizontal="left" vertical="center" indent="3"/>
    </xf>
    <xf numFmtId="0" fontId="38" fillId="0" borderId="0" xfId="5" applyFont="1" applyFill="1" applyBorder="1" applyAlignment="1" applyProtection="1">
      <alignment horizontal="center" vertical="center"/>
    </xf>
    <xf numFmtId="0" fontId="38" fillId="0" borderId="63" xfId="5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center" wrapText="1"/>
    </xf>
    <xf numFmtId="0" fontId="22" fillId="2" borderId="0" xfId="0" applyFont="1" applyFill="1" applyAlignment="1">
      <alignment horizontal="center" vertical="center"/>
    </xf>
    <xf numFmtId="0" fontId="21" fillId="3" borderId="20" xfId="0" applyFont="1" applyFill="1" applyBorder="1" applyAlignment="1">
      <alignment horizontal="center" vertical="center" wrapText="1"/>
    </xf>
    <xf numFmtId="0" fontId="21" fillId="3" borderId="46" xfId="0" applyFont="1" applyFill="1" applyBorder="1" applyAlignment="1">
      <alignment horizontal="center" vertical="center" wrapText="1"/>
    </xf>
    <xf numFmtId="0" fontId="21" fillId="3" borderId="47" xfId="0" applyFont="1" applyFill="1" applyBorder="1" applyAlignment="1">
      <alignment horizontal="center" vertical="center" wrapText="1"/>
    </xf>
    <xf numFmtId="0" fontId="21" fillId="3" borderId="48" xfId="0" applyFont="1" applyFill="1" applyBorder="1" applyAlignment="1">
      <alignment horizontal="center" vertical="center" wrapText="1"/>
    </xf>
    <xf numFmtId="0" fontId="21" fillId="3" borderId="49" xfId="0" applyFont="1" applyFill="1" applyBorder="1" applyAlignment="1">
      <alignment horizontal="center" vertical="center" wrapText="1"/>
    </xf>
    <xf numFmtId="0" fontId="21" fillId="3" borderId="50" xfId="0" applyFont="1" applyFill="1" applyBorder="1" applyAlignment="1">
      <alignment horizontal="center" vertical="center" wrapText="1"/>
    </xf>
    <xf numFmtId="0" fontId="25" fillId="2" borderId="0" xfId="0" applyFont="1" applyFill="1" applyAlignment="1">
      <alignment horizontal="center" vertical="center"/>
    </xf>
    <xf numFmtId="0" fontId="21" fillId="3" borderId="51" xfId="0" applyFont="1" applyFill="1" applyBorder="1" applyAlignment="1">
      <alignment horizontal="center" vertical="center" wrapText="1"/>
    </xf>
    <xf numFmtId="0" fontId="21" fillId="3" borderId="52" xfId="0" applyFont="1" applyFill="1" applyBorder="1" applyAlignment="1">
      <alignment horizontal="center" vertical="center" wrapText="1"/>
    </xf>
    <xf numFmtId="0" fontId="21" fillId="3" borderId="53" xfId="0" applyFont="1" applyFill="1" applyBorder="1" applyAlignment="1">
      <alignment horizontal="center" vertical="center" wrapText="1"/>
    </xf>
    <xf numFmtId="0" fontId="21" fillId="3" borderId="54" xfId="0" applyFont="1" applyFill="1" applyBorder="1" applyAlignment="1">
      <alignment horizontal="center" vertical="center" wrapText="1"/>
    </xf>
    <xf numFmtId="0" fontId="21" fillId="3" borderId="32" xfId="0" applyFont="1" applyFill="1" applyBorder="1" applyAlignment="1">
      <alignment horizontal="center" vertical="center" wrapText="1"/>
    </xf>
    <xf numFmtId="0" fontId="21" fillId="3" borderId="17" xfId="0" applyFont="1" applyFill="1" applyBorder="1" applyAlignment="1">
      <alignment horizontal="center" vertical="center" wrapText="1"/>
    </xf>
    <xf numFmtId="0" fontId="21" fillId="3" borderId="55" xfId="0" applyFont="1" applyFill="1" applyBorder="1" applyAlignment="1">
      <alignment horizontal="center" vertical="center" wrapText="1"/>
    </xf>
    <xf numFmtId="0" fontId="21" fillId="3" borderId="56" xfId="0" applyFont="1" applyFill="1" applyBorder="1" applyAlignment="1">
      <alignment horizontal="center" vertical="center" wrapText="1"/>
    </xf>
    <xf numFmtId="0" fontId="23" fillId="3" borderId="41" xfId="0" applyFont="1" applyFill="1" applyBorder="1" applyAlignment="1">
      <alignment horizontal="center" vertical="center"/>
    </xf>
    <xf numFmtId="0" fontId="23" fillId="3" borderId="29" xfId="0" applyFont="1" applyFill="1" applyBorder="1" applyAlignment="1">
      <alignment horizontal="center" vertical="center"/>
    </xf>
    <xf numFmtId="0" fontId="23" fillId="3" borderId="42" xfId="0" applyFont="1" applyFill="1" applyBorder="1" applyAlignment="1">
      <alignment horizontal="center" vertical="center"/>
    </xf>
    <xf numFmtId="0" fontId="23" fillId="3" borderId="43" xfId="0" applyFont="1" applyFill="1" applyBorder="1" applyAlignment="1">
      <alignment horizontal="center" vertical="center"/>
    </xf>
    <xf numFmtId="0" fontId="24" fillId="5" borderId="44" xfId="0" applyFont="1" applyFill="1" applyBorder="1" applyAlignment="1">
      <alignment horizontal="center" vertical="center"/>
    </xf>
    <xf numFmtId="0" fontId="24" fillId="5" borderId="45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5" xfId="0" applyFont="1" applyFill="1" applyBorder="1" applyAlignment="1">
      <alignment horizontal="center" vertical="center"/>
    </xf>
    <xf numFmtId="0" fontId="9" fillId="3" borderId="56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7" xfId="0" applyFont="1" applyFill="1" applyBorder="1" applyAlignment="1">
      <alignment horizontal="center" vertical="center"/>
    </xf>
    <xf numFmtId="0" fontId="28" fillId="5" borderId="58" xfId="0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left" vertical="center"/>
    </xf>
    <xf numFmtId="14" fontId="28" fillId="2" borderId="0" xfId="0" applyNumberFormat="1" applyFont="1" applyFill="1" applyBorder="1" applyAlignment="1">
      <alignment horizontal="left" vertical="center"/>
    </xf>
    <xf numFmtId="14" fontId="28" fillId="2" borderId="0" xfId="0" applyNumberFormat="1" applyFont="1" applyFill="1" applyBorder="1" applyAlignment="1">
      <alignment horizontal="center" vertical="center"/>
    </xf>
    <xf numFmtId="164" fontId="28" fillId="2" borderId="0" xfId="2" applyFont="1" applyFill="1" applyAlignment="1">
      <alignment horizontal="center" vertical="center"/>
    </xf>
    <xf numFmtId="164" fontId="28" fillId="2" borderId="14" xfId="2" applyFont="1" applyFill="1" applyBorder="1" applyAlignment="1">
      <alignment horizontal="center" vertical="center"/>
    </xf>
    <xf numFmtId="164" fontId="28" fillId="2" borderId="15" xfId="2" applyFont="1" applyFill="1" applyBorder="1" applyAlignment="1">
      <alignment horizontal="center" vertical="center"/>
    </xf>
    <xf numFmtId="164" fontId="28" fillId="2" borderId="16" xfId="2" applyFont="1" applyFill="1" applyBorder="1" applyAlignment="1">
      <alignment horizontal="center" vertical="center"/>
    </xf>
    <xf numFmtId="1" fontId="28" fillId="2" borderId="0" xfId="0" applyNumberFormat="1" applyFont="1" applyFill="1" applyBorder="1" applyAlignment="1">
      <alignment horizontal="left" vertical="center"/>
    </xf>
    <xf numFmtId="43" fontId="28" fillId="2" borderId="0" xfId="0" applyNumberFormat="1" applyFont="1" applyFill="1" applyAlignment="1">
      <alignment horizontal="center" vertical="center"/>
    </xf>
    <xf numFmtId="10" fontId="28" fillId="2" borderId="0" xfId="3" applyNumberFormat="1" applyFont="1" applyFill="1" applyAlignment="1">
      <alignment horizontal="center" vertical="center"/>
    </xf>
    <xf numFmtId="2" fontId="28" fillId="2" borderId="0" xfId="0" applyNumberFormat="1" applyFont="1" applyFill="1" applyBorder="1" applyAlignment="1">
      <alignment horizontal="center" vertical="center"/>
    </xf>
    <xf numFmtId="43" fontId="28" fillId="2" borderId="14" xfId="0" applyNumberFormat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164" fontId="28" fillId="2" borderId="1" xfId="2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8" fillId="2" borderId="0" xfId="0" applyNumberFormat="1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justify" vertical="center" wrapText="1"/>
    </xf>
    <xf numFmtId="0" fontId="4" fillId="2" borderId="2" xfId="0" applyFont="1" applyFill="1" applyBorder="1" applyAlignment="1">
      <alignment horizontal="center" vertical="center"/>
    </xf>
  </cellXfs>
  <cellStyles count="6">
    <cellStyle name="Hipervínculo" xfId="1" builtinId="8"/>
    <cellStyle name="Hipervínculo 3" xfId="5"/>
    <cellStyle name="Millares" xfId="2" builtinId="3"/>
    <cellStyle name="Normal" xfId="0" builtinId="0"/>
    <cellStyle name="Normal 2" xfId="4"/>
    <cellStyle name="Porcentaje" xfId="3" builtinId="5"/>
  </cellStyles>
  <dxfs count="2">
    <dxf>
      <fill>
        <patternFill>
          <bgColor rgb="FFFFFF00"/>
        </patternFill>
      </fill>
    </dxf>
    <dxf>
      <font>
        <strike val="0"/>
        <color theme="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hyperlink" Target="https://www.youtube.com/user/Sebaxtiani" TargetMode="External"/><Relationship Id="rId7" Type="http://schemas.openxmlformats.org/officeDocument/2006/relationships/hyperlink" Target="https://www.facebook.com/groups/491707207676630/?fref=t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bit.ly/1NfE652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ExcelNegocios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jpeg"/><Relationship Id="rId9" Type="http://schemas.openxmlformats.org/officeDocument/2006/relationships/hyperlink" Target="http://www.excelnegocios.com/descarga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</xdr:row>
      <xdr:rowOff>171450</xdr:rowOff>
    </xdr:from>
    <xdr:to>
      <xdr:col>8</xdr:col>
      <xdr:colOff>276225</xdr:colOff>
      <xdr:row>5</xdr:row>
      <xdr:rowOff>142875</xdr:rowOff>
    </xdr:to>
    <xdr:pic>
      <xdr:nvPicPr>
        <xdr:cNvPr id="2" name="Imagen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EEC29C3-FB45-45E2-BB04-84E36FCEB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247650"/>
          <a:ext cx="482917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8</xdr:row>
      <xdr:rowOff>28575</xdr:rowOff>
    </xdr:from>
    <xdr:to>
      <xdr:col>2</xdr:col>
      <xdr:colOff>466725</xdr:colOff>
      <xdr:row>11</xdr:row>
      <xdr:rowOff>161925</xdr:rowOff>
    </xdr:to>
    <xdr:pic>
      <xdr:nvPicPr>
        <xdr:cNvPr id="3" name="Imagen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A22A82-AD16-48EA-B162-912E1ACD3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1438275"/>
          <a:ext cx="11430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542925</xdr:colOff>
      <xdr:row>8</xdr:row>
      <xdr:rowOff>152400</xdr:rowOff>
    </xdr:from>
    <xdr:to>
      <xdr:col>5</xdr:col>
      <xdr:colOff>60960</xdr:colOff>
      <xdr:row>11</xdr:row>
      <xdr:rowOff>104775</xdr:rowOff>
    </xdr:to>
    <xdr:pic>
      <xdr:nvPicPr>
        <xdr:cNvPr id="4" name="Imagen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0C7282-E9D7-4010-A121-5C510DEB6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0650" y="1562100"/>
          <a:ext cx="180403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198120</xdr:colOff>
      <xdr:row>8</xdr:row>
      <xdr:rowOff>161925</xdr:rowOff>
    </xdr:from>
    <xdr:to>
      <xdr:col>7</xdr:col>
      <xdr:colOff>198120</xdr:colOff>
      <xdr:row>11</xdr:row>
      <xdr:rowOff>95250</xdr:rowOff>
    </xdr:to>
    <xdr:pic>
      <xdr:nvPicPr>
        <xdr:cNvPr id="5" name="Imagen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10BF0FE-0DBF-4930-BA2B-BE697F0F3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1845" y="1571625"/>
          <a:ext cx="1524000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373381</xdr:colOff>
      <xdr:row>9</xdr:row>
      <xdr:rowOff>30480</xdr:rowOff>
    </xdr:from>
    <xdr:to>
      <xdr:col>10</xdr:col>
      <xdr:colOff>76201</xdr:colOff>
      <xdr:row>11</xdr:row>
      <xdr:rowOff>77392</xdr:rowOff>
    </xdr:to>
    <xdr:pic>
      <xdr:nvPicPr>
        <xdr:cNvPr id="6" name="Imagen 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D1BA3B9-14D1-487C-9E95-880BDEAB4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1106" y="1630680"/>
          <a:ext cx="1512570" cy="4279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stavo@excelnegocios.com" TargetMode="External"/><Relationship Id="rId1" Type="http://schemas.openxmlformats.org/officeDocument/2006/relationships/hyperlink" Target="http://www.excelnegocio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showGridLines="0" tabSelected="1" workbookViewId="0">
      <selection activeCell="B3" sqref="B3"/>
    </sheetView>
  </sheetViews>
  <sheetFormatPr baseColWidth="10" defaultColWidth="0" defaultRowHeight="14.45" customHeight="1" zeroHeight="1" x14ac:dyDescent="0.25"/>
  <cols>
    <col min="1" max="1" width="1.28515625" style="172" customWidth="1"/>
    <col min="2" max="9" width="11.42578125" style="172" customWidth="1"/>
    <col min="10" max="10" width="4.28515625" style="172" customWidth="1"/>
    <col min="11" max="11" width="2.42578125" style="172" customWidth="1"/>
    <col min="12" max="12" width="1.7109375" style="172" customWidth="1"/>
    <col min="13" max="16384" width="11.42578125" style="172" hidden="1"/>
  </cols>
  <sheetData>
    <row r="1" spans="2:11" ht="6" customHeight="1" thickBot="1" x14ac:dyDescent="0.3"/>
    <row r="2" spans="2:11" ht="15" x14ac:dyDescent="0.25">
      <c r="B2" s="173"/>
      <c r="C2" s="174"/>
      <c r="D2" s="174"/>
      <c r="E2" s="174"/>
      <c r="F2" s="174"/>
      <c r="G2" s="174"/>
      <c r="H2" s="174"/>
      <c r="I2" s="174"/>
      <c r="J2" s="174"/>
      <c r="K2" s="175"/>
    </row>
    <row r="3" spans="2:11" ht="15" x14ac:dyDescent="0.25">
      <c r="B3" s="176"/>
      <c r="C3" s="177"/>
      <c r="D3" s="177"/>
      <c r="E3" s="177"/>
      <c r="F3" s="177"/>
      <c r="G3" s="177"/>
      <c r="H3" s="177"/>
      <c r="I3" s="177"/>
      <c r="J3" s="177"/>
      <c r="K3" s="178"/>
    </row>
    <row r="4" spans="2:11" ht="15" x14ac:dyDescent="0.25">
      <c r="B4" s="176"/>
      <c r="C4" s="177"/>
      <c r="D4" s="177"/>
      <c r="E4" s="177"/>
      <c r="F4" s="177"/>
      <c r="G4" s="177"/>
      <c r="H4" s="177"/>
      <c r="I4" s="177"/>
      <c r="J4" s="177"/>
      <c r="K4" s="178"/>
    </row>
    <row r="5" spans="2:11" ht="15" x14ac:dyDescent="0.25">
      <c r="B5" s="176"/>
      <c r="C5" s="177"/>
      <c r="D5" s="177"/>
      <c r="E5" s="177"/>
      <c r="F5" s="177"/>
      <c r="G5" s="177"/>
      <c r="H5" s="177"/>
      <c r="I5" s="177"/>
      <c r="J5" s="177"/>
      <c r="K5" s="178"/>
    </row>
    <row r="6" spans="2:11" ht="15" x14ac:dyDescent="0.25">
      <c r="B6" s="176"/>
      <c r="C6" s="177"/>
      <c r="D6" s="177"/>
      <c r="E6" s="177"/>
      <c r="F6" s="177"/>
      <c r="G6" s="177"/>
      <c r="H6" s="177"/>
      <c r="I6" s="177"/>
      <c r="J6" s="177"/>
      <c r="K6" s="178"/>
    </row>
    <row r="7" spans="2:11" ht="15" x14ac:dyDescent="0.25">
      <c r="B7" s="176"/>
      <c r="C7" s="182" t="s">
        <v>113</v>
      </c>
      <c r="D7" s="182"/>
      <c r="E7" s="182"/>
      <c r="F7" s="182"/>
      <c r="G7" s="182"/>
      <c r="H7" s="182"/>
      <c r="I7" s="177"/>
      <c r="J7" s="177"/>
      <c r="K7" s="178"/>
    </row>
    <row r="8" spans="2:11" ht="15" x14ac:dyDescent="0.25">
      <c r="B8" s="176"/>
      <c r="C8" s="182"/>
      <c r="D8" s="182"/>
      <c r="E8" s="182"/>
      <c r="F8" s="182"/>
      <c r="G8" s="182"/>
      <c r="H8" s="182"/>
      <c r="I8" s="177"/>
      <c r="J8" s="177"/>
      <c r="K8" s="178"/>
    </row>
    <row r="9" spans="2:11" ht="15" x14ac:dyDescent="0.25">
      <c r="B9" s="176"/>
      <c r="C9" s="177"/>
      <c r="D9" s="177"/>
      <c r="E9" s="177"/>
      <c r="F9" s="177"/>
      <c r="G9" s="177"/>
      <c r="H9" s="177"/>
      <c r="I9" s="177"/>
      <c r="J9" s="177"/>
      <c r="K9" s="178"/>
    </row>
    <row r="10" spans="2:11" ht="15" x14ac:dyDescent="0.25">
      <c r="B10" s="176"/>
      <c r="C10" s="177"/>
      <c r="D10" s="177"/>
      <c r="E10" s="177"/>
      <c r="F10" s="177"/>
      <c r="G10" s="177"/>
      <c r="H10" s="177"/>
      <c r="I10" s="177"/>
      <c r="J10" s="177"/>
      <c r="K10" s="178"/>
    </row>
    <row r="11" spans="2:11" ht="15" x14ac:dyDescent="0.25">
      <c r="B11" s="176"/>
      <c r="C11" s="177"/>
      <c r="D11" s="177"/>
      <c r="E11" s="177"/>
      <c r="F11" s="177"/>
      <c r="G11" s="177"/>
      <c r="H11" s="177"/>
      <c r="I11" s="177"/>
      <c r="J11" s="177"/>
      <c r="K11" s="178"/>
    </row>
    <row r="12" spans="2:11" ht="15" x14ac:dyDescent="0.25">
      <c r="B12" s="176"/>
      <c r="C12" s="177"/>
      <c r="D12" s="177"/>
      <c r="E12" s="177"/>
      <c r="F12" s="177"/>
      <c r="G12" s="177"/>
      <c r="H12" s="177"/>
      <c r="I12" s="177"/>
      <c r="J12" s="177"/>
      <c r="K12" s="178"/>
    </row>
    <row r="13" spans="2:11" ht="7.5" customHeight="1" x14ac:dyDescent="0.25">
      <c r="B13" s="176"/>
      <c r="C13" s="177"/>
      <c r="D13" s="177"/>
      <c r="E13" s="177"/>
      <c r="F13" s="177"/>
      <c r="G13" s="177"/>
      <c r="H13" s="177"/>
      <c r="I13" s="177"/>
      <c r="J13" s="177"/>
      <c r="K13" s="178"/>
    </row>
    <row r="14" spans="2:11" ht="15.75" x14ac:dyDescent="0.25">
      <c r="B14" s="183" t="s">
        <v>114</v>
      </c>
      <c r="C14" s="184"/>
      <c r="D14" s="184"/>
      <c r="E14" s="184"/>
      <c r="F14" s="184"/>
      <c r="G14" s="185" t="s">
        <v>113</v>
      </c>
      <c r="H14" s="185"/>
      <c r="I14" s="185"/>
      <c r="J14" s="185"/>
      <c r="K14" s="186"/>
    </row>
    <row r="15" spans="2:11" ht="6.75" customHeight="1" thickBot="1" x14ac:dyDescent="0.3">
      <c r="B15" s="179"/>
      <c r="C15" s="180"/>
      <c r="D15" s="180"/>
      <c r="E15" s="180"/>
      <c r="F15" s="180"/>
      <c r="G15" s="180"/>
      <c r="H15" s="180"/>
      <c r="I15" s="180"/>
      <c r="J15" s="180"/>
      <c r="K15" s="181"/>
    </row>
    <row r="16" spans="2:11" ht="6" customHeight="1" x14ac:dyDescent="0.25"/>
    <row r="17" ht="15" hidden="1" x14ac:dyDescent="0.25"/>
    <row r="18" ht="15" hidden="1" x14ac:dyDescent="0.25"/>
    <row r="19" ht="15" hidden="1" x14ac:dyDescent="0.25"/>
    <row r="20" ht="15" hidden="1" x14ac:dyDescent="0.25"/>
    <row r="21" ht="15" hidden="1" x14ac:dyDescent="0.25"/>
  </sheetData>
  <mergeCells count="3">
    <mergeCell ref="C7:H8"/>
    <mergeCell ref="B14:F14"/>
    <mergeCell ref="G14:K14"/>
  </mergeCells>
  <hyperlinks>
    <hyperlink ref="C7" r:id="rId1"/>
    <hyperlink ref="G14" r:id="rId2" display="Gustavo@excelnegocios.com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1"/>
  <sheetViews>
    <sheetView topLeftCell="A22" zoomScaleNormal="100" workbookViewId="0">
      <selection activeCell="A13" sqref="A13:F16"/>
    </sheetView>
  </sheetViews>
  <sheetFormatPr baseColWidth="10" defaultColWidth="10" defaultRowHeight="11.25" x14ac:dyDescent="0.2"/>
  <cols>
    <col min="1" max="1" width="12.85546875" style="2" customWidth="1"/>
    <col min="2" max="2" width="22.7109375" style="2" customWidth="1"/>
    <col min="3" max="3" width="14.28515625" style="2" customWidth="1"/>
    <col min="4" max="4" width="20" style="2" customWidth="1"/>
    <col min="5" max="5" width="12.85546875" style="13" customWidth="1"/>
    <col min="6" max="6" width="13.5703125" style="3" customWidth="1"/>
    <col min="7" max="7" width="17" style="2" customWidth="1"/>
    <col min="8" max="8" width="14.7109375" style="2" customWidth="1"/>
    <col min="9" max="9" width="19" style="2" customWidth="1"/>
    <col min="10" max="10" width="13.5703125" style="2" customWidth="1"/>
    <col min="11" max="11" width="13.42578125" style="2" customWidth="1"/>
    <col min="12" max="12" width="13.5703125" style="3" customWidth="1"/>
    <col min="13" max="21" width="12.85546875" style="2" customWidth="1"/>
    <col min="22" max="53" width="10" style="2"/>
    <col min="54" max="16384" width="10" style="7"/>
  </cols>
  <sheetData>
    <row r="1" spans="1:53" x14ac:dyDescent="0.2">
      <c r="A1" s="1"/>
      <c r="B1" s="4"/>
      <c r="C1" s="4"/>
      <c r="D1" s="4"/>
      <c r="E1" s="4"/>
      <c r="F1" s="4"/>
      <c r="G1" s="4"/>
      <c r="H1" s="4"/>
    </row>
    <row r="2" spans="1:53" s="107" customFormat="1" ht="12.75" x14ac:dyDescent="0.2">
      <c r="A2" s="189" t="s">
        <v>41</v>
      </c>
      <c r="B2" s="189"/>
      <c r="C2" s="189"/>
      <c r="D2" s="189"/>
      <c r="E2" s="189"/>
      <c r="F2" s="18"/>
      <c r="G2" s="18"/>
      <c r="H2" s="18"/>
      <c r="I2" s="105"/>
      <c r="J2" s="105"/>
      <c r="K2" s="105"/>
      <c r="L2" s="106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</row>
    <row r="3" spans="1:53" s="107" customFormat="1" ht="12.75" x14ac:dyDescent="0.2">
      <c r="A3" s="108"/>
      <c r="B3" s="18"/>
      <c r="C3" s="18"/>
      <c r="D3" s="18"/>
      <c r="E3" s="18"/>
      <c r="F3" s="18"/>
      <c r="G3" s="18"/>
      <c r="H3" s="18"/>
      <c r="I3" s="105"/>
      <c r="J3" s="105"/>
      <c r="K3" s="105"/>
      <c r="L3" s="106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</row>
    <row r="4" spans="1:53" s="107" customFormat="1" ht="12.75" x14ac:dyDescent="0.2">
      <c r="A4" s="190" t="s">
        <v>99</v>
      </c>
      <c r="B4" s="190"/>
      <c r="C4" s="190"/>
      <c r="D4" s="190"/>
      <c r="E4" s="190"/>
      <c r="F4" s="190"/>
      <c r="G4" s="108"/>
      <c r="H4" s="108"/>
      <c r="I4" s="105"/>
      <c r="J4" s="105"/>
      <c r="K4" s="105"/>
      <c r="L4" s="106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</row>
    <row r="5" spans="1:53" s="107" customFormat="1" ht="12.75" x14ac:dyDescent="0.2">
      <c r="A5" s="190"/>
      <c r="B5" s="190"/>
      <c r="C5" s="190"/>
      <c r="D5" s="190"/>
      <c r="E5" s="190"/>
      <c r="F5" s="190"/>
      <c r="G5" s="108"/>
      <c r="H5" s="108"/>
      <c r="I5" s="105"/>
      <c r="J5" s="105"/>
      <c r="K5" s="105"/>
      <c r="L5" s="106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</row>
    <row r="6" spans="1:53" s="107" customFormat="1" ht="12.75" x14ac:dyDescent="0.2">
      <c r="A6" s="190"/>
      <c r="B6" s="190"/>
      <c r="C6" s="190"/>
      <c r="D6" s="190"/>
      <c r="E6" s="190"/>
      <c r="F6" s="190"/>
      <c r="G6" s="108"/>
      <c r="H6" s="108"/>
      <c r="I6" s="105"/>
      <c r="J6" s="105"/>
      <c r="K6" s="105"/>
      <c r="L6" s="106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</row>
    <row r="7" spans="1:53" s="107" customFormat="1" ht="12.75" customHeight="1" x14ac:dyDescent="0.2">
      <c r="A7" s="187" t="s">
        <v>100</v>
      </c>
      <c r="B7" s="187"/>
      <c r="C7" s="187"/>
      <c r="D7" s="187"/>
      <c r="E7" s="187"/>
      <c r="F7" s="187"/>
      <c r="G7" s="109"/>
      <c r="H7" s="108"/>
      <c r="I7" s="105"/>
      <c r="J7" s="105"/>
      <c r="K7" s="105"/>
      <c r="L7" s="106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</row>
    <row r="8" spans="1:53" s="107" customFormat="1" ht="12.75" customHeight="1" x14ac:dyDescent="0.2">
      <c r="A8" s="187"/>
      <c r="B8" s="187"/>
      <c r="C8" s="187"/>
      <c r="D8" s="187"/>
      <c r="E8" s="187"/>
      <c r="F8" s="187"/>
      <c r="G8" s="109"/>
      <c r="H8" s="108"/>
      <c r="I8" s="105"/>
      <c r="J8" s="105"/>
      <c r="K8" s="105"/>
      <c r="L8" s="106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  <c r="AY8" s="105"/>
      <c r="AZ8" s="105"/>
      <c r="BA8" s="105"/>
    </row>
    <row r="9" spans="1:53" s="107" customFormat="1" ht="12.75" x14ac:dyDescent="0.2">
      <c r="A9" s="187"/>
      <c r="B9" s="187"/>
      <c r="C9" s="187"/>
      <c r="D9" s="187"/>
      <c r="E9" s="187"/>
      <c r="F9" s="187"/>
      <c r="G9" s="109"/>
      <c r="H9" s="108"/>
      <c r="I9" s="105"/>
      <c r="J9" s="105"/>
      <c r="K9" s="105"/>
      <c r="L9" s="106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AZ9" s="105"/>
      <c r="BA9" s="105"/>
    </row>
    <row r="10" spans="1:53" s="107" customFormat="1" ht="12.75" x14ac:dyDescent="0.2">
      <c r="A10" s="108"/>
      <c r="B10" s="108"/>
      <c r="C10" s="108"/>
      <c r="D10" s="108"/>
      <c r="E10" s="108"/>
      <c r="F10" s="108"/>
      <c r="G10" s="108"/>
      <c r="H10" s="108"/>
      <c r="I10" s="105"/>
      <c r="J10" s="105"/>
      <c r="K10" s="105"/>
      <c r="L10" s="106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  <c r="AY10" s="105"/>
      <c r="AZ10" s="105"/>
      <c r="BA10" s="105"/>
    </row>
    <row r="11" spans="1:53" s="107" customFormat="1" ht="12.75" x14ac:dyDescent="0.2">
      <c r="A11" s="104" t="s">
        <v>74</v>
      </c>
      <c r="B11" s="108"/>
      <c r="C11" s="108"/>
      <c r="D11" s="108"/>
      <c r="E11" s="108"/>
      <c r="F11" s="108"/>
      <c r="G11" s="108"/>
      <c r="H11" s="108"/>
      <c r="I11" s="105"/>
      <c r="J11" s="105"/>
      <c r="K11" s="105"/>
      <c r="L11" s="106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</row>
    <row r="12" spans="1:53" s="107" customFormat="1" ht="12.75" x14ac:dyDescent="0.2">
      <c r="A12" s="105"/>
      <c r="B12" s="108"/>
      <c r="C12" s="108"/>
      <c r="D12" s="108"/>
      <c r="E12" s="108"/>
      <c r="F12" s="108"/>
      <c r="G12" s="108"/>
      <c r="H12" s="108"/>
      <c r="I12" s="105"/>
      <c r="J12" s="105"/>
      <c r="K12" s="105"/>
      <c r="L12" s="106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5"/>
      <c r="AO12" s="105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05"/>
    </row>
    <row r="13" spans="1:53" s="107" customFormat="1" ht="12.75" x14ac:dyDescent="0.2">
      <c r="A13" s="187" t="s">
        <v>101</v>
      </c>
      <c r="B13" s="187"/>
      <c r="C13" s="187"/>
      <c r="D13" s="187"/>
      <c r="E13" s="187"/>
      <c r="F13" s="187"/>
      <c r="G13" s="108"/>
      <c r="H13" s="108"/>
      <c r="I13" s="105"/>
      <c r="J13" s="105"/>
      <c r="K13" s="105"/>
      <c r="L13" s="106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5"/>
      <c r="AO13" s="105"/>
      <c r="AP13" s="105"/>
      <c r="AQ13" s="105"/>
      <c r="AR13" s="105"/>
      <c r="AS13" s="105"/>
      <c r="AT13" s="105"/>
      <c r="AU13" s="105"/>
      <c r="AV13" s="105"/>
      <c r="AW13" s="105"/>
      <c r="AX13" s="105"/>
      <c r="AY13" s="105"/>
      <c r="AZ13" s="105"/>
      <c r="BA13" s="105"/>
    </row>
    <row r="14" spans="1:53" s="107" customFormat="1" ht="12.75" x14ac:dyDescent="0.2">
      <c r="A14" s="187"/>
      <c r="B14" s="187"/>
      <c r="C14" s="187"/>
      <c r="D14" s="187"/>
      <c r="E14" s="187"/>
      <c r="F14" s="187"/>
      <c r="G14" s="108"/>
      <c r="H14" s="108"/>
      <c r="I14" s="105"/>
      <c r="J14" s="105"/>
      <c r="K14" s="105"/>
      <c r="L14" s="106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  <c r="AH14" s="105"/>
      <c r="AI14" s="105"/>
      <c r="AJ14" s="105"/>
      <c r="AK14" s="105"/>
      <c r="AL14" s="105"/>
      <c r="AM14" s="105"/>
      <c r="AN14" s="105"/>
      <c r="AO14" s="105"/>
      <c r="AP14" s="105"/>
      <c r="AQ14" s="105"/>
      <c r="AR14" s="105"/>
      <c r="AS14" s="105"/>
      <c r="AT14" s="105"/>
      <c r="AU14" s="105"/>
      <c r="AV14" s="105"/>
      <c r="AW14" s="105"/>
      <c r="AX14" s="105"/>
      <c r="AY14" s="105"/>
      <c r="AZ14" s="105"/>
      <c r="BA14" s="105"/>
    </row>
    <row r="15" spans="1:53" s="107" customFormat="1" ht="12.75" x14ac:dyDescent="0.2">
      <c r="A15" s="187"/>
      <c r="B15" s="187"/>
      <c r="C15" s="187"/>
      <c r="D15" s="187"/>
      <c r="E15" s="187"/>
      <c r="F15" s="187"/>
      <c r="G15" s="108"/>
      <c r="H15" s="108"/>
      <c r="I15" s="105"/>
      <c r="J15" s="105"/>
      <c r="K15" s="105"/>
      <c r="L15" s="106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  <c r="AY15" s="105"/>
      <c r="AZ15" s="105"/>
      <c r="BA15" s="105"/>
    </row>
    <row r="16" spans="1:53" x14ac:dyDescent="0.2">
      <c r="A16" s="187"/>
      <c r="B16" s="187"/>
      <c r="C16" s="187"/>
      <c r="D16" s="187"/>
      <c r="E16" s="187"/>
      <c r="F16" s="187"/>
      <c r="G16" s="1"/>
      <c r="H16" s="1"/>
    </row>
    <row r="17" spans="1:22" x14ac:dyDescent="0.2">
      <c r="A17" s="1"/>
      <c r="B17" s="1"/>
      <c r="C17" s="1"/>
      <c r="D17" s="1"/>
      <c r="E17" s="1"/>
      <c r="F17" s="1"/>
      <c r="G17" s="1"/>
      <c r="H17" s="1"/>
    </row>
    <row r="19" spans="1:22" ht="15.95" customHeight="1" x14ac:dyDescent="0.2">
      <c r="A19" s="191" t="s">
        <v>13</v>
      </c>
      <c r="B19" s="191"/>
      <c r="C19" s="191"/>
      <c r="D19" s="191"/>
      <c r="E19" s="191"/>
      <c r="J19" s="191" t="s">
        <v>76</v>
      </c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</row>
    <row r="20" spans="1:22" ht="15.95" customHeight="1" x14ac:dyDescent="0.2">
      <c r="A20" s="110"/>
      <c r="B20" s="20"/>
      <c r="E20" s="5"/>
      <c r="L20" s="2"/>
    </row>
    <row r="21" spans="1:22" ht="15.95" customHeight="1" x14ac:dyDescent="0.2">
      <c r="A21" s="213" t="s">
        <v>16</v>
      </c>
      <c r="B21" s="215" t="s">
        <v>57</v>
      </c>
      <c r="C21" s="217" t="s">
        <v>59</v>
      </c>
      <c r="D21" s="218"/>
      <c r="E21" s="219" t="s">
        <v>58</v>
      </c>
      <c r="F21" s="23"/>
      <c r="G21" s="191" t="s">
        <v>86</v>
      </c>
      <c r="H21" s="191"/>
      <c r="J21" s="207" t="s">
        <v>78</v>
      </c>
      <c r="K21" s="208"/>
      <c r="L21" s="208"/>
      <c r="M21" s="208"/>
      <c r="N21" s="208"/>
      <c r="O21" s="208"/>
      <c r="P21" s="208"/>
      <c r="Q21" s="208"/>
      <c r="R21" s="208"/>
      <c r="S21" s="208"/>
      <c r="T21" s="208"/>
      <c r="U21" s="208"/>
      <c r="V21" s="45"/>
    </row>
    <row r="22" spans="1:22" ht="15.95" customHeight="1" x14ac:dyDescent="0.2">
      <c r="A22" s="214"/>
      <c r="B22" s="216"/>
      <c r="C22" s="21" t="s">
        <v>67</v>
      </c>
      <c r="D22" s="22" t="s">
        <v>68</v>
      </c>
      <c r="E22" s="220"/>
      <c r="F22" s="23"/>
      <c r="J22" s="209"/>
      <c r="K22" s="210"/>
      <c r="L22" s="210"/>
      <c r="M22" s="210"/>
      <c r="N22" s="210"/>
      <c r="O22" s="210"/>
      <c r="P22" s="210"/>
      <c r="Q22" s="210"/>
      <c r="R22" s="210"/>
      <c r="S22" s="210"/>
      <c r="T22" s="210"/>
      <c r="U22" s="210"/>
    </row>
    <row r="23" spans="1:22" ht="18.75" customHeight="1" x14ac:dyDescent="0.2">
      <c r="A23" s="24" t="s">
        <v>63</v>
      </c>
      <c r="B23" s="27">
        <v>0.1</v>
      </c>
      <c r="C23" s="28">
        <v>1.55E-2</v>
      </c>
      <c r="D23" s="28">
        <v>8.9999999999999993E-3</v>
      </c>
      <c r="E23" s="29">
        <v>1.3599999999999999E-2</v>
      </c>
      <c r="F23" s="6"/>
      <c r="G23" s="37" t="s">
        <v>84</v>
      </c>
      <c r="H23" s="35">
        <v>0.09</v>
      </c>
      <c r="I23" s="47"/>
      <c r="J23" s="46" t="s">
        <v>53</v>
      </c>
      <c r="K23" s="40">
        <v>41395</v>
      </c>
      <c r="L23" s="40">
        <v>41579</v>
      </c>
      <c r="M23" s="40">
        <v>41760</v>
      </c>
      <c r="N23" s="40">
        <v>41944</v>
      </c>
      <c r="O23" s="40">
        <v>42125</v>
      </c>
      <c r="P23" s="40">
        <v>42309</v>
      </c>
      <c r="Q23" s="40">
        <v>42491</v>
      </c>
      <c r="R23" s="40">
        <v>42675</v>
      </c>
      <c r="S23" s="40">
        <v>42856</v>
      </c>
      <c r="T23" s="40">
        <v>43040</v>
      </c>
      <c r="U23" s="43">
        <v>43221</v>
      </c>
    </row>
    <row r="24" spans="1:22" ht="18.75" customHeight="1" x14ac:dyDescent="0.2">
      <c r="A24" s="25" t="s">
        <v>64</v>
      </c>
      <c r="B24" s="30">
        <v>0.1</v>
      </c>
      <c r="C24" s="31">
        <v>1.6899999999999998E-2</v>
      </c>
      <c r="D24" s="31">
        <v>1.0699999999999999E-2</v>
      </c>
      <c r="E24" s="29">
        <v>1.3599999999999999E-2</v>
      </c>
      <c r="F24" s="6"/>
      <c r="G24" s="38" t="s">
        <v>85</v>
      </c>
      <c r="H24" s="42">
        <v>6.7500000000000004E-2</v>
      </c>
      <c r="I24" s="47"/>
      <c r="J24" s="44" t="s">
        <v>90</v>
      </c>
      <c r="K24" s="41">
        <v>41275</v>
      </c>
      <c r="L24" s="41">
        <v>41456</v>
      </c>
      <c r="M24" s="41">
        <v>41640</v>
      </c>
      <c r="N24" s="41">
        <v>41821</v>
      </c>
      <c r="O24" s="41">
        <v>42005</v>
      </c>
      <c r="P24" s="41">
        <v>42186</v>
      </c>
      <c r="Q24" s="41">
        <v>42370</v>
      </c>
      <c r="R24" s="41">
        <v>42552</v>
      </c>
      <c r="S24" s="41">
        <v>42736</v>
      </c>
      <c r="T24" s="41">
        <v>42917</v>
      </c>
      <c r="U24" s="41">
        <v>43101</v>
      </c>
    </row>
    <row r="25" spans="1:22" ht="18.75" customHeight="1" x14ac:dyDescent="0.2">
      <c r="A25" s="25" t="s">
        <v>65</v>
      </c>
      <c r="B25" s="30">
        <v>0.1</v>
      </c>
      <c r="C25" s="31">
        <v>1.6E-2</v>
      </c>
      <c r="D25" s="31">
        <v>1.8E-3</v>
      </c>
      <c r="E25" s="29">
        <v>1.3599999999999999E-2</v>
      </c>
      <c r="F25" s="6"/>
      <c r="L25" s="2"/>
      <c r="N25" s="13"/>
      <c r="O25" s="3"/>
    </row>
    <row r="26" spans="1:22" ht="18.75" customHeight="1" x14ac:dyDescent="0.2">
      <c r="A26" s="25" t="s">
        <v>82</v>
      </c>
      <c r="B26" s="30">
        <v>0.1</v>
      </c>
      <c r="C26" s="31">
        <v>1.47E-2</v>
      </c>
      <c r="D26" s="31">
        <v>3.8E-3</v>
      </c>
      <c r="E26" s="29">
        <v>1.3599999999999999E-2</v>
      </c>
      <c r="F26" s="6"/>
      <c r="L26" s="2"/>
      <c r="N26" s="13"/>
      <c r="O26" s="3"/>
    </row>
    <row r="27" spans="1:22" ht="17.25" customHeight="1" x14ac:dyDescent="0.2">
      <c r="A27" s="26" t="s">
        <v>69</v>
      </c>
      <c r="B27" s="32">
        <v>0.13</v>
      </c>
      <c r="C27" s="33"/>
      <c r="D27" s="33"/>
      <c r="E27" s="33"/>
      <c r="F27" s="6"/>
      <c r="L27" s="7"/>
    </row>
    <row r="28" spans="1:22" ht="15.95" customHeight="1" x14ac:dyDescent="0.2">
      <c r="A28" s="188" t="s">
        <v>102</v>
      </c>
      <c r="B28" s="188"/>
      <c r="C28" s="9">
        <v>0</v>
      </c>
      <c r="D28" s="9">
        <v>0</v>
      </c>
      <c r="E28" s="9">
        <v>0</v>
      </c>
      <c r="F28" s="6"/>
      <c r="L28" s="7"/>
    </row>
    <row r="29" spans="1:22" ht="19.5" customHeight="1" x14ac:dyDescent="0.2">
      <c r="A29" s="8"/>
      <c r="B29" s="211" t="s">
        <v>14</v>
      </c>
      <c r="C29" s="212"/>
      <c r="D29" s="103">
        <v>9290.07</v>
      </c>
      <c r="E29" s="11"/>
      <c r="F29" s="6"/>
      <c r="L29" s="7"/>
    </row>
    <row r="30" spans="1:22" ht="15.95" customHeight="1" x14ac:dyDescent="0.2">
      <c r="B30" s="10"/>
      <c r="D30" s="36"/>
      <c r="F30" s="6"/>
      <c r="K30" s="12">
        <v>41395</v>
      </c>
      <c r="L30" s="7"/>
      <c r="O30" s="19"/>
    </row>
    <row r="31" spans="1:22" x14ac:dyDescent="0.2">
      <c r="A31" s="39"/>
      <c r="B31" s="39"/>
    </row>
    <row r="34" spans="1:53" ht="21" x14ac:dyDescent="0.2">
      <c r="A34" s="198" t="s">
        <v>40</v>
      </c>
      <c r="B34" s="198"/>
      <c r="C34" s="198"/>
      <c r="D34" s="198"/>
      <c r="E34" s="198"/>
      <c r="F34" s="198"/>
      <c r="L34" s="2"/>
      <c r="M34" s="12">
        <f>+E38</f>
        <v>41946</v>
      </c>
      <c r="N34" s="3"/>
    </row>
    <row r="35" spans="1:53" s="15" customFormat="1" x14ac:dyDescent="0.2">
      <c r="A35" s="14"/>
      <c r="B35" s="14"/>
      <c r="C35" s="14"/>
      <c r="D35" s="14"/>
      <c r="E35" s="14"/>
      <c r="F35" s="14"/>
      <c r="G35" s="14"/>
      <c r="H35" s="14"/>
      <c r="I35" s="14"/>
      <c r="J35" s="2"/>
      <c r="K35" s="2"/>
      <c r="L35" s="2"/>
      <c r="M35" s="2"/>
      <c r="N35" s="3"/>
      <c r="O35" s="2"/>
      <c r="P35" s="2"/>
      <c r="Q35" s="7"/>
      <c r="R35" s="2"/>
      <c r="S35" s="2"/>
      <c r="T35" s="2"/>
    </row>
    <row r="36" spans="1:53" s="100" customFormat="1" ht="31.5" customHeight="1" x14ac:dyDescent="0.2">
      <c r="A36" s="192" t="s">
        <v>15</v>
      </c>
      <c r="B36" s="201" t="s">
        <v>18</v>
      </c>
      <c r="C36" s="194" t="s">
        <v>5</v>
      </c>
      <c r="D36" s="201" t="s">
        <v>11</v>
      </c>
      <c r="E36" s="194" t="s">
        <v>88</v>
      </c>
      <c r="F36" s="194" t="s">
        <v>89</v>
      </c>
      <c r="G36" s="201" t="s">
        <v>19</v>
      </c>
      <c r="H36" s="201" t="s">
        <v>20</v>
      </c>
      <c r="I36" s="203" t="s">
        <v>17</v>
      </c>
      <c r="J36" s="199" t="s">
        <v>21</v>
      </c>
      <c r="K36" s="205" t="s">
        <v>51</v>
      </c>
      <c r="L36" s="206"/>
      <c r="M36" s="205" t="s">
        <v>52</v>
      </c>
      <c r="N36" s="206"/>
      <c r="O36" s="205" t="s">
        <v>77</v>
      </c>
      <c r="P36" s="206"/>
      <c r="Q36" s="199" t="s">
        <v>83</v>
      </c>
      <c r="R36" s="196" t="s">
        <v>72</v>
      </c>
      <c r="S36" s="93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</row>
    <row r="37" spans="1:53" s="100" customFormat="1" ht="31.5" customHeight="1" x14ac:dyDescent="0.2">
      <c r="A37" s="193"/>
      <c r="B37" s="202"/>
      <c r="C37" s="195"/>
      <c r="D37" s="202"/>
      <c r="E37" s="195"/>
      <c r="F37" s="195"/>
      <c r="G37" s="202"/>
      <c r="H37" s="202"/>
      <c r="I37" s="204"/>
      <c r="J37" s="200"/>
      <c r="K37" s="90" t="s">
        <v>29</v>
      </c>
      <c r="L37" s="90" t="s">
        <v>30</v>
      </c>
      <c r="M37" s="91" t="s">
        <v>29</v>
      </c>
      <c r="N37" s="91" t="s">
        <v>30</v>
      </c>
      <c r="O37" s="97" t="s">
        <v>79</v>
      </c>
      <c r="P37" s="98" t="s">
        <v>66</v>
      </c>
      <c r="Q37" s="200"/>
      <c r="R37" s="197"/>
      <c r="S37" s="93"/>
      <c r="T37" s="17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</row>
    <row r="38" spans="1:53" s="80" customFormat="1" ht="15.75" customHeight="1" x14ac:dyDescent="0.2">
      <c r="A38" s="48">
        <v>1111</v>
      </c>
      <c r="B38" s="67" t="s">
        <v>93</v>
      </c>
      <c r="C38" s="50">
        <v>47037654</v>
      </c>
      <c r="D38" s="87" t="s">
        <v>80</v>
      </c>
      <c r="E38" s="51">
        <v>41946</v>
      </c>
      <c r="F38" s="71">
        <v>42698</v>
      </c>
      <c r="G38" s="49" t="s">
        <v>87</v>
      </c>
      <c r="H38" s="52">
        <v>1500</v>
      </c>
      <c r="I38" s="52">
        <v>0</v>
      </c>
      <c r="J38" s="88">
        <v>1608</v>
      </c>
      <c r="K38" s="53">
        <f>IF(E38&gt;HLOOKUP(F38,$K$23:$T$23,1,1),E38,HLOOKUP(F38,$K$23:$T$23,1,1))</f>
        <v>42675</v>
      </c>
      <c r="L38" s="89">
        <f t="shared" ref="L38:L43" si="0">IF(F38="","",F38)</f>
        <v>42698</v>
      </c>
      <c r="M38" s="92">
        <f>IF(E38&gt;HLOOKUP(N38,$K$24:$T$24,1,1),E38,HLOOKUP(N38,$K$24:$T$24,1,1))</f>
        <v>42552</v>
      </c>
      <c r="N38" s="89">
        <f t="shared" ref="N38:N43" si="1">IF(F38="","",F38)</f>
        <v>42698</v>
      </c>
      <c r="O38" s="96" t="s">
        <v>82</v>
      </c>
      <c r="P38" s="95" t="s">
        <v>67</v>
      </c>
      <c r="Q38" s="95" t="s">
        <v>84</v>
      </c>
      <c r="R38" s="94">
        <v>0</v>
      </c>
      <c r="S38" s="2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</row>
    <row r="39" spans="1:53" s="80" customFormat="1" ht="15.75" customHeight="1" x14ac:dyDescent="0.2">
      <c r="A39" s="57">
        <v>1112</v>
      </c>
      <c r="B39" s="69" t="s">
        <v>94</v>
      </c>
      <c r="C39" s="50">
        <v>45002320</v>
      </c>
      <c r="D39" s="85" t="s">
        <v>91</v>
      </c>
      <c r="E39" s="59">
        <v>42066</v>
      </c>
      <c r="F39" s="71">
        <v>42855</v>
      </c>
      <c r="G39" s="49" t="s">
        <v>81</v>
      </c>
      <c r="H39" s="60">
        <v>1700</v>
      </c>
      <c r="I39" s="60">
        <v>0</v>
      </c>
      <c r="J39" s="60">
        <v>1700</v>
      </c>
      <c r="K39" s="53">
        <f>IF(E39&gt;HLOOKUP(F39,$K$23:$T$23,1,1),E39,HLOOKUP(F39,$K$23:$T$23,1,1))</f>
        <v>42675</v>
      </c>
      <c r="L39" s="51">
        <f t="shared" si="0"/>
        <v>42855</v>
      </c>
      <c r="M39" s="92">
        <f>IF(E39&gt;HLOOKUP(N39,$K$24:$T$24,1,1),E39,HLOOKUP(N39,$K$24:$T$24,1,1))</f>
        <v>42736</v>
      </c>
      <c r="N39" s="51">
        <f t="shared" si="1"/>
        <v>42855</v>
      </c>
      <c r="O39" s="54" t="s">
        <v>69</v>
      </c>
      <c r="P39" s="55"/>
      <c r="Q39" s="55" t="s">
        <v>84</v>
      </c>
      <c r="R39" s="56">
        <v>0</v>
      </c>
      <c r="S39" s="2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</row>
    <row r="40" spans="1:53" s="80" customFormat="1" ht="15.75" customHeight="1" x14ac:dyDescent="0.2">
      <c r="A40" s="68">
        <v>1113</v>
      </c>
      <c r="B40" s="69" t="s">
        <v>95</v>
      </c>
      <c r="C40" s="70">
        <v>45237233</v>
      </c>
      <c r="D40" s="85" t="s">
        <v>92</v>
      </c>
      <c r="E40" s="71">
        <v>42510</v>
      </c>
      <c r="F40" s="71">
        <v>42916</v>
      </c>
      <c r="G40" s="72" t="s">
        <v>87</v>
      </c>
      <c r="H40" s="73">
        <v>3000</v>
      </c>
      <c r="I40" s="73">
        <v>85</v>
      </c>
      <c r="J40" s="73">
        <v>3075</v>
      </c>
      <c r="K40" s="53">
        <f>IF(E40&gt;HLOOKUP(F40,$K$23:$T$23,1,1),E40,HLOOKUP(F40,$K$23:$T$23,1,1))</f>
        <v>42856</v>
      </c>
      <c r="L40" s="74">
        <f t="shared" si="0"/>
        <v>42916</v>
      </c>
      <c r="M40" s="92">
        <f>IF(E40&gt;HLOOKUP(N40,$K$24:$T$24,1,1),E40,HLOOKUP(N40,$K$24:$T$24,1,1))</f>
        <v>42736</v>
      </c>
      <c r="N40" s="74">
        <f t="shared" si="1"/>
        <v>42916</v>
      </c>
      <c r="O40" s="75" t="s">
        <v>64</v>
      </c>
      <c r="P40" s="76" t="s">
        <v>68</v>
      </c>
      <c r="Q40" s="77" t="s">
        <v>84</v>
      </c>
      <c r="R40" s="78">
        <v>150</v>
      </c>
      <c r="S40" s="2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</row>
    <row r="41" spans="1:53" s="80" customFormat="1" ht="15.75" customHeight="1" x14ac:dyDescent="0.2">
      <c r="A41" s="57"/>
      <c r="B41" s="85"/>
      <c r="C41" s="65"/>
      <c r="D41" s="85"/>
      <c r="E41" s="61"/>
      <c r="F41" s="59"/>
      <c r="G41" s="58"/>
      <c r="H41" s="60"/>
      <c r="I41" s="60"/>
      <c r="J41" s="60"/>
      <c r="K41" s="81"/>
      <c r="L41" s="59" t="str">
        <f t="shared" si="0"/>
        <v/>
      </c>
      <c r="M41" s="81"/>
      <c r="N41" s="59" t="str">
        <f t="shared" si="1"/>
        <v/>
      </c>
      <c r="O41" s="82"/>
      <c r="P41" s="83"/>
      <c r="Q41" s="83"/>
      <c r="R41" s="101"/>
      <c r="S41" s="34"/>
    </row>
    <row r="42" spans="1:53" s="80" customFormat="1" ht="15.75" customHeight="1" x14ac:dyDescent="0.2">
      <c r="A42" s="62"/>
      <c r="B42" s="85"/>
      <c r="C42" s="65"/>
      <c r="D42" s="85"/>
      <c r="E42" s="63"/>
      <c r="F42" s="64"/>
      <c r="G42" s="58"/>
      <c r="H42" s="60"/>
      <c r="I42" s="60"/>
      <c r="J42" s="60"/>
      <c r="K42" s="81"/>
      <c r="L42" s="59" t="str">
        <f t="shared" si="0"/>
        <v/>
      </c>
      <c r="M42" s="81"/>
      <c r="N42" s="59" t="str">
        <f t="shared" si="1"/>
        <v/>
      </c>
      <c r="O42" s="82"/>
      <c r="P42" s="83"/>
      <c r="Q42" s="83"/>
      <c r="R42" s="101"/>
      <c r="S42" s="34"/>
      <c r="U42" s="79"/>
    </row>
    <row r="43" spans="1:53" s="79" customFormat="1" ht="15.75" customHeight="1" x14ac:dyDescent="0.2">
      <c r="A43" s="57"/>
      <c r="B43" s="85"/>
      <c r="C43" s="65"/>
      <c r="D43" s="85"/>
      <c r="E43" s="63"/>
      <c r="F43" s="64"/>
      <c r="G43" s="65"/>
      <c r="H43" s="66"/>
      <c r="I43" s="66"/>
      <c r="J43" s="66"/>
      <c r="K43" s="81"/>
      <c r="L43" s="59" t="str">
        <f t="shared" si="0"/>
        <v/>
      </c>
      <c r="M43" s="81"/>
      <c r="N43" s="59" t="str">
        <f t="shared" si="1"/>
        <v/>
      </c>
      <c r="O43" s="82"/>
      <c r="P43" s="83"/>
      <c r="Q43" s="83"/>
      <c r="R43" s="101"/>
      <c r="S43" s="34"/>
    </row>
    <row r="44" spans="1:53" s="79" customFormat="1" ht="15.75" customHeight="1" x14ac:dyDescent="0.2">
      <c r="A44" s="57"/>
      <c r="B44" s="85"/>
      <c r="C44" s="65"/>
      <c r="D44" s="85"/>
      <c r="E44" s="64"/>
      <c r="F44" s="65"/>
      <c r="G44" s="66"/>
      <c r="H44" s="66"/>
      <c r="I44" s="66"/>
      <c r="J44" s="81"/>
      <c r="K44" s="59" t="str">
        <f>IF(E44="","",E44)</f>
        <v/>
      </c>
      <c r="L44" s="81"/>
      <c r="M44" s="59" t="str">
        <f>IF(E44="","",E44)</f>
        <v/>
      </c>
      <c r="N44" s="82"/>
      <c r="O44" s="83"/>
      <c r="P44" s="83"/>
      <c r="Q44" s="60"/>
      <c r="R44" s="99"/>
      <c r="S44" s="102"/>
      <c r="T44" s="7"/>
    </row>
    <row r="45" spans="1:53" ht="15.75" customHeight="1" x14ac:dyDescent="0.2">
      <c r="A45" s="84"/>
      <c r="B45" s="85"/>
      <c r="C45" s="84"/>
      <c r="D45" s="85"/>
      <c r="E45" s="84"/>
      <c r="F45" s="84"/>
      <c r="G45" s="84"/>
      <c r="H45" s="84"/>
      <c r="I45" s="84"/>
      <c r="J45" s="86"/>
      <c r="K45" s="84"/>
      <c r="L45" s="84"/>
      <c r="M45" s="84"/>
      <c r="N45" s="84"/>
      <c r="O45" s="84"/>
      <c r="P45" s="84"/>
      <c r="Q45" s="84"/>
      <c r="R45" s="99"/>
      <c r="S45" s="34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ht="15.75" customHeight="1" x14ac:dyDescent="0.2">
      <c r="A46" s="84"/>
      <c r="B46" s="85"/>
      <c r="C46" s="84"/>
      <c r="D46" s="85"/>
      <c r="E46" s="84"/>
      <c r="F46" s="84"/>
      <c r="G46" s="84"/>
      <c r="H46" s="84"/>
      <c r="I46" s="84"/>
      <c r="J46" s="86"/>
      <c r="K46" s="84"/>
      <c r="L46" s="84"/>
      <c r="M46" s="84"/>
      <c r="N46" s="84"/>
      <c r="O46" s="84"/>
      <c r="P46" s="84"/>
      <c r="Q46" s="84"/>
      <c r="R46" s="99"/>
      <c r="S46" s="34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1:53" ht="15.75" customHeight="1" x14ac:dyDescent="0.2">
      <c r="A47" s="84"/>
      <c r="B47" s="85"/>
      <c r="C47" s="84"/>
      <c r="D47" s="85"/>
      <c r="E47" s="84"/>
      <c r="F47" s="84"/>
      <c r="G47" s="84"/>
      <c r="H47" s="84"/>
      <c r="I47" s="84"/>
      <c r="J47" s="86"/>
      <c r="K47" s="84"/>
      <c r="L47" s="84"/>
      <c r="M47" s="84"/>
      <c r="N47" s="84"/>
      <c r="O47" s="84"/>
      <c r="P47" s="84"/>
      <c r="Q47" s="84"/>
      <c r="R47" s="99"/>
      <c r="S47" s="34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1:53" ht="15.75" customHeight="1" x14ac:dyDescent="0.2">
      <c r="A48" s="84"/>
      <c r="B48" s="85"/>
      <c r="C48" s="84"/>
      <c r="D48" s="85"/>
      <c r="E48" s="84"/>
      <c r="F48" s="84"/>
      <c r="G48" s="84"/>
      <c r="H48" s="84"/>
      <c r="I48" s="84"/>
      <c r="J48" s="86"/>
      <c r="K48" s="84"/>
      <c r="L48" s="84"/>
      <c r="M48" s="84"/>
      <c r="N48" s="84"/>
      <c r="O48" s="84"/>
      <c r="P48" s="84"/>
      <c r="Q48" s="84"/>
      <c r="R48" s="99"/>
      <c r="S48" s="34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1:53" ht="15.75" customHeight="1" x14ac:dyDescent="0.2">
      <c r="A49" s="84"/>
      <c r="B49" s="85"/>
      <c r="C49" s="84"/>
      <c r="D49" s="85"/>
      <c r="E49" s="84"/>
      <c r="F49" s="84"/>
      <c r="G49" s="84"/>
      <c r="H49" s="84"/>
      <c r="I49" s="84"/>
      <c r="J49" s="86"/>
      <c r="K49" s="84"/>
      <c r="L49" s="84"/>
      <c r="M49" s="84"/>
      <c r="N49" s="84"/>
      <c r="O49" s="84"/>
      <c r="P49" s="84"/>
      <c r="Q49" s="84"/>
      <c r="R49" s="99"/>
      <c r="S49" s="34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1:53" ht="15.75" customHeight="1" x14ac:dyDescent="0.2">
      <c r="A50" s="84"/>
      <c r="B50" s="85"/>
      <c r="C50" s="84"/>
      <c r="D50" s="85"/>
      <c r="E50" s="84"/>
      <c r="F50" s="84"/>
      <c r="G50" s="84"/>
      <c r="H50" s="84"/>
      <c r="I50" s="84"/>
      <c r="J50" s="86"/>
      <c r="K50" s="84"/>
      <c r="L50" s="84"/>
      <c r="M50" s="84"/>
      <c r="N50" s="84"/>
      <c r="O50" s="84"/>
      <c r="P50" s="84"/>
      <c r="Q50" s="84"/>
      <c r="R50" s="99"/>
      <c r="S50" s="34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1:53" ht="15.75" customHeight="1" x14ac:dyDescent="0.2">
      <c r="A51" s="84"/>
      <c r="B51" s="85"/>
      <c r="C51" s="84"/>
      <c r="D51" s="85"/>
      <c r="E51" s="84"/>
      <c r="F51" s="84"/>
      <c r="G51" s="84"/>
      <c r="H51" s="84"/>
      <c r="I51" s="84"/>
      <c r="J51" s="86"/>
      <c r="K51" s="84"/>
      <c r="L51" s="84"/>
      <c r="M51" s="84"/>
      <c r="N51" s="84"/>
      <c r="O51" s="84"/>
      <c r="P51" s="84"/>
      <c r="Q51" s="84"/>
      <c r="R51" s="99"/>
      <c r="S51" s="34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1:53" ht="15.75" customHeight="1" x14ac:dyDescent="0.2">
      <c r="A52" s="84"/>
      <c r="B52" s="85"/>
      <c r="C52" s="84"/>
      <c r="D52" s="85"/>
      <c r="E52" s="84"/>
      <c r="F52" s="84"/>
      <c r="G52" s="84"/>
      <c r="H52" s="84"/>
      <c r="I52" s="84"/>
      <c r="J52" s="86"/>
      <c r="K52" s="84"/>
      <c r="L52" s="84"/>
      <c r="M52" s="84"/>
      <c r="N52" s="84"/>
      <c r="O52" s="84"/>
      <c r="P52" s="84"/>
      <c r="Q52" s="84"/>
      <c r="R52" s="99"/>
      <c r="S52" s="34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1:53" ht="15.75" customHeight="1" x14ac:dyDescent="0.2">
      <c r="A53" s="84"/>
      <c r="B53" s="85"/>
      <c r="C53" s="84"/>
      <c r="D53" s="85"/>
      <c r="E53" s="84"/>
      <c r="F53" s="84"/>
      <c r="G53" s="84"/>
      <c r="H53" s="84"/>
      <c r="I53" s="84"/>
      <c r="J53" s="86"/>
      <c r="K53" s="84"/>
      <c r="L53" s="84"/>
      <c r="M53" s="84"/>
      <c r="N53" s="84"/>
      <c r="O53" s="84"/>
      <c r="P53" s="84"/>
      <c r="Q53" s="84"/>
      <c r="R53" s="99"/>
      <c r="S53" s="34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1:53" ht="15.75" customHeight="1" x14ac:dyDescent="0.2">
      <c r="A54" s="84"/>
      <c r="B54" s="85"/>
      <c r="C54" s="84"/>
      <c r="D54" s="85"/>
      <c r="E54" s="84"/>
      <c r="F54" s="84"/>
      <c r="G54" s="84"/>
      <c r="H54" s="84"/>
      <c r="I54" s="84"/>
      <c r="J54" s="86"/>
      <c r="K54" s="84"/>
      <c r="L54" s="84"/>
      <c r="M54" s="84"/>
      <c r="N54" s="84"/>
      <c r="O54" s="84"/>
      <c r="P54" s="84"/>
      <c r="Q54" s="84"/>
      <c r="R54" s="99"/>
      <c r="S54" s="34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1:53" x14ac:dyDescent="0.2"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1:53" x14ac:dyDescent="0.2"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spans="1:53" x14ac:dyDescent="0.2"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spans="1:53" x14ac:dyDescent="0.2"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1:53" x14ac:dyDescent="0.2"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1:53" x14ac:dyDescent="0.2"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1:53" x14ac:dyDescent="0.2"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</sheetData>
  <mergeCells count="30">
    <mergeCell ref="J21:U22"/>
    <mergeCell ref="B29:C29"/>
    <mergeCell ref="D36:D37"/>
    <mergeCell ref="A21:A22"/>
    <mergeCell ref="B21:B22"/>
    <mergeCell ref="C21:D21"/>
    <mergeCell ref="E21:E22"/>
    <mergeCell ref="E36:E37"/>
    <mergeCell ref="J19:U19"/>
    <mergeCell ref="A36:A37"/>
    <mergeCell ref="C36:C37"/>
    <mergeCell ref="R36:R37"/>
    <mergeCell ref="A34:F34"/>
    <mergeCell ref="F36:F37"/>
    <mergeCell ref="G21:H21"/>
    <mergeCell ref="Q36:Q37"/>
    <mergeCell ref="G36:G37"/>
    <mergeCell ref="H36:H37"/>
    <mergeCell ref="I36:I37"/>
    <mergeCell ref="O36:P36"/>
    <mergeCell ref="J36:J37"/>
    <mergeCell ref="K36:L36"/>
    <mergeCell ref="M36:N36"/>
    <mergeCell ref="B36:B37"/>
    <mergeCell ref="A13:F16"/>
    <mergeCell ref="A28:B28"/>
    <mergeCell ref="A2:E2"/>
    <mergeCell ref="A4:F6"/>
    <mergeCell ref="A7:F9"/>
    <mergeCell ref="A19:E19"/>
  </mergeCells>
  <dataValidations count="3">
    <dataValidation type="list" showInputMessage="1" showErrorMessage="1" sqref="O38:O40">
      <formula1>$A$23:$A$27</formula1>
    </dataValidation>
    <dataValidation type="list" allowBlank="1" showInputMessage="1" showErrorMessage="1" sqref="P44 Q38:Q43">
      <formula1>$G$23:$G$24</formula1>
    </dataValidation>
    <dataValidation type="list" allowBlank="1" showInputMessage="1" showErrorMessage="1" promptTitle="TIPO DE COMISION" prompt="Cuando el trabajador aporte a la ONP está casilla se deja en Blanco." sqref="O44 P38:P43">
      <formula1>$C$22:$D$22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16"/>
  <sheetViews>
    <sheetView zoomScaleNormal="100" zoomScaleSheetLayoutView="100" workbookViewId="0">
      <selection activeCell="N2" sqref="N2"/>
    </sheetView>
  </sheetViews>
  <sheetFormatPr baseColWidth="10" defaultRowHeight="12.75" x14ac:dyDescent="0.2"/>
  <cols>
    <col min="1" max="1" width="3.5703125" style="114" customWidth="1"/>
    <col min="2" max="2" width="2.28515625" style="115" customWidth="1"/>
    <col min="3" max="3" width="11.85546875" style="115" customWidth="1"/>
    <col min="4" max="5" width="2.5703125" style="115" customWidth="1"/>
    <col min="6" max="6" width="9.5703125" style="115" customWidth="1"/>
    <col min="7" max="7" width="2" style="115" bestFit="1" customWidth="1"/>
    <col min="8" max="8" width="3.85546875" style="115" customWidth="1"/>
    <col min="9" max="11" width="4.42578125" style="115" customWidth="1"/>
    <col min="12" max="12" width="10.140625" style="115" customWidth="1"/>
    <col min="13" max="13" width="2.7109375" style="115" customWidth="1"/>
    <col min="14" max="14" width="4.42578125" style="115" customWidth="1"/>
    <col min="15" max="15" width="5" style="115" bestFit="1" customWidth="1"/>
    <col min="16" max="17" width="5" style="115" customWidth="1"/>
    <col min="18" max="18" width="6.28515625" style="115" customWidth="1"/>
    <col min="19" max="19" width="3.42578125" style="115" bestFit="1" customWidth="1"/>
    <col min="20" max="20" width="9" style="115" customWidth="1"/>
    <col min="21" max="21" width="13.140625" style="115" bestFit="1" customWidth="1"/>
    <col min="22" max="22" width="11.42578125" style="116" customWidth="1"/>
    <col min="23" max="23" width="0.85546875" style="115" customWidth="1"/>
    <col min="24" max="24" width="3.85546875" style="115" customWidth="1"/>
    <col min="25" max="25" width="11.42578125" style="115"/>
    <col min="26" max="27" width="11.42578125" style="117"/>
    <col min="28" max="16384" width="11.42578125" style="115"/>
  </cols>
  <sheetData>
    <row r="1" spans="1:26" ht="6" customHeight="1" x14ac:dyDescent="0.2"/>
    <row r="2" spans="1:26" ht="15.75" customHeight="1" x14ac:dyDescent="0.2">
      <c r="A2" s="118"/>
      <c r="B2" s="119"/>
      <c r="C2" s="120" t="s">
        <v>97</v>
      </c>
      <c r="D2" s="221">
        <v>1112</v>
      </c>
      <c r="E2" s="221"/>
      <c r="F2" s="115" t="s">
        <v>98</v>
      </c>
    </row>
    <row r="3" spans="1:26" ht="20.25" x14ac:dyDescent="0.2">
      <c r="A3" s="118"/>
      <c r="B3" s="119"/>
    </row>
    <row r="4" spans="1:26" x14ac:dyDescent="0.2">
      <c r="B4" s="222" t="s">
        <v>9</v>
      </c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</row>
    <row r="5" spans="1:26" x14ac:dyDescent="0.2">
      <c r="B5" s="222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</row>
    <row r="7" spans="1:26" x14ac:dyDescent="0.2">
      <c r="A7" s="114" t="s">
        <v>8</v>
      </c>
      <c r="B7" s="121" t="s">
        <v>10</v>
      </c>
    </row>
    <row r="8" spans="1:26" x14ac:dyDescent="0.2">
      <c r="B8" s="121"/>
    </row>
    <row r="9" spans="1:26" x14ac:dyDescent="0.2">
      <c r="C9" s="115" t="s">
        <v>22</v>
      </c>
      <c r="F9" s="18"/>
      <c r="H9" s="114"/>
      <c r="I9" s="122" t="s">
        <v>1</v>
      </c>
      <c r="J9" s="122"/>
      <c r="K9" s="122"/>
      <c r="L9" s="123"/>
      <c r="M9" s="124" t="str">
        <f>VLOOKUP(D2,TABLA,2,0)</f>
        <v>EDWIN HILARIO QUIROZ</v>
      </c>
      <c r="N9" s="123"/>
      <c r="O9" s="123"/>
      <c r="P9" s="123"/>
      <c r="Q9" s="123"/>
      <c r="R9" s="123"/>
      <c r="S9" s="123"/>
      <c r="V9" s="18"/>
    </row>
    <row r="10" spans="1:26" x14ac:dyDescent="0.2">
      <c r="C10" s="115" t="s">
        <v>5</v>
      </c>
      <c r="F10" s="18"/>
      <c r="H10" s="114"/>
      <c r="I10" s="122" t="s">
        <v>1</v>
      </c>
      <c r="J10" s="122"/>
      <c r="K10" s="122"/>
      <c r="L10" s="125"/>
      <c r="M10" s="223">
        <f>VLOOKUP(D2,TABLA1,3,0)</f>
        <v>45002320</v>
      </c>
      <c r="N10" s="223"/>
      <c r="O10" s="223"/>
      <c r="P10" s="223"/>
      <c r="Q10" s="223"/>
      <c r="R10" s="223"/>
      <c r="S10" s="223"/>
      <c r="T10" s="223"/>
      <c r="U10" s="126"/>
      <c r="V10" s="18"/>
      <c r="Z10" s="18"/>
    </row>
    <row r="11" spans="1:26" x14ac:dyDescent="0.2">
      <c r="C11" s="115" t="s">
        <v>6</v>
      </c>
      <c r="F11" s="18"/>
      <c r="H11" s="114"/>
      <c r="I11" s="122" t="s">
        <v>1</v>
      </c>
      <c r="J11" s="122"/>
      <c r="K11" s="122"/>
      <c r="L11" s="127"/>
      <c r="M11" s="223" t="str">
        <f>VLOOKUP(D2,TABLA1,4,0)</f>
        <v>ASISTENTE ADMINISTRATIVO</v>
      </c>
      <c r="N11" s="223"/>
      <c r="O11" s="223"/>
      <c r="P11" s="223"/>
      <c r="Q11" s="223"/>
      <c r="R11" s="223"/>
      <c r="S11" s="223"/>
      <c r="T11" s="223"/>
      <c r="U11" s="126"/>
      <c r="V11" s="18"/>
    </row>
    <row r="12" spans="1:26" x14ac:dyDescent="0.2">
      <c r="C12" s="115" t="s">
        <v>23</v>
      </c>
      <c r="F12" s="18"/>
      <c r="I12" s="122" t="s">
        <v>1</v>
      </c>
      <c r="J12" s="122"/>
      <c r="K12" s="122"/>
      <c r="L12" s="128"/>
      <c r="M12" s="224">
        <f>VLOOKUP(D2,TABLA1,5,0)</f>
        <v>42066</v>
      </c>
      <c r="N12" s="224"/>
      <c r="O12" s="224"/>
      <c r="P12" s="224"/>
      <c r="Q12" s="224"/>
      <c r="R12" s="224"/>
      <c r="S12" s="224"/>
      <c r="T12" s="224"/>
      <c r="U12" s="129"/>
      <c r="V12" s="18"/>
    </row>
    <row r="13" spans="1:26" x14ac:dyDescent="0.2">
      <c r="C13" s="115" t="s">
        <v>24</v>
      </c>
      <c r="F13" s="18"/>
      <c r="I13" s="122" t="s">
        <v>1</v>
      </c>
      <c r="J13" s="122"/>
      <c r="K13" s="122"/>
      <c r="L13" s="128"/>
      <c r="M13" s="224">
        <f>VLOOKUP(D2,TABLA1,6,0)</f>
        <v>42855</v>
      </c>
      <c r="N13" s="224"/>
      <c r="O13" s="224"/>
      <c r="P13" s="224"/>
      <c r="Q13" s="224"/>
      <c r="R13" s="224"/>
      <c r="S13" s="224"/>
      <c r="T13" s="224"/>
      <c r="U13" s="129"/>
      <c r="V13" s="18"/>
      <c r="Z13" s="115"/>
    </row>
    <row r="14" spans="1:26" x14ac:dyDescent="0.2">
      <c r="C14" s="115" t="s">
        <v>0</v>
      </c>
      <c r="F14" s="18"/>
      <c r="H14" s="114"/>
      <c r="I14" s="122" t="s">
        <v>1</v>
      </c>
      <c r="J14" s="122"/>
      <c r="K14" s="122"/>
      <c r="L14" s="130"/>
      <c r="M14" s="224" t="str">
        <f>VLOOKUP(D2,TABLA1,7,0)</f>
        <v>RENUNCIA</v>
      </c>
      <c r="N14" s="224"/>
      <c r="O14" s="224"/>
      <c r="P14" s="224"/>
      <c r="Q14" s="224"/>
      <c r="R14" s="224"/>
      <c r="S14" s="224"/>
      <c r="T14" s="224"/>
      <c r="U14" s="129"/>
      <c r="V14" s="18"/>
    </row>
    <row r="15" spans="1:26" x14ac:dyDescent="0.2">
      <c r="C15" s="115" t="s">
        <v>25</v>
      </c>
      <c r="F15" s="18"/>
      <c r="H15" s="114"/>
      <c r="I15" s="122" t="s">
        <v>1</v>
      </c>
      <c r="J15" s="122"/>
      <c r="K15" s="122"/>
      <c r="L15" s="130"/>
      <c r="M15" s="230">
        <f>VLOOKUP(D2,TABLA1,8,0)+VLOOKUP(D2,TABLA1,9,0)</f>
        <v>1700</v>
      </c>
      <c r="N15" s="230"/>
      <c r="O15" s="230"/>
      <c r="P15" s="230"/>
      <c r="Q15" s="230"/>
      <c r="R15" s="230"/>
      <c r="S15" s="230"/>
      <c r="T15" s="230"/>
      <c r="U15" s="131"/>
      <c r="V15" s="18"/>
    </row>
    <row r="16" spans="1:26" x14ac:dyDescent="0.2">
      <c r="C16" s="115" t="s">
        <v>26</v>
      </c>
      <c r="F16" s="18"/>
      <c r="H16" s="114"/>
      <c r="I16" s="122" t="s">
        <v>1</v>
      </c>
      <c r="J16" s="122"/>
      <c r="K16" s="122"/>
      <c r="L16" s="132"/>
      <c r="M16" s="124">
        <f>+INT(M17/360)</f>
        <v>2</v>
      </c>
      <c r="N16" s="122" t="s">
        <v>103</v>
      </c>
      <c r="O16" s="238">
        <f>INT((M17-360*M16)/30)</f>
        <v>1</v>
      </c>
      <c r="P16" s="238"/>
      <c r="Q16" s="239" t="s">
        <v>3</v>
      </c>
      <c r="R16" s="239"/>
      <c r="S16" s="133">
        <f>+M17-(M16*360+O16*30)</f>
        <v>28</v>
      </c>
      <c r="T16" s="122" t="s">
        <v>27</v>
      </c>
    </row>
    <row r="17" spans="1:22" x14ac:dyDescent="0.2">
      <c r="C17" s="125" t="s">
        <v>104</v>
      </c>
      <c r="F17" s="18"/>
      <c r="H17" s="114"/>
      <c r="I17" s="122" t="s">
        <v>1</v>
      </c>
      <c r="J17" s="122"/>
      <c r="K17" s="122"/>
      <c r="L17" s="132"/>
      <c r="M17" s="223">
        <f>(ROUND(DAYS360((EOMONTH(M12,-1)+1),(IF(EOMONTH(M13,0)=M13,EOMONTH(M13,0),EOMONTH(M13,-1))))/30,0)*30+(IF(EOMONTH(M13,0)=M13,0, DAY(M13))-DAY(M12)))+1</f>
        <v>778</v>
      </c>
      <c r="N17" s="223"/>
      <c r="O17" s="223"/>
      <c r="P17" s="134"/>
      <c r="Q17" s="122"/>
      <c r="R17" s="122"/>
      <c r="S17" s="133"/>
      <c r="T17" s="122"/>
    </row>
    <row r="18" spans="1:22" x14ac:dyDescent="0.2">
      <c r="T18" s="115" t="str">
        <f>+UPPER(C20)</f>
        <v/>
      </c>
    </row>
    <row r="20" spans="1:22" x14ac:dyDescent="0.2">
      <c r="A20" s="114" t="s">
        <v>12</v>
      </c>
      <c r="B20" s="135" t="str">
        <f>"COMPENSACIÓN POR TIEMPO DE SERVICIOS (C.T.S.)" &amp; " - [ " &amp; (ROUND(DAYS360((EOMONTH(M31,-1)+1),(IF(EOMONTH(S31,0)=S31,EOMONTH(S31,0),EOMONTH(S31,-1))))/30,0)*30+(IF(EOMONTH(S31,0)=S31,0, DAY(S31))-DAY(M31)))+1 &amp; " días ]"</f>
        <v>COMPENSACIÓN POR TIEMPO DE SERVICIOS (C.T.S.) - [ 180 días ]</v>
      </c>
      <c r="T20" s="115" t="str">
        <f>+UPPER(C21)</f>
        <v/>
      </c>
      <c r="V20" s="116">
        <f>+T38</f>
        <v>991.66666666666663</v>
      </c>
    </row>
    <row r="21" spans="1:22" x14ac:dyDescent="0.2">
      <c r="B21" s="18"/>
    </row>
    <row r="22" spans="1:22" x14ac:dyDescent="0.2">
      <c r="C22" s="18" t="s">
        <v>2</v>
      </c>
      <c r="D22" s="18"/>
      <c r="E22" s="18"/>
      <c r="F22" s="18"/>
    </row>
    <row r="23" spans="1:22" x14ac:dyDescent="0.2">
      <c r="C23" s="115" t="s">
        <v>32</v>
      </c>
      <c r="N23" s="136"/>
      <c r="O23" s="136"/>
      <c r="P23" s="136"/>
      <c r="Q23" s="136"/>
      <c r="R23" s="226">
        <f>VLOOKUP(D2,TABLA1,8,0)</f>
        <v>1700</v>
      </c>
      <c r="S23" s="226"/>
      <c r="T23" s="226"/>
      <c r="U23" s="136"/>
    </row>
    <row r="24" spans="1:22" x14ac:dyDescent="0.2">
      <c r="C24" s="115" t="s">
        <v>7</v>
      </c>
      <c r="N24" s="136"/>
      <c r="O24" s="136"/>
      <c r="P24" s="136"/>
      <c r="Q24" s="136"/>
      <c r="R24" s="226">
        <f>VLOOKUP(D2,TABLA1,9,0)</f>
        <v>0</v>
      </c>
      <c r="S24" s="226"/>
      <c r="T24" s="226"/>
      <c r="U24" s="136"/>
    </row>
    <row r="25" spans="1:22" x14ac:dyDescent="0.2">
      <c r="C25" s="115" t="s">
        <v>33</v>
      </c>
      <c r="N25" s="136"/>
      <c r="O25" s="136"/>
      <c r="P25" s="136"/>
      <c r="Q25" s="136"/>
      <c r="R25" s="226">
        <f>VLOOKUP(D2,TABLA1,10,0)/6</f>
        <v>283.33333333333331</v>
      </c>
      <c r="S25" s="226"/>
      <c r="T25" s="226"/>
      <c r="U25" s="136"/>
    </row>
    <row r="26" spans="1:22" x14ac:dyDescent="0.2">
      <c r="C26" s="115" t="s">
        <v>109</v>
      </c>
      <c r="N26" s="136"/>
      <c r="O26" s="136"/>
      <c r="P26" s="136"/>
      <c r="Q26" s="136"/>
      <c r="R26" s="136"/>
      <c r="S26" s="136"/>
      <c r="T26" s="136"/>
      <c r="U26" s="136"/>
    </row>
    <row r="27" spans="1:22" x14ac:dyDescent="0.2">
      <c r="C27" s="115" t="s">
        <v>110</v>
      </c>
      <c r="N27" s="136"/>
      <c r="O27" s="136"/>
      <c r="P27" s="136"/>
      <c r="Q27" s="136"/>
      <c r="R27" s="136"/>
      <c r="S27" s="136"/>
      <c r="T27" s="136"/>
      <c r="U27" s="136"/>
    </row>
    <row r="28" spans="1:22" x14ac:dyDescent="0.2">
      <c r="N28" s="136"/>
      <c r="O28" s="136"/>
      <c r="P28" s="136"/>
      <c r="Q28" s="136"/>
      <c r="R28" s="136"/>
      <c r="S28" s="136"/>
      <c r="T28" s="136"/>
      <c r="U28" s="136"/>
    </row>
    <row r="29" spans="1:22" x14ac:dyDescent="0.2">
      <c r="F29" s="137" t="s">
        <v>36</v>
      </c>
      <c r="N29" s="138"/>
      <c r="O29" s="138"/>
      <c r="P29" s="138"/>
      <c r="Q29" s="138"/>
      <c r="R29" s="227">
        <f>SUM(R23:T28)</f>
        <v>1983.3333333333333</v>
      </c>
      <c r="S29" s="228"/>
      <c r="T29" s="229"/>
      <c r="U29" s="138"/>
    </row>
    <row r="31" spans="1:22" x14ac:dyDescent="0.2">
      <c r="C31" s="115" t="s">
        <v>43</v>
      </c>
      <c r="H31" s="122" t="s">
        <v>1</v>
      </c>
      <c r="L31" s="115" t="s">
        <v>42</v>
      </c>
      <c r="M31" s="225">
        <f>VLOOKUP(D2,TABLA1,11,0)</f>
        <v>42675</v>
      </c>
      <c r="N31" s="225"/>
      <c r="O31" s="225"/>
      <c r="P31" s="139"/>
      <c r="Q31" s="139"/>
      <c r="R31" s="139" t="s">
        <v>31</v>
      </c>
      <c r="S31" s="225">
        <f>VLOOKUP(D2,TABLA1,12,0)</f>
        <v>42855</v>
      </c>
      <c r="T31" s="225"/>
      <c r="U31" s="139"/>
    </row>
    <row r="32" spans="1:22" x14ac:dyDescent="0.2">
      <c r="B32" s="18"/>
    </row>
    <row r="33" spans="1:27" x14ac:dyDescent="0.2">
      <c r="C33" s="121" t="s">
        <v>50</v>
      </c>
      <c r="G33" s="140"/>
      <c r="H33" s="140"/>
      <c r="I33" s="141"/>
      <c r="J33" s="141"/>
      <c r="K33" s="141"/>
      <c r="L33" s="141"/>
      <c r="M33" s="231">
        <f>DAYS360(M31,S31)</f>
        <v>179</v>
      </c>
      <c r="N33" s="231"/>
      <c r="O33" s="231"/>
      <c r="P33" s="141"/>
      <c r="Q33" s="141"/>
      <c r="R33" s="141"/>
      <c r="S33" s="141"/>
      <c r="X33" s="141"/>
      <c r="Y33" s="141"/>
    </row>
    <row r="34" spans="1:27" x14ac:dyDescent="0.2">
      <c r="C34" s="121"/>
      <c r="G34" s="140"/>
      <c r="H34" s="140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X34" s="141"/>
      <c r="Y34" s="141"/>
    </row>
    <row r="35" spans="1:27" x14ac:dyDescent="0.2">
      <c r="C35" s="115" t="s">
        <v>34</v>
      </c>
      <c r="F35" s="142">
        <f>INT((((ROUND(DAYS360((EOMONTH(M31,-1)+1),(IF(EOMONTH(S31,0)=S31,EOMONTH(S31,0),EOMONTH(S31,-1))))/30,0)*30+(IF(EOMONTH(S31,0)=S31,0, DAY(S31))-DAY(M31)))+1)-360*(INT(( (ROUND(DAYS360((EOMONTH(M31,-1)+1),(IF(EOMONTH(S31,0)=S31,EOMONTH(S31,0),EOMONTH(S31,-1))))/30,0)*30+(IF(EOMONTH(S31,0)=S31,0, DAY(S31))-DAY(M31)))+1)/360)))/30)</f>
        <v>6</v>
      </c>
      <c r="H35" s="143" t="s">
        <v>37</v>
      </c>
      <c r="I35" s="143"/>
      <c r="J35" s="143"/>
      <c r="K35" s="143"/>
      <c r="L35" s="144">
        <f>+R29</f>
        <v>1983.3333333333333</v>
      </c>
      <c r="M35" s="143"/>
      <c r="O35" s="143"/>
      <c r="P35" s="143"/>
      <c r="Q35" s="143"/>
      <c r="R35" s="115" t="s">
        <v>47</v>
      </c>
      <c r="T35" s="141">
        <f>+R29/12*F35</f>
        <v>991.66666666666663</v>
      </c>
      <c r="U35" s="141"/>
      <c r="Y35" s="145"/>
    </row>
    <row r="36" spans="1:27" x14ac:dyDescent="0.2">
      <c r="C36" s="115" t="s">
        <v>35</v>
      </c>
      <c r="F36" s="146">
        <f>+((ROUND(DAYS360((EOMONTH(M31,-1)+1),(IF(EOMONTH(S31,0)=S31,EOMONTH(S31,0),EOMONTH(S31,-1))))/30,0)*30+(IF(EOMONTH(S31,0)=S31,0, DAY(S31))-DAY(M31)))+1)-((INT(((ROUND(DAYS360((EOMONTH(M31,-1)+1),(IF(EOMONTH(S31,0)=S31,EOMONTH(S31,0),EOMONTH(S31,-1))))/30,0)*30+(IF(EOMONTH(S31,0)=S31,0, DAY(S31))-DAY(M31)))+1)/360))*360+F35*30)</f>
        <v>0</v>
      </c>
      <c r="H36" s="143" t="s">
        <v>37</v>
      </c>
      <c r="I36" s="143"/>
      <c r="J36" s="143"/>
      <c r="K36" s="143"/>
      <c r="L36" s="144">
        <f>+R29</f>
        <v>1983.3333333333333</v>
      </c>
      <c r="M36" s="143"/>
      <c r="O36" s="143"/>
      <c r="P36" s="143"/>
      <c r="Q36" s="143"/>
      <c r="R36" s="115" t="s">
        <v>47</v>
      </c>
      <c r="S36" s="141"/>
      <c r="T36" s="141">
        <f>+R29/12/30*F36</f>
        <v>0</v>
      </c>
      <c r="Y36" s="147"/>
      <c r="AA36" s="148"/>
    </row>
    <row r="37" spans="1:27" x14ac:dyDescent="0.2">
      <c r="C37" s="146"/>
      <c r="D37" s="146"/>
      <c r="E37" s="146"/>
      <c r="F37" s="146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9"/>
    </row>
    <row r="38" spans="1:27" ht="13.5" thickBot="1" x14ac:dyDescent="0.25">
      <c r="C38" s="146"/>
      <c r="D38" s="146"/>
      <c r="E38" s="146"/>
      <c r="F38" s="137" t="s">
        <v>38</v>
      </c>
      <c r="G38" s="123"/>
      <c r="H38" s="123"/>
      <c r="I38" s="150"/>
      <c r="J38" s="150"/>
      <c r="K38" s="150"/>
      <c r="L38" s="150"/>
      <c r="M38" s="150"/>
      <c r="N38" s="150"/>
      <c r="O38" s="150"/>
      <c r="P38" s="150"/>
      <c r="Q38" s="150"/>
      <c r="R38" s="151"/>
      <c r="S38" s="151"/>
      <c r="T38" s="152">
        <f>SUM(T35:T37)</f>
        <v>991.66666666666663</v>
      </c>
    </row>
    <row r="39" spans="1:27" ht="13.5" thickTop="1" x14ac:dyDescent="0.2"/>
    <row r="40" spans="1:27" x14ac:dyDescent="0.2">
      <c r="C40" s="153"/>
      <c r="D40" s="153"/>
      <c r="E40" s="153"/>
      <c r="F40" s="153"/>
    </row>
    <row r="41" spans="1:27" x14ac:dyDescent="0.2">
      <c r="A41" s="114" t="s">
        <v>39</v>
      </c>
      <c r="B41" s="121" t="str">
        <f>"VACACIONES" &amp; " - [ Vencidas " &amp;F55&amp;" años | Truncas " &amp;F59&amp;" Meses "&amp;F60&amp;" días"&amp;"]"</f>
        <v>VACACIONES - [ Vencidas 2 años | Truncas 1 Meses 28 días]</v>
      </c>
      <c r="V41" s="116">
        <f>+T62</f>
        <v>273.88888888888891</v>
      </c>
    </row>
    <row r="42" spans="1:27" x14ac:dyDescent="0.2">
      <c r="B42" s="121"/>
    </row>
    <row r="43" spans="1:27" x14ac:dyDescent="0.2">
      <c r="C43" s="18" t="s">
        <v>2</v>
      </c>
      <c r="D43" s="18"/>
      <c r="E43" s="18"/>
      <c r="F43" s="18"/>
      <c r="Z43" s="154"/>
    </row>
    <row r="44" spans="1:27" x14ac:dyDescent="0.2">
      <c r="C44" s="115" t="s">
        <v>32</v>
      </c>
      <c r="N44" s="136"/>
      <c r="O44" s="136"/>
      <c r="P44" s="136"/>
      <c r="Q44" s="136"/>
      <c r="R44" s="226">
        <f>VLOOKUP(D2,TABLA1,8,0)</f>
        <v>1700</v>
      </c>
      <c r="S44" s="226"/>
      <c r="T44" s="226"/>
      <c r="Z44" s="154"/>
    </row>
    <row r="45" spans="1:27" x14ac:dyDescent="0.2">
      <c r="C45" s="115" t="s">
        <v>7</v>
      </c>
      <c r="N45" s="136"/>
      <c r="O45" s="136"/>
      <c r="P45" s="136"/>
      <c r="Q45" s="136"/>
      <c r="R45" s="226">
        <f>VLOOKUP(D2,TABLA1,9,0)</f>
        <v>0</v>
      </c>
      <c r="S45" s="226"/>
      <c r="T45" s="226"/>
      <c r="Z45" s="154"/>
    </row>
    <row r="46" spans="1:27" x14ac:dyDescent="0.2">
      <c r="C46" s="115" t="s">
        <v>109</v>
      </c>
      <c r="N46" s="136"/>
      <c r="O46" s="136"/>
      <c r="P46" s="136"/>
      <c r="Q46" s="136"/>
      <c r="R46" s="136"/>
      <c r="S46" s="136"/>
      <c r="T46" s="136"/>
      <c r="Z46" s="154"/>
    </row>
    <row r="47" spans="1:27" x14ac:dyDescent="0.2">
      <c r="C47" s="115" t="s">
        <v>110</v>
      </c>
      <c r="N47" s="136"/>
      <c r="O47" s="136"/>
      <c r="P47" s="136"/>
      <c r="Q47" s="136"/>
      <c r="R47" s="136"/>
      <c r="S47" s="136"/>
      <c r="T47" s="136"/>
      <c r="Z47" s="154"/>
    </row>
    <row r="48" spans="1:27" x14ac:dyDescent="0.2">
      <c r="C48" s="153"/>
      <c r="D48" s="153"/>
      <c r="E48" s="153"/>
      <c r="F48" s="153"/>
      <c r="N48" s="155"/>
      <c r="O48" s="155"/>
      <c r="P48" s="155"/>
      <c r="Q48" s="155"/>
      <c r="R48" s="155"/>
      <c r="S48" s="155"/>
    </row>
    <row r="49" spans="2:26" x14ac:dyDescent="0.2">
      <c r="C49" s="153"/>
      <c r="D49" s="153"/>
      <c r="E49" s="153"/>
      <c r="F49" s="137" t="s">
        <v>36</v>
      </c>
      <c r="N49" s="138"/>
      <c r="O49" s="138"/>
      <c r="P49" s="138"/>
      <c r="Q49" s="138"/>
      <c r="R49" s="227">
        <f>SUM(R44:T47)</f>
        <v>1700</v>
      </c>
      <c r="S49" s="228"/>
      <c r="T49" s="229"/>
    </row>
    <row r="51" spans="2:26" x14ac:dyDescent="0.2">
      <c r="B51" s="121"/>
      <c r="C51" s="115" t="s">
        <v>111</v>
      </c>
      <c r="I51" s="122" t="s">
        <v>1</v>
      </c>
      <c r="J51" s="122"/>
      <c r="K51" s="122"/>
      <c r="L51" s="114" t="s">
        <v>42</v>
      </c>
      <c r="M51" s="225">
        <f>VLOOKUP(D2,TABLA1,5,0)</f>
        <v>42066</v>
      </c>
      <c r="N51" s="225"/>
      <c r="O51" s="225"/>
      <c r="P51" s="139"/>
      <c r="Q51" s="139"/>
      <c r="R51" s="156" t="s">
        <v>31</v>
      </c>
      <c r="S51" s="225">
        <f>VLOOKUP(D2,TABLA1,6,0)</f>
        <v>42855</v>
      </c>
      <c r="T51" s="225"/>
      <c r="Z51" s="157"/>
    </row>
    <row r="52" spans="2:26" x14ac:dyDescent="0.2">
      <c r="B52" s="121"/>
    </row>
    <row r="53" spans="2:26" x14ac:dyDescent="0.2">
      <c r="B53" s="121"/>
      <c r="C53" s="121" t="s">
        <v>44</v>
      </c>
      <c r="Z53" s="157"/>
    </row>
    <row r="54" spans="2:26" x14ac:dyDescent="0.2">
      <c r="B54" s="121"/>
      <c r="U54" s="111" t="s">
        <v>105</v>
      </c>
    </row>
    <row r="55" spans="2:26" x14ac:dyDescent="0.2">
      <c r="C55" s="122" t="s">
        <v>46</v>
      </c>
      <c r="F55" s="134">
        <f>+INT(((ROUND(DAYS360((EOMONTH(M51,-1)+1),(IF(EOMONTH(S51,0)=S51,EOMONTH(S51,0),EOMONTH(S51,-1))))/30,0)*30+(IF(EOMONTH(S51,0)=S51,0, DAY(S51))-DAY(M51)))+1)/360)</f>
        <v>2</v>
      </c>
      <c r="I55" s="115" t="s">
        <v>37</v>
      </c>
      <c r="L55" s="144">
        <f>+R49</f>
        <v>1700</v>
      </c>
      <c r="R55" s="115" t="s">
        <v>47</v>
      </c>
      <c r="T55" s="141">
        <f>+F55*L55</f>
        <v>3400</v>
      </c>
      <c r="U55" s="122" t="s">
        <v>106</v>
      </c>
    </row>
    <row r="56" spans="2:26" x14ac:dyDescent="0.2">
      <c r="D56" s="134"/>
      <c r="E56" s="134"/>
      <c r="F56" s="122"/>
      <c r="S56" s="141"/>
      <c r="T56" s="141"/>
    </row>
    <row r="57" spans="2:26" x14ac:dyDescent="0.2">
      <c r="C57" s="121" t="s">
        <v>45</v>
      </c>
      <c r="D57" s="134"/>
      <c r="E57" s="134"/>
      <c r="F57" s="122"/>
      <c r="R57" s="141"/>
      <c r="S57" s="141"/>
      <c r="T57" s="149"/>
    </row>
    <row r="58" spans="2:26" x14ac:dyDescent="0.2">
      <c r="D58" s="134"/>
      <c r="E58" s="134"/>
      <c r="F58" s="122"/>
    </row>
    <row r="59" spans="2:26" x14ac:dyDescent="0.2">
      <c r="C59" s="122" t="s">
        <v>3</v>
      </c>
      <c r="F59" s="134">
        <f>INT((((ROUND(DAYS360((EOMONTH(M51,-1)+1),(IF(EOMONTH(S51,0)=S51,EOMONTH(S51,0),EOMONTH(S51,-1))))/30,0)*30+(IF(EOMONTH(S51,0)=S51,0, DAY(S51))-DAY(M51)))+1)-360*F55)/30)</f>
        <v>1</v>
      </c>
      <c r="I59" s="115" t="s">
        <v>37</v>
      </c>
      <c r="L59" s="144">
        <f>+R49</f>
        <v>1700</v>
      </c>
      <c r="R59" s="115" t="s">
        <v>47</v>
      </c>
      <c r="T59" s="141">
        <f>L59/12*F59</f>
        <v>141.66666666666666</v>
      </c>
    </row>
    <row r="60" spans="2:26" x14ac:dyDescent="0.2">
      <c r="C60" s="122" t="s">
        <v>27</v>
      </c>
      <c r="F60" s="133">
        <f>+((ROUND(DAYS360((EOMONTH(M51,-1)+1),(IF(EOMONTH(S51,0)=S51,EOMONTH(S51,0),EOMONTH(S51,-1))))/30,0)*30+(IF(EOMONTH(S51,0)=S51,0, DAY(S51))-DAY(M51)))+1)-(F55*360+F59*30)</f>
        <v>28</v>
      </c>
      <c r="I60" s="115" t="s">
        <v>37</v>
      </c>
      <c r="L60" s="144">
        <f>+R49</f>
        <v>1700</v>
      </c>
      <c r="R60" s="115" t="s">
        <v>47</v>
      </c>
      <c r="T60" s="141">
        <f>(L60)/12/30*F60</f>
        <v>132.22222222222223</v>
      </c>
    </row>
    <row r="62" spans="2:26" ht="13.5" thickBot="1" x14ac:dyDescent="0.25">
      <c r="C62" s="158"/>
      <c r="D62" s="159"/>
      <c r="E62" s="159"/>
      <c r="F62" s="137" t="s">
        <v>48</v>
      </c>
      <c r="H62" s="126"/>
      <c r="I62" s="143"/>
      <c r="J62" s="143"/>
      <c r="K62" s="143"/>
      <c r="L62" s="144"/>
      <c r="M62" s="143"/>
      <c r="O62" s="143"/>
      <c r="P62" s="143"/>
      <c r="Q62" s="143"/>
      <c r="R62" s="151"/>
      <c r="S62" s="151"/>
      <c r="T62" s="152">
        <f>IF(U55="Si",SUM(T59:T60),IF(U55="No",SUM(T55:T60),U56+SUM(T59:T60)))</f>
        <v>273.88888888888891</v>
      </c>
    </row>
    <row r="63" spans="2:26" ht="13.5" thickTop="1" x14ac:dyDescent="0.2">
      <c r="C63" s="153"/>
      <c r="D63" s="153"/>
      <c r="E63" s="153"/>
      <c r="F63" s="153"/>
    </row>
    <row r="64" spans="2:26" x14ac:dyDescent="0.2">
      <c r="C64" s="153"/>
      <c r="D64" s="153"/>
      <c r="E64" s="153"/>
      <c r="F64" s="153"/>
    </row>
    <row r="65" spans="1:27" x14ac:dyDescent="0.2">
      <c r="A65" s="114" t="s">
        <v>49</v>
      </c>
      <c r="B65" s="121" t="str">
        <f>"GRATIFICACIONES" &amp; " - [ " &amp; (ROUND(DAYS360((EOMONTH(M75,-1)+1),(IF(EOMONTH(S75,0)=S75,EOMONTH(S75,0),EOMONTH(S75,-1))))/30,0)*30+(IF(EOMONTH(S75,0)=S75,0, DAY(S75))-DAY(M75)))+1 &amp; " días ] - solo meses completos de 30 días"</f>
        <v>GRATIFICACIONES - [ 120 días ] - solo meses completos de 30 días</v>
      </c>
      <c r="V65" s="116">
        <f>+R84</f>
        <v>1235.3333333333333</v>
      </c>
    </row>
    <row r="66" spans="1:27" x14ac:dyDescent="0.2">
      <c r="B66" s="121"/>
    </row>
    <row r="67" spans="1:27" x14ac:dyDescent="0.2">
      <c r="C67" s="18" t="s">
        <v>2</v>
      </c>
      <c r="D67" s="18"/>
      <c r="E67" s="18"/>
      <c r="F67" s="18"/>
      <c r="Z67" s="154"/>
    </row>
    <row r="68" spans="1:27" x14ac:dyDescent="0.2">
      <c r="C68" s="115" t="s">
        <v>32</v>
      </c>
      <c r="N68" s="136"/>
      <c r="O68" s="136"/>
      <c r="P68" s="136"/>
      <c r="Q68" s="136"/>
      <c r="R68" s="226">
        <f>VLOOKUP(D2,TABLA1,8,0)</f>
        <v>1700</v>
      </c>
      <c r="S68" s="226"/>
      <c r="T68" s="226"/>
      <c r="Z68" s="154"/>
    </row>
    <row r="69" spans="1:27" x14ac:dyDescent="0.2">
      <c r="C69" s="115" t="s">
        <v>7</v>
      </c>
      <c r="N69" s="136"/>
      <c r="O69" s="136"/>
      <c r="P69" s="136"/>
      <c r="Q69" s="136"/>
      <c r="R69" s="226">
        <f>VLOOKUP(D2,TABLA1,9,0)</f>
        <v>0</v>
      </c>
      <c r="S69" s="226"/>
      <c r="T69" s="226"/>
      <c r="Z69" s="154"/>
    </row>
    <row r="70" spans="1:27" x14ac:dyDescent="0.2">
      <c r="C70" s="115" t="s">
        <v>109</v>
      </c>
      <c r="N70" s="136"/>
      <c r="O70" s="136"/>
      <c r="P70" s="136"/>
      <c r="Q70" s="136"/>
      <c r="R70" s="136"/>
      <c r="S70" s="136"/>
      <c r="T70" s="136"/>
      <c r="Z70" s="154"/>
    </row>
    <row r="71" spans="1:27" x14ac:dyDescent="0.2">
      <c r="C71" s="115" t="s">
        <v>110</v>
      </c>
      <c r="N71" s="136"/>
      <c r="O71" s="136"/>
      <c r="P71" s="136"/>
      <c r="Q71" s="136"/>
      <c r="R71" s="136"/>
      <c r="S71" s="136"/>
      <c r="T71" s="136"/>
      <c r="Z71" s="154"/>
    </row>
    <row r="72" spans="1:27" x14ac:dyDescent="0.2">
      <c r="C72" s="153"/>
      <c r="D72" s="153"/>
      <c r="E72" s="153"/>
      <c r="F72" s="153"/>
      <c r="N72" s="155"/>
      <c r="O72" s="155"/>
      <c r="P72" s="155"/>
      <c r="Q72" s="155"/>
      <c r="R72" s="155"/>
      <c r="S72" s="155"/>
    </row>
    <row r="73" spans="1:27" x14ac:dyDescent="0.2">
      <c r="C73" s="153"/>
      <c r="D73" s="153"/>
      <c r="E73" s="153"/>
      <c r="F73" s="137" t="s">
        <v>36</v>
      </c>
      <c r="N73" s="138"/>
      <c r="O73" s="138"/>
      <c r="P73" s="138"/>
      <c r="Q73" s="138"/>
      <c r="R73" s="227">
        <f>SUM(R67:T71)</f>
        <v>1700</v>
      </c>
      <c r="S73" s="228"/>
      <c r="T73" s="229"/>
    </row>
    <row r="74" spans="1:27" x14ac:dyDescent="0.2">
      <c r="C74" s="153"/>
      <c r="D74" s="153"/>
      <c r="E74" s="153"/>
      <c r="F74" s="153"/>
      <c r="I74" s="138"/>
      <c r="J74" s="138"/>
      <c r="K74" s="138"/>
      <c r="L74" s="138"/>
      <c r="M74" s="138"/>
      <c r="N74" s="155"/>
      <c r="O74" s="155"/>
      <c r="P74" s="155"/>
      <c r="Q74" s="155"/>
      <c r="R74" s="155"/>
      <c r="S74" s="155"/>
    </row>
    <row r="75" spans="1:27" x14ac:dyDescent="0.2">
      <c r="B75" s="121"/>
      <c r="C75" s="115" t="s">
        <v>28</v>
      </c>
      <c r="I75" s="122" t="s">
        <v>1</v>
      </c>
      <c r="J75" s="122"/>
      <c r="K75" s="122"/>
      <c r="L75" s="114" t="s">
        <v>42</v>
      </c>
      <c r="M75" s="225">
        <f>VLOOKUP(D2,TABLA1,13,0)</f>
        <v>42736</v>
      </c>
      <c r="N75" s="225"/>
      <c r="O75" s="225"/>
      <c r="P75" s="139"/>
      <c r="Q75" s="139"/>
      <c r="R75" s="156" t="s">
        <v>31</v>
      </c>
      <c r="S75" s="225">
        <f>VLOOKUP(D2,TABLA1,14,0)</f>
        <v>42855</v>
      </c>
      <c r="T75" s="225"/>
      <c r="V75" s="225"/>
      <c r="W75" s="225"/>
    </row>
    <row r="76" spans="1:27" s="123" customFormat="1" ht="18" customHeight="1" x14ac:dyDescent="0.2">
      <c r="V76" s="160"/>
      <c r="Z76" s="161"/>
      <c r="AA76" s="161"/>
    </row>
    <row r="77" spans="1:27" x14ac:dyDescent="0.2">
      <c r="C77" s="121" t="s">
        <v>54</v>
      </c>
      <c r="D77" s="134"/>
      <c r="E77" s="134"/>
      <c r="F77" s="122"/>
      <c r="R77" s="141"/>
      <c r="S77" s="141"/>
      <c r="T77" s="149"/>
    </row>
    <row r="78" spans="1:27" x14ac:dyDescent="0.2">
      <c r="D78" s="134"/>
      <c r="E78" s="134"/>
      <c r="F78" s="122"/>
    </row>
    <row r="79" spans="1:27" ht="13.5" customHeight="1" x14ac:dyDescent="0.2">
      <c r="C79" s="137" t="s">
        <v>3</v>
      </c>
      <c r="F79" s="134">
        <f>INT((((ROUND(DAYS360((EOMONTH(M75,-1)+1),(IF(EOMONTH(S75,0)=S75,EOMONTH(S75,0),EOMONTH(S75,-1))))/30,0)*30+(IF(EOMONTH(S75,0)=S75,0, DAY(S75))-DAY(M75)))+1)-360*(INT(((ROUND(DAYS360((EOMONTH(M75,-1)+1),(IF(EOMONTH(S75,0)=S75,EOMONTH(S75,0),EOMONTH(S75,-1))))/30,0)*30+(IF(EOMONTH(S75,0)=S75,0, DAY(S75))-DAY(M75)))+1)/360)))/30)</f>
        <v>4</v>
      </c>
      <c r="I79" s="115" t="s">
        <v>37</v>
      </c>
      <c r="L79" s="144">
        <f>+R73</f>
        <v>1700</v>
      </c>
      <c r="R79" s="115" t="s">
        <v>47</v>
      </c>
      <c r="T79" s="141">
        <f>L79/6*F79</f>
        <v>1133.3333333333333</v>
      </c>
    </row>
    <row r="80" spans="1:27" ht="13.5" customHeight="1" x14ac:dyDescent="0.2">
      <c r="C80" s="137" t="s">
        <v>27</v>
      </c>
      <c r="F80" s="134">
        <f>((ROUND(DAYS360((EOMONTH(M75,-1)+1),(IF(EOMONTH(S75,0)=S75,EOMONTH(S75,0),EOMONTH(S75,-1))))/30,0)*30+(IF(EOMONTH(S75,0)=S75,0, DAY(S75))-DAY(M75)))+1)-((INT(((ROUND(DAYS360((EOMONTH(M75,-1)+1),(IF(EOMONTH(S75,0)=S75,EOMONTH(S75,0),EOMONTH(S75,-1))))/30,0)*30+(IF(EOMONTH(S75,0)=S75,0, DAY(S75))-DAY(M75)))+1)/360))*360+(INT((((ROUND(DAYS360((EOMONTH(M75,-1)+1),(IF(EOMONTH(S75,0)=S75,EOMONTH(S75,0),EOMONTH(S75,-1))))/30,0)*30+(IF(EOMONTH(S75,0)=S75,0, DAY(S75))-DAY(M75)))+1)-360*(INT(((ROUND(DAYS360((EOMONTH(M75,-1)+1),(IF(EOMONTH(S75,0)=S75,EOMONTH(S75,0),EOMONTH(S75,-1))))/30,0)*30+(IF(EOMONTH(S75,0)=S75,0, DAY(S75))-DAY(M75)))+1)/360)))/30))*30)</f>
        <v>0</v>
      </c>
      <c r="I80" s="115" t="s">
        <v>37</v>
      </c>
      <c r="L80" s="144">
        <f>+R73</f>
        <v>1700</v>
      </c>
      <c r="R80" s="115" t="s">
        <v>47</v>
      </c>
      <c r="T80" s="141">
        <f>(L80)/12/30*F80</f>
        <v>0</v>
      </c>
      <c r="U80" s="112" t="s">
        <v>108</v>
      </c>
      <c r="V80" s="113" t="s">
        <v>107</v>
      </c>
    </row>
    <row r="81" spans="1:27" ht="13.5" customHeight="1" x14ac:dyDescent="0.2">
      <c r="C81" s="137"/>
      <c r="F81" s="134"/>
      <c r="L81" s="144"/>
      <c r="T81" s="141"/>
    </row>
    <row r="82" spans="1:27" x14ac:dyDescent="0.2">
      <c r="C82" s="137" t="str">
        <f>PROPER("Bonificación proporcional por: " &amp; VLOOKUP(D2,TABLAS!$A$38:$Q$44,17,0))</f>
        <v>Bonificación Proporcional Por: Essalud</v>
      </c>
      <c r="F82" s="134"/>
      <c r="L82" s="162">
        <f>VLOOKUP(VLOOKUP(D2,TABLAS!$A$38:$Q$54,17,0),TABLAS!$G$23:$H$25,2,0)</f>
        <v>0.09</v>
      </c>
      <c r="R82" s="115" t="s">
        <v>47</v>
      </c>
      <c r="T82" s="141">
        <f>+T79*L82</f>
        <v>101.99999999999999</v>
      </c>
    </row>
    <row r="84" spans="1:27" ht="13.5" thickBot="1" x14ac:dyDescent="0.25">
      <c r="C84" s="158"/>
      <c r="D84" s="159"/>
      <c r="E84" s="159"/>
      <c r="F84" s="137" t="s">
        <v>112</v>
      </c>
      <c r="H84" s="126"/>
      <c r="I84" s="143"/>
      <c r="J84" s="143"/>
      <c r="K84" s="143"/>
      <c r="L84" s="144"/>
      <c r="M84" s="143"/>
      <c r="O84" s="143"/>
      <c r="P84" s="143"/>
      <c r="Q84" s="143"/>
      <c r="R84" s="237">
        <f>IF(V80="No",T79+T82,SUM(T79:T82))</f>
        <v>1235.3333333333333</v>
      </c>
      <c r="S84" s="237"/>
      <c r="T84" s="237"/>
    </row>
    <row r="85" spans="1:27" ht="13.5" thickTop="1" x14ac:dyDescent="0.2">
      <c r="C85" s="158"/>
      <c r="D85" s="159"/>
      <c r="E85" s="159"/>
      <c r="F85" s="137"/>
      <c r="H85" s="126"/>
      <c r="I85" s="143"/>
      <c r="J85" s="143"/>
      <c r="K85" s="143"/>
      <c r="L85" s="144"/>
      <c r="M85" s="143"/>
      <c r="O85" s="143"/>
      <c r="P85" s="143"/>
      <c r="Q85" s="143"/>
      <c r="R85" s="138"/>
      <c r="S85" s="138"/>
      <c r="T85" s="138"/>
    </row>
    <row r="86" spans="1:27" x14ac:dyDescent="0.2">
      <c r="A86" s="114" t="s">
        <v>56</v>
      </c>
      <c r="B86" s="18" t="s">
        <v>55</v>
      </c>
      <c r="C86" s="132"/>
      <c r="D86" s="132"/>
      <c r="E86" s="132"/>
      <c r="F86" s="132"/>
      <c r="T86" s="163"/>
      <c r="U86" s="163"/>
      <c r="V86" s="116">
        <f>-R102</f>
        <v>-35.605555555555561</v>
      </c>
    </row>
    <row r="87" spans="1:27" x14ac:dyDescent="0.2">
      <c r="C87" s="132"/>
      <c r="D87" s="132"/>
      <c r="E87" s="132"/>
      <c r="F87" s="132"/>
      <c r="T87" s="163"/>
      <c r="U87" s="163"/>
      <c r="Y87" s="123"/>
      <c r="Z87" s="161"/>
      <c r="AA87" s="161"/>
    </row>
    <row r="88" spans="1:27" x14ac:dyDescent="0.2">
      <c r="C88" s="137" t="s">
        <v>60</v>
      </c>
      <c r="D88" s="132"/>
      <c r="E88" s="132"/>
      <c r="F88" s="132"/>
      <c r="R88" s="240">
        <f>+T62</f>
        <v>273.88888888888891</v>
      </c>
      <c r="S88" s="241"/>
      <c r="T88" s="241"/>
      <c r="U88" s="163"/>
      <c r="Y88" s="123"/>
      <c r="Z88" s="161"/>
      <c r="AA88" s="161"/>
    </row>
    <row r="89" spans="1:27" x14ac:dyDescent="0.2">
      <c r="C89" s="137" t="s">
        <v>61</v>
      </c>
      <c r="D89" s="132"/>
      <c r="E89" s="132"/>
      <c r="F89" s="132"/>
      <c r="O89" s="144"/>
      <c r="P89" s="144"/>
      <c r="Q89" s="144"/>
      <c r="R89" s="231">
        <f>+T38+R84</f>
        <v>2227</v>
      </c>
      <c r="S89" s="241"/>
      <c r="T89" s="241"/>
      <c r="U89" s="163"/>
      <c r="Y89" s="123"/>
      <c r="Z89" s="161"/>
      <c r="AA89" s="161"/>
    </row>
    <row r="90" spans="1:27" x14ac:dyDescent="0.2">
      <c r="C90" s="137"/>
      <c r="D90" s="132"/>
      <c r="E90" s="132"/>
      <c r="F90" s="132"/>
      <c r="O90" s="144"/>
      <c r="P90" s="144"/>
      <c r="Q90" s="144"/>
      <c r="R90" s="164"/>
      <c r="S90" s="114"/>
      <c r="T90" s="114"/>
      <c r="U90" s="163"/>
      <c r="Y90" s="123"/>
      <c r="Z90" s="161"/>
      <c r="AA90" s="161"/>
    </row>
    <row r="91" spans="1:27" x14ac:dyDescent="0.2">
      <c r="C91" s="18" t="s">
        <v>62</v>
      </c>
      <c r="D91" s="132"/>
      <c r="E91" s="132"/>
      <c r="F91" s="132"/>
      <c r="L91" s="233" t="str">
        <f>VLOOKUP(D2,TABLA1,15,0)</f>
        <v>ONP</v>
      </c>
      <c r="M91" s="233"/>
      <c r="O91" s="144"/>
      <c r="P91" s="144"/>
      <c r="Q91" s="144"/>
      <c r="R91" s="164"/>
      <c r="U91" s="163"/>
      <c r="Y91" s="123"/>
      <c r="Z91" s="161"/>
      <c r="AA91" s="161"/>
    </row>
    <row r="92" spans="1:27" x14ac:dyDescent="0.2">
      <c r="C92" s="18"/>
      <c r="D92" s="132"/>
      <c r="E92" s="132"/>
      <c r="F92" s="132"/>
      <c r="O92" s="144"/>
      <c r="P92" s="144"/>
      <c r="Q92" s="144"/>
      <c r="R92" s="164"/>
      <c r="S92" s="139"/>
      <c r="T92" s="139"/>
      <c r="U92" s="163"/>
      <c r="Y92" s="123"/>
      <c r="Z92" s="161"/>
      <c r="AA92" s="161"/>
    </row>
    <row r="93" spans="1:27" x14ac:dyDescent="0.2">
      <c r="F93" s="137" t="s">
        <v>57</v>
      </c>
      <c r="J93" s="165"/>
      <c r="K93" s="165"/>
      <c r="L93" s="232">
        <f>IF(L91&lt;&gt;"ONP",VLOOKUP(L91,AFP,2,0),0)</f>
        <v>0</v>
      </c>
      <c r="M93" s="232"/>
      <c r="R93" s="115" t="s">
        <v>47</v>
      </c>
      <c r="T93" s="141">
        <f>+L93*R88</f>
        <v>0</v>
      </c>
      <c r="Y93" s="123"/>
      <c r="Z93" s="161"/>
      <c r="AA93" s="161"/>
    </row>
    <row r="94" spans="1:27" x14ac:dyDescent="0.2">
      <c r="F94" s="137" t="s">
        <v>58</v>
      </c>
      <c r="J94" s="166"/>
      <c r="K94" s="166"/>
      <c r="L94" s="232">
        <f>IF(L91&lt;&gt;"ONP",VLOOKUP(L91,AFP,5,0),0)</f>
        <v>0</v>
      </c>
      <c r="M94" s="232"/>
      <c r="R94" s="115" t="s">
        <v>47</v>
      </c>
      <c r="T94" s="141">
        <f>+L94*R88</f>
        <v>0</v>
      </c>
      <c r="Y94" s="123"/>
      <c r="Z94" s="161"/>
      <c r="AA94" s="161"/>
    </row>
    <row r="95" spans="1:27" x14ac:dyDescent="0.2">
      <c r="C95" s="153"/>
      <c r="D95" s="153"/>
      <c r="E95" s="153"/>
      <c r="F95" s="137" t="s">
        <v>59</v>
      </c>
      <c r="G95" s="137"/>
      <c r="I95" s="241">
        <f>VLOOKUP(D2,TABLA,16,0)</f>
        <v>0</v>
      </c>
      <c r="J95" s="241"/>
      <c r="K95" s="241"/>
      <c r="L95" s="232">
        <f>IF(L91&lt;&gt;"ONP",IF(I95="Flujo",VLOOKUP(L91,AFP,3,0),VLOOKUP(L91,AFP,4,0)),0)</f>
        <v>0</v>
      </c>
      <c r="M95" s="232"/>
      <c r="N95" s="163"/>
      <c r="O95" s="163"/>
      <c r="P95" s="163"/>
      <c r="Q95" s="163"/>
      <c r="R95" s="115" t="s">
        <v>47</v>
      </c>
      <c r="T95" s="141">
        <f>+L95*R88</f>
        <v>0</v>
      </c>
      <c r="U95" s="163"/>
      <c r="Y95" s="123"/>
      <c r="Z95" s="161"/>
      <c r="AA95" s="161"/>
    </row>
    <row r="96" spans="1:27" x14ac:dyDescent="0.2">
      <c r="C96" s="153"/>
      <c r="D96" s="153"/>
      <c r="E96" s="153"/>
      <c r="F96" s="137" t="s">
        <v>75</v>
      </c>
      <c r="G96" s="137"/>
      <c r="I96" s="114"/>
      <c r="J96" s="114"/>
      <c r="K96" s="114"/>
      <c r="L96" s="232">
        <f>IF(L91="ONP",VLOOKUP(L91,AFP,2,0),0)</f>
        <v>0.13</v>
      </c>
      <c r="M96" s="232"/>
      <c r="N96" s="163"/>
      <c r="O96" s="163"/>
      <c r="P96" s="163"/>
      <c r="Q96" s="163"/>
      <c r="R96" s="115" t="s">
        <v>47</v>
      </c>
      <c r="T96" s="141">
        <f>+L96*R88</f>
        <v>35.605555555555561</v>
      </c>
      <c r="U96" s="163"/>
      <c r="Y96" s="123"/>
      <c r="Z96" s="161"/>
      <c r="AA96" s="161"/>
    </row>
    <row r="97" spans="3:22" x14ac:dyDescent="0.2">
      <c r="C97" s="153"/>
      <c r="D97" s="153"/>
      <c r="E97" s="153"/>
      <c r="F97" s="137"/>
      <c r="G97" s="137"/>
      <c r="I97" s="167"/>
      <c r="J97" s="167"/>
      <c r="K97" s="167"/>
      <c r="L97" s="232"/>
      <c r="M97" s="232"/>
      <c r="N97" s="163"/>
      <c r="O97" s="163"/>
      <c r="P97" s="163"/>
      <c r="Q97" s="163"/>
      <c r="T97" s="141"/>
      <c r="U97" s="163"/>
    </row>
    <row r="98" spans="3:22" x14ac:dyDescent="0.2">
      <c r="C98" s="153"/>
      <c r="D98" s="153"/>
      <c r="E98" s="153"/>
      <c r="F98" s="137"/>
      <c r="G98" s="137"/>
      <c r="I98" s="167"/>
      <c r="J98" s="167"/>
      <c r="K98" s="167"/>
      <c r="L98" s="167"/>
      <c r="M98" s="163"/>
      <c r="N98" s="163"/>
      <c r="O98" s="163"/>
      <c r="P98" s="163"/>
      <c r="Q98" s="163"/>
      <c r="R98" s="234">
        <f>SUM(T93:T96)</f>
        <v>35.605555555555561</v>
      </c>
      <c r="S98" s="235"/>
      <c r="T98" s="236"/>
      <c r="U98" s="163"/>
    </row>
    <row r="99" spans="3:22" x14ac:dyDescent="0.2">
      <c r="C99" s="153"/>
      <c r="D99" s="153"/>
      <c r="E99" s="153"/>
      <c r="F99" s="137"/>
      <c r="G99" s="137"/>
      <c r="I99" s="167"/>
      <c r="J99" s="167"/>
      <c r="K99" s="167"/>
      <c r="L99" s="167"/>
      <c r="M99" s="163"/>
      <c r="N99" s="163"/>
      <c r="O99" s="163"/>
      <c r="P99" s="163"/>
      <c r="Q99" s="163"/>
      <c r="R99" s="168"/>
      <c r="S99" s="146"/>
      <c r="T99" s="146"/>
      <c r="U99" s="163"/>
    </row>
    <row r="100" spans="3:22" x14ac:dyDescent="0.2">
      <c r="C100" s="18" t="s">
        <v>71</v>
      </c>
      <c r="D100" s="132"/>
      <c r="E100" s="132"/>
      <c r="F100" s="132"/>
      <c r="N100" s="163"/>
      <c r="O100" s="163"/>
      <c r="P100" s="163"/>
      <c r="Q100" s="163"/>
      <c r="R100" s="234">
        <f>VLOOKUP(D2,TABLA1,18,0)</f>
        <v>0</v>
      </c>
      <c r="S100" s="235"/>
      <c r="T100" s="236"/>
      <c r="U100" s="163"/>
    </row>
    <row r="101" spans="3:22" x14ac:dyDescent="0.2">
      <c r="C101" s="153"/>
      <c r="D101" s="153"/>
      <c r="E101" s="153"/>
      <c r="F101" s="137"/>
      <c r="G101" s="137"/>
      <c r="I101" s="167"/>
      <c r="J101" s="167"/>
      <c r="K101" s="167"/>
      <c r="L101" s="167"/>
      <c r="M101" s="163"/>
      <c r="N101" s="163"/>
      <c r="O101" s="163"/>
      <c r="P101" s="163"/>
      <c r="Q101" s="163"/>
      <c r="T101" s="141"/>
      <c r="U101" s="163"/>
    </row>
    <row r="102" spans="3:22" ht="13.5" thickBot="1" x14ac:dyDescent="0.25">
      <c r="D102" s="137"/>
      <c r="E102" s="137"/>
      <c r="F102" s="137" t="s">
        <v>70</v>
      </c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237">
        <f>+R100+R98</f>
        <v>35.605555555555561</v>
      </c>
      <c r="S102" s="237"/>
      <c r="T102" s="237"/>
      <c r="U102" s="169"/>
    </row>
    <row r="103" spans="3:22" ht="13.5" thickTop="1" x14ac:dyDescent="0.2"/>
    <row r="104" spans="3:22" x14ac:dyDescent="0.2">
      <c r="C104" s="132"/>
      <c r="D104" s="132"/>
      <c r="E104" s="132"/>
      <c r="F104" s="132"/>
      <c r="T104" s="163"/>
      <c r="U104" s="163"/>
    </row>
    <row r="106" spans="3:22" ht="13.5" thickBot="1" x14ac:dyDescent="0.25">
      <c r="C106" s="18" t="s">
        <v>4</v>
      </c>
      <c r="D106" s="18"/>
      <c r="E106" s="18"/>
      <c r="F106" s="18"/>
      <c r="V106" s="170">
        <f>SUM(V20:V105)</f>
        <v>2465.2833333333333</v>
      </c>
    </row>
    <row r="107" spans="3:22" ht="13.5" thickTop="1" x14ac:dyDescent="0.2"/>
    <row r="108" spans="3:22" x14ac:dyDescent="0.2">
      <c r="C108" s="242" t="s">
        <v>73</v>
      </c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</row>
    <row r="109" spans="3:22" x14ac:dyDescent="0.2"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</row>
    <row r="110" spans="3:22" x14ac:dyDescent="0.2">
      <c r="C110" s="242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</row>
    <row r="112" spans="3:22" x14ac:dyDescent="0.2">
      <c r="C112" s="115" t="s">
        <v>96</v>
      </c>
    </row>
    <row r="115" spans="3:23" x14ac:dyDescent="0.2">
      <c r="C115" s="123"/>
      <c r="D115" s="123"/>
      <c r="E115" s="123"/>
      <c r="F115" s="123"/>
      <c r="Q115" s="243" t="str">
        <f>+M9</f>
        <v>EDWIN HILARIO QUIROZ</v>
      </c>
      <c r="R115" s="243"/>
      <c r="S115" s="243"/>
      <c r="T115" s="243"/>
      <c r="U115" s="243"/>
      <c r="V115" s="243"/>
      <c r="W115" s="171"/>
    </row>
    <row r="116" spans="3:23" x14ac:dyDescent="0.2">
      <c r="C116" s="123"/>
      <c r="Q116" s="238" t="str">
        <f>CONCATENATE(C10," ",M10)</f>
        <v>DNI 45002320</v>
      </c>
      <c r="R116" s="238"/>
      <c r="S116" s="238"/>
      <c r="T116" s="238"/>
      <c r="U116" s="238"/>
      <c r="V116" s="238"/>
    </row>
  </sheetData>
  <mergeCells count="45">
    <mergeCell ref="R102:T102"/>
    <mergeCell ref="R84:T84"/>
    <mergeCell ref="Q116:V116"/>
    <mergeCell ref="Q16:R16"/>
    <mergeCell ref="R73:T73"/>
    <mergeCell ref="S75:T75"/>
    <mergeCell ref="R88:T88"/>
    <mergeCell ref="R89:T89"/>
    <mergeCell ref="C108:V110"/>
    <mergeCell ref="O16:P16"/>
    <mergeCell ref="R68:T68"/>
    <mergeCell ref="R49:T49"/>
    <mergeCell ref="V75:W75"/>
    <mergeCell ref="Q115:V115"/>
    <mergeCell ref="I95:K95"/>
    <mergeCell ref="R98:T98"/>
    <mergeCell ref="R100:T100"/>
    <mergeCell ref="L95:M95"/>
    <mergeCell ref="L94:M94"/>
    <mergeCell ref="L93:M93"/>
    <mergeCell ref="L97:M97"/>
    <mergeCell ref="R69:T69"/>
    <mergeCell ref="S51:T51"/>
    <mergeCell ref="M51:O51"/>
    <mergeCell ref="L96:M96"/>
    <mergeCell ref="R44:T44"/>
    <mergeCell ref="M75:O75"/>
    <mergeCell ref="L91:M91"/>
    <mergeCell ref="S31:T31"/>
    <mergeCell ref="R24:T24"/>
    <mergeCell ref="R25:T25"/>
    <mergeCell ref="R45:T45"/>
    <mergeCell ref="M13:T13"/>
    <mergeCell ref="R29:T29"/>
    <mergeCell ref="M14:T14"/>
    <mergeCell ref="R23:T23"/>
    <mergeCell ref="M31:O31"/>
    <mergeCell ref="M15:T15"/>
    <mergeCell ref="M33:O33"/>
    <mergeCell ref="M17:O17"/>
    <mergeCell ref="D2:E2"/>
    <mergeCell ref="B4:V5"/>
    <mergeCell ref="M10:T10"/>
    <mergeCell ref="M11:T11"/>
    <mergeCell ref="M12:T12"/>
  </mergeCells>
  <conditionalFormatting sqref="T80">
    <cfRule type="expression" dxfId="1" priority="3" stopIfTrue="1">
      <formula>AND($V$80="No")</formula>
    </cfRule>
  </conditionalFormatting>
  <conditionalFormatting sqref="U56">
    <cfRule type="expression" dxfId="0" priority="1" stopIfTrue="1">
      <formula>AND(U55="Una parte")</formula>
    </cfRule>
  </conditionalFormatting>
  <dataValidations disablePrompts="1" count="2">
    <dataValidation type="list" allowBlank="1" showInputMessage="1" showErrorMessage="1" sqref="U55">
      <formula1>"Si, No, Una parte"</formula1>
    </dataValidation>
    <dataValidation type="list" allowBlank="1" showInputMessage="1" showErrorMessage="1" sqref="V80">
      <formula1>"Si, No"</formula1>
    </dataValidation>
  </dataValidations>
  <pageMargins left="0.70866141732283472" right="0.70866141732283472" top="0.74803149606299213" bottom="0.74803149606299213" header="0.31496062992125984" footer="0.31496062992125984"/>
  <pageSetup paperSize="9" scale="55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TABLAS!$A$38:$A$54</xm:f>
          </x14:formula1>
          <xm:sqref>D2:E2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PRESENTACION</vt:lpstr>
      <vt:lpstr>TABLAS</vt:lpstr>
      <vt:lpstr>LIQUIDACIÓN</vt:lpstr>
      <vt:lpstr>AFP</vt:lpstr>
      <vt:lpstr>LIQUIDACIÓN!Área_de_impresión</vt:lpstr>
      <vt:lpstr>TABLA</vt:lpstr>
      <vt:lpstr>TABLA1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conta05</dc:creator>
  <cp:lastModifiedBy>ExcelNegocios</cp:lastModifiedBy>
  <cp:lastPrinted>2017-07-07T15:39:30Z</cp:lastPrinted>
  <dcterms:created xsi:type="dcterms:W3CDTF">2009-06-15T16:45:09Z</dcterms:created>
  <dcterms:modified xsi:type="dcterms:W3CDTF">2017-12-07T23:43:23Z</dcterms:modified>
</cp:coreProperties>
</file>