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6740" windowHeight="8100" activeTab="2"/>
  </bookViews>
  <sheets>
    <sheet name="Circle Radius" sheetId="1" r:id="rId1"/>
    <sheet name="Circle Point" sheetId="2" r:id="rId2"/>
    <sheet name="Polar to Cartesian Coords" sheetId="4" r:id="rId3"/>
    <sheet name="30 Pixel Layout" sheetId="5" r:id="rId4"/>
    <sheet name="20 Pixel Layout" sheetId="6" r:id="rId5"/>
  </sheets>
  <definedNames>
    <definedName name="CenterX" localSheetId="4">'Circle Radius'!#REF!</definedName>
    <definedName name="CenterX" localSheetId="3">'Circle Radius'!#REF!</definedName>
    <definedName name="CenterX">'Circle Radius'!#REF!</definedName>
    <definedName name="CenterY" localSheetId="4">'Circle Radius'!#REF!</definedName>
    <definedName name="CenterY" localSheetId="3">'Circle Radius'!#REF!</definedName>
    <definedName name="CenterY">'Circle Radius'!#REF!</definedName>
    <definedName name="LEDCount" localSheetId="4">'20 Pixel Layout'!$N$7</definedName>
    <definedName name="LEDCount" localSheetId="3">'30 Pixel Layout'!$N$7</definedName>
    <definedName name="LEDCount">'Polar to Cartesian Coords'!$N$7</definedName>
    <definedName name="LEDSize" localSheetId="4">'20 Pixel Layout'!$N$8</definedName>
    <definedName name="LEDSize" localSheetId="3">'30 Pixel Layout'!$N$8</definedName>
    <definedName name="LEDSize">'Polar to Cartesian Coords'!$N$8</definedName>
    <definedName name="PointX" localSheetId="4">'Circle Radius'!#REF!</definedName>
    <definedName name="PointX" localSheetId="3">'Circle Radius'!#REF!</definedName>
    <definedName name="PointX">'Circle Radius'!#REF!</definedName>
    <definedName name="PointY" localSheetId="4">'Circle Radius'!#REF!</definedName>
    <definedName name="PointY" localSheetId="3">'Circle Radius'!#REF!</definedName>
    <definedName name="PointY">'Circle Radius'!#REF!</definedName>
    <definedName name="RadiansInDegree" localSheetId="4">'20 Pixel Layout'!$N$4</definedName>
    <definedName name="RadiansInDegree" localSheetId="3">'30 Pixel Layout'!$N$4</definedName>
    <definedName name="RadiansInDegree">'Polar to Cartesian Coords'!$N$4</definedName>
    <definedName name="Radius" localSheetId="4">'20 Pixel Layout'!$N$6</definedName>
    <definedName name="Radius" localSheetId="3">'30 Pixel Layout'!$N$6</definedName>
    <definedName name="Radius">'Polar to Cartesian Coords'!$N$6</definedName>
    <definedName name="RingRadius" localSheetId="4">'20 Pixel Layout'!$N$5</definedName>
    <definedName name="RingRadius" localSheetId="3">'30 Pixel Layout'!$N$5</definedName>
    <definedName name="RingRadius">'Polar to Cartesian Coords'!$N$5</definedName>
    <definedName name="Xo" localSheetId="4">'20 Pixel Layout'!$N$9</definedName>
    <definedName name="Xo" localSheetId="3">'30 Pixel Layout'!$N$9</definedName>
    <definedName name="Xo">'Polar to Cartesian Coords'!$N$9</definedName>
    <definedName name="Yo" localSheetId="4">'20 Pixel Layout'!$N$10</definedName>
    <definedName name="Yo" localSheetId="3">'30 Pixel Layout'!$N$10</definedName>
    <definedName name="Yo">'Polar to Cartesian Coords'!$N$10</definedName>
  </definedNames>
  <calcPr calcId="145621" concurrentCalc="0"/>
</workbook>
</file>

<file path=xl/calcChain.xml><?xml version="1.0" encoding="utf-8"?>
<calcChain xmlns="http://schemas.openxmlformats.org/spreadsheetml/2006/main">
  <c r="N6" i="6" l="1"/>
  <c r="C22" i="6"/>
  <c r="D22" i="6"/>
  <c r="F22" i="6"/>
  <c r="I22" i="6"/>
  <c r="E22" i="6"/>
  <c r="J22" i="6"/>
  <c r="K22" i="6"/>
  <c r="H22" i="6"/>
  <c r="C21" i="6"/>
  <c r="D21" i="6"/>
  <c r="F21" i="6"/>
  <c r="I21" i="6"/>
  <c r="E21" i="6"/>
  <c r="J21" i="6"/>
  <c r="K21" i="6"/>
  <c r="H21" i="6"/>
  <c r="C20" i="6"/>
  <c r="D20" i="6"/>
  <c r="F20" i="6"/>
  <c r="I20" i="6"/>
  <c r="E20" i="6"/>
  <c r="J20" i="6"/>
  <c r="K20" i="6"/>
  <c r="H20" i="6"/>
  <c r="C19" i="6"/>
  <c r="D19" i="6"/>
  <c r="F19" i="6"/>
  <c r="I19" i="6"/>
  <c r="E19" i="6"/>
  <c r="J19" i="6"/>
  <c r="K19" i="6"/>
  <c r="H19" i="6"/>
  <c r="C18" i="6"/>
  <c r="D18" i="6"/>
  <c r="F18" i="6"/>
  <c r="I18" i="6"/>
  <c r="E18" i="6"/>
  <c r="J18" i="6"/>
  <c r="K18" i="6"/>
  <c r="H18" i="6"/>
  <c r="C17" i="6"/>
  <c r="D17" i="6"/>
  <c r="F17" i="6"/>
  <c r="I17" i="6"/>
  <c r="E17" i="6"/>
  <c r="J17" i="6"/>
  <c r="K17" i="6"/>
  <c r="H17" i="6"/>
  <c r="C16" i="6"/>
  <c r="D16" i="6"/>
  <c r="F16" i="6"/>
  <c r="I16" i="6"/>
  <c r="E16" i="6"/>
  <c r="J16" i="6"/>
  <c r="K16" i="6"/>
  <c r="H16" i="6"/>
  <c r="C15" i="6"/>
  <c r="D15" i="6"/>
  <c r="F15" i="6"/>
  <c r="I15" i="6"/>
  <c r="E15" i="6"/>
  <c r="J15" i="6"/>
  <c r="K15" i="6"/>
  <c r="H15" i="6"/>
  <c r="C14" i="6"/>
  <c r="D14" i="6"/>
  <c r="F14" i="6"/>
  <c r="I14" i="6"/>
  <c r="E14" i="6"/>
  <c r="J14" i="6"/>
  <c r="K14" i="6"/>
  <c r="H14" i="6"/>
  <c r="C13" i="6"/>
  <c r="D13" i="6"/>
  <c r="F13" i="6"/>
  <c r="I13" i="6"/>
  <c r="E13" i="6"/>
  <c r="J13" i="6"/>
  <c r="K13" i="6"/>
  <c r="H13" i="6"/>
  <c r="C12" i="6"/>
  <c r="D12" i="6"/>
  <c r="F12" i="6"/>
  <c r="I12" i="6"/>
  <c r="E12" i="6"/>
  <c r="J12" i="6"/>
  <c r="K12" i="6"/>
  <c r="H12" i="6"/>
  <c r="C11" i="6"/>
  <c r="D11" i="6"/>
  <c r="F11" i="6"/>
  <c r="I11" i="6"/>
  <c r="E11" i="6"/>
  <c r="J11" i="6"/>
  <c r="K11" i="6"/>
  <c r="H11" i="6"/>
  <c r="C10" i="6"/>
  <c r="D10" i="6"/>
  <c r="F10" i="6"/>
  <c r="I10" i="6"/>
  <c r="E10" i="6"/>
  <c r="J10" i="6"/>
  <c r="K10" i="6"/>
  <c r="H10" i="6"/>
  <c r="C9" i="6"/>
  <c r="D9" i="6"/>
  <c r="F9" i="6"/>
  <c r="I9" i="6"/>
  <c r="E9" i="6"/>
  <c r="J9" i="6"/>
  <c r="K9" i="6"/>
  <c r="H9" i="6"/>
  <c r="C8" i="6"/>
  <c r="D8" i="6"/>
  <c r="F8" i="6"/>
  <c r="I8" i="6"/>
  <c r="E8" i="6"/>
  <c r="J8" i="6"/>
  <c r="K8" i="6"/>
  <c r="H8" i="6"/>
  <c r="C7" i="6"/>
  <c r="D7" i="6"/>
  <c r="F7" i="6"/>
  <c r="I7" i="6"/>
  <c r="E7" i="6"/>
  <c r="J7" i="6"/>
  <c r="K7" i="6"/>
  <c r="H7" i="6"/>
  <c r="C6" i="6"/>
  <c r="D6" i="6"/>
  <c r="F6" i="6"/>
  <c r="I6" i="6"/>
  <c r="E6" i="6"/>
  <c r="J6" i="6"/>
  <c r="K6" i="6"/>
  <c r="H6" i="6"/>
  <c r="C5" i="6"/>
  <c r="D5" i="6"/>
  <c r="F5" i="6"/>
  <c r="I5" i="6"/>
  <c r="E5" i="6"/>
  <c r="J5" i="6"/>
  <c r="K5" i="6"/>
  <c r="H5" i="6"/>
  <c r="C4" i="6"/>
  <c r="D4" i="6"/>
  <c r="F4" i="6"/>
  <c r="I4" i="6"/>
  <c r="E4" i="6"/>
  <c r="J4" i="6"/>
  <c r="K4" i="6"/>
  <c r="H4" i="6"/>
  <c r="C3" i="6"/>
  <c r="D3" i="6"/>
  <c r="F3" i="6"/>
  <c r="I3" i="6"/>
  <c r="E3" i="6"/>
  <c r="J3" i="6"/>
  <c r="K3" i="6"/>
  <c r="H3" i="6"/>
  <c r="N6" i="5"/>
  <c r="C32" i="5"/>
  <c r="D32" i="5"/>
  <c r="F32" i="5"/>
  <c r="I32" i="5"/>
  <c r="E32" i="5"/>
  <c r="J32" i="5"/>
  <c r="K32" i="5"/>
  <c r="H32" i="5"/>
  <c r="C31" i="5"/>
  <c r="D31" i="5"/>
  <c r="F31" i="5"/>
  <c r="I31" i="5"/>
  <c r="E31" i="5"/>
  <c r="J31" i="5"/>
  <c r="K31" i="5"/>
  <c r="H31" i="5"/>
  <c r="C30" i="5"/>
  <c r="D30" i="5"/>
  <c r="F30" i="5"/>
  <c r="I30" i="5"/>
  <c r="E30" i="5"/>
  <c r="J30" i="5"/>
  <c r="K30" i="5"/>
  <c r="H30" i="5"/>
  <c r="C29" i="5"/>
  <c r="D29" i="5"/>
  <c r="F29" i="5"/>
  <c r="I29" i="5"/>
  <c r="E29" i="5"/>
  <c r="J29" i="5"/>
  <c r="K29" i="5"/>
  <c r="H29" i="5"/>
  <c r="C28" i="5"/>
  <c r="D28" i="5"/>
  <c r="F28" i="5"/>
  <c r="I28" i="5"/>
  <c r="E28" i="5"/>
  <c r="J28" i="5"/>
  <c r="K28" i="5"/>
  <c r="H28" i="5"/>
  <c r="C27" i="5"/>
  <c r="D27" i="5"/>
  <c r="F27" i="5"/>
  <c r="I27" i="5"/>
  <c r="E27" i="5"/>
  <c r="J27" i="5"/>
  <c r="K27" i="5"/>
  <c r="H27" i="5"/>
  <c r="C26" i="5"/>
  <c r="D26" i="5"/>
  <c r="F26" i="5"/>
  <c r="I26" i="5"/>
  <c r="E26" i="5"/>
  <c r="J26" i="5"/>
  <c r="K26" i="5"/>
  <c r="H26" i="5"/>
  <c r="C25" i="5"/>
  <c r="D25" i="5"/>
  <c r="F25" i="5"/>
  <c r="I25" i="5"/>
  <c r="E25" i="5"/>
  <c r="J25" i="5"/>
  <c r="K25" i="5"/>
  <c r="H25" i="5"/>
  <c r="C24" i="5"/>
  <c r="D24" i="5"/>
  <c r="F24" i="5"/>
  <c r="I24" i="5"/>
  <c r="E24" i="5"/>
  <c r="J24" i="5"/>
  <c r="K24" i="5"/>
  <c r="H24" i="5"/>
  <c r="C23" i="5"/>
  <c r="D23" i="5"/>
  <c r="F23" i="5"/>
  <c r="I23" i="5"/>
  <c r="E23" i="5"/>
  <c r="J23" i="5"/>
  <c r="K23" i="5"/>
  <c r="H23" i="5"/>
  <c r="C22" i="5"/>
  <c r="D22" i="5"/>
  <c r="F22" i="5"/>
  <c r="I22" i="5"/>
  <c r="E22" i="5"/>
  <c r="J22" i="5"/>
  <c r="K22" i="5"/>
  <c r="H22" i="5"/>
  <c r="C21" i="5"/>
  <c r="D21" i="5"/>
  <c r="F21" i="5"/>
  <c r="I21" i="5"/>
  <c r="E21" i="5"/>
  <c r="J21" i="5"/>
  <c r="K21" i="5"/>
  <c r="H21" i="5"/>
  <c r="C20" i="5"/>
  <c r="D20" i="5"/>
  <c r="F20" i="5"/>
  <c r="I20" i="5"/>
  <c r="E20" i="5"/>
  <c r="J20" i="5"/>
  <c r="K20" i="5"/>
  <c r="H20" i="5"/>
  <c r="C19" i="5"/>
  <c r="D19" i="5"/>
  <c r="F19" i="5"/>
  <c r="I19" i="5"/>
  <c r="E19" i="5"/>
  <c r="J19" i="5"/>
  <c r="K19" i="5"/>
  <c r="H19" i="5"/>
  <c r="C18" i="5"/>
  <c r="D18" i="5"/>
  <c r="F18" i="5"/>
  <c r="I18" i="5"/>
  <c r="E18" i="5"/>
  <c r="J18" i="5"/>
  <c r="K18" i="5"/>
  <c r="H18" i="5"/>
  <c r="C17" i="5"/>
  <c r="D17" i="5"/>
  <c r="F17" i="5"/>
  <c r="I17" i="5"/>
  <c r="E17" i="5"/>
  <c r="J17" i="5"/>
  <c r="K17" i="5"/>
  <c r="H17" i="5"/>
  <c r="C16" i="5"/>
  <c r="D16" i="5"/>
  <c r="F16" i="5"/>
  <c r="I16" i="5"/>
  <c r="E16" i="5"/>
  <c r="J16" i="5"/>
  <c r="K16" i="5"/>
  <c r="H16" i="5"/>
  <c r="C15" i="5"/>
  <c r="D15" i="5"/>
  <c r="F15" i="5"/>
  <c r="I15" i="5"/>
  <c r="E15" i="5"/>
  <c r="J15" i="5"/>
  <c r="K15" i="5"/>
  <c r="H15" i="5"/>
  <c r="C14" i="5"/>
  <c r="D14" i="5"/>
  <c r="F14" i="5"/>
  <c r="I14" i="5"/>
  <c r="E14" i="5"/>
  <c r="J14" i="5"/>
  <c r="K14" i="5"/>
  <c r="H14" i="5"/>
  <c r="C13" i="5"/>
  <c r="D13" i="5"/>
  <c r="F13" i="5"/>
  <c r="I13" i="5"/>
  <c r="E13" i="5"/>
  <c r="J13" i="5"/>
  <c r="K13" i="5"/>
  <c r="H13" i="5"/>
  <c r="C12" i="5"/>
  <c r="D12" i="5"/>
  <c r="F12" i="5"/>
  <c r="I12" i="5"/>
  <c r="E12" i="5"/>
  <c r="J12" i="5"/>
  <c r="K12" i="5"/>
  <c r="H12" i="5"/>
  <c r="C11" i="5"/>
  <c r="D11" i="5"/>
  <c r="F11" i="5"/>
  <c r="I11" i="5"/>
  <c r="E11" i="5"/>
  <c r="J11" i="5"/>
  <c r="K11" i="5"/>
  <c r="H11" i="5"/>
  <c r="C10" i="5"/>
  <c r="D10" i="5"/>
  <c r="F10" i="5"/>
  <c r="I10" i="5"/>
  <c r="E10" i="5"/>
  <c r="J10" i="5"/>
  <c r="K10" i="5"/>
  <c r="H10" i="5"/>
  <c r="C9" i="5"/>
  <c r="D9" i="5"/>
  <c r="F9" i="5"/>
  <c r="I9" i="5"/>
  <c r="E9" i="5"/>
  <c r="J9" i="5"/>
  <c r="K9" i="5"/>
  <c r="H9" i="5"/>
  <c r="C8" i="5"/>
  <c r="D8" i="5"/>
  <c r="F8" i="5"/>
  <c r="I8" i="5"/>
  <c r="E8" i="5"/>
  <c r="J8" i="5"/>
  <c r="K8" i="5"/>
  <c r="H8" i="5"/>
  <c r="C7" i="5"/>
  <c r="D7" i="5"/>
  <c r="F7" i="5"/>
  <c r="I7" i="5"/>
  <c r="E7" i="5"/>
  <c r="J7" i="5"/>
  <c r="K7" i="5"/>
  <c r="H7" i="5"/>
  <c r="C6" i="5"/>
  <c r="D6" i="5"/>
  <c r="F6" i="5"/>
  <c r="I6" i="5"/>
  <c r="E6" i="5"/>
  <c r="J6" i="5"/>
  <c r="K6" i="5"/>
  <c r="H6" i="5"/>
  <c r="C5" i="5"/>
  <c r="D5" i="5"/>
  <c r="F5" i="5"/>
  <c r="I5" i="5"/>
  <c r="E5" i="5"/>
  <c r="J5" i="5"/>
  <c r="K5" i="5"/>
  <c r="H5" i="5"/>
  <c r="C4" i="5"/>
  <c r="D4" i="5"/>
  <c r="F4" i="5"/>
  <c r="I4" i="5"/>
  <c r="E4" i="5"/>
  <c r="J4" i="5"/>
  <c r="K4" i="5"/>
  <c r="H4" i="5"/>
  <c r="C3" i="5"/>
  <c r="D3" i="5"/>
  <c r="F3" i="5"/>
  <c r="I3" i="5"/>
  <c r="E3" i="5"/>
  <c r="J3" i="5"/>
  <c r="K3" i="5"/>
  <c r="H3" i="5"/>
  <c r="N6" i="4"/>
  <c r="C3" i="4"/>
  <c r="D3" i="4"/>
  <c r="F3" i="4"/>
  <c r="I3" i="4"/>
  <c r="C4" i="4"/>
  <c r="D4" i="4"/>
  <c r="F4" i="4"/>
  <c r="I4" i="4"/>
  <c r="E3" i="4"/>
  <c r="J3" i="4"/>
  <c r="E4" i="4"/>
  <c r="J4" i="4"/>
  <c r="K3" i="4"/>
  <c r="C5" i="4"/>
  <c r="D5" i="4"/>
  <c r="F5" i="4"/>
  <c r="I5" i="4"/>
  <c r="E5" i="4"/>
  <c r="J5" i="4"/>
  <c r="K4" i="4"/>
  <c r="C6" i="4"/>
  <c r="D6" i="4"/>
  <c r="F6" i="4"/>
  <c r="I6" i="4"/>
  <c r="E6" i="4"/>
  <c r="J6" i="4"/>
  <c r="K5" i="4"/>
  <c r="C7" i="4"/>
  <c r="D7" i="4"/>
  <c r="F7" i="4"/>
  <c r="I7" i="4"/>
  <c r="E7" i="4"/>
  <c r="J7" i="4"/>
  <c r="K6" i="4"/>
  <c r="C8" i="4"/>
  <c r="D8" i="4"/>
  <c r="F8" i="4"/>
  <c r="I8" i="4"/>
  <c r="E8" i="4"/>
  <c r="J8" i="4"/>
  <c r="K7" i="4"/>
  <c r="C9" i="4"/>
  <c r="D9" i="4"/>
  <c r="F9" i="4"/>
  <c r="I9" i="4"/>
  <c r="E9" i="4"/>
  <c r="J9" i="4"/>
  <c r="K8" i="4"/>
  <c r="C10" i="4"/>
  <c r="D10" i="4"/>
  <c r="F10" i="4"/>
  <c r="I10" i="4"/>
  <c r="E10" i="4"/>
  <c r="J10" i="4"/>
  <c r="K9" i="4"/>
  <c r="C11" i="4"/>
  <c r="D11" i="4"/>
  <c r="F11" i="4"/>
  <c r="I11" i="4"/>
  <c r="E11" i="4"/>
  <c r="J11" i="4"/>
  <c r="K10" i="4"/>
  <c r="C12" i="4"/>
  <c r="D12" i="4"/>
  <c r="F12" i="4"/>
  <c r="I12" i="4"/>
  <c r="E12" i="4"/>
  <c r="J12" i="4"/>
  <c r="K11" i="4"/>
  <c r="C13" i="4"/>
  <c r="D13" i="4"/>
  <c r="F13" i="4"/>
  <c r="I13" i="4"/>
  <c r="E13" i="4"/>
  <c r="J13" i="4"/>
  <c r="K12" i="4"/>
  <c r="C14" i="4"/>
  <c r="D14" i="4"/>
  <c r="F14" i="4"/>
  <c r="I14" i="4"/>
  <c r="E14" i="4"/>
  <c r="J14" i="4"/>
  <c r="K13" i="4"/>
  <c r="C15" i="4"/>
  <c r="D15" i="4"/>
  <c r="F15" i="4"/>
  <c r="I15" i="4"/>
  <c r="E15" i="4"/>
  <c r="J15" i="4"/>
  <c r="K14" i="4"/>
  <c r="C16" i="4"/>
  <c r="D16" i="4"/>
  <c r="F16" i="4"/>
  <c r="I16" i="4"/>
  <c r="E16" i="4"/>
  <c r="J16" i="4"/>
  <c r="K15" i="4"/>
  <c r="C17" i="4"/>
  <c r="D17" i="4"/>
  <c r="F17" i="4"/>
  <c r="I17" i="4"/>
  <c r="E17" i="4"/>
  <c r="J17" i="4"/>
  <c r="K16" i="4"/>
  <c r="K17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G14" i="1"/>
  <c r="G15" i="1"/>
  <c r="H16" i="1"/>
  <c r="G16" i="1"/>
  <c r="G17" i="1"/>
  <c r="G18" i="1"/>
  <c r="H19" i="1"/>
  <c r="G19" i="1"/>
  <c r="H20" i="1"/>
  <c r="G20" i="1"/>
  <c r="G21" i="1"/>
  <c r="G22" i="1"/>
  <c r="I22" i="1"/>
  <c r="H17" i="1"/>
  <c r="H18" i="1"/>
  <c r="H21" i="1"/>
  <c r="H22" i="1"/>
  <c r="I16" i="1"/>
  <c r="J17" i="1"/>
  <c r="I17" i="1"/>
  <c r="I20" i="1"/>
  <c r="J21" i="1"/>
  <c r="I21" i="1"/>
  <c r="J22" i="1"/>
  <c r="G13" i="1"/>
  <c r="I13" i="1"/>
  <c r="G12" i="1"/>
  <c r="I12" i="1"/>
  <c r="G11" i="1"/>
  <c r="I11" i="1"/>
  <c r="G10" i="1"/>
  <c r="I10" i="1"/>
  <c r="G9" i="1"/>
  <c r="I9" i="1"/>
  <c r="G8" i="1"/>
  <c r="G4" i="2"/>
  <c r="G5" i="2"/>
  <c r="G6" i="2"/>
  <c r="G7" i="2"/>
  <c r="F4" i="2"/>
  <c r="F5" i="2"/>
  <c r="F6" i="2"/>
  <c r="F7" i="2"/>
  <c r="H14" i="1"/>
  <c r="H12" i="1"/>
  <c r="H15" i="1"/>
  <c r="H13" i="1"/>
  <c r="I19" i="1"/>
  <c r="J20" i="1"/>
  <c r="I15" i="1"/>
  <c r="J16" i="1"/>
  <c r="J13" i="1"/>
  <c r="I18" i="1"/>
  <c r="J19" i="1"/>
  <c r="I14" i="1"/>
  <c r="J14" i="1"/>
  <c r="J12" i="1"/>
  <c r="H11" i="1"/>
  <c r="J11" i="1"/>
  <c r="H9" i="1"/>
  <c r="H10" i="1"/>
  <c r="J10" i="1"/>
  <c r="I8" i="1"/>
  <c r="J9" i="1"/>
  <c r="J18" i="1"/>
  <c r="J15" i="1"/>
  <c r="G4" i="1"/>
  <c r="I4" i="1"/>
  <c r="G5" i="1"/>
  <c r="I5" i="1"/>
  <c r="G6" i="1"/>
  <c r="G7" i="1"/>
  <c r="H7" i="1"/>
  <c r="I6" i="1"/>
  <c r="J6" i="1"/>
  <c r="H8" i="1"/>
  <c r="I7" i="1"/>
  <c r="J8" i="1"/>
  <c r="J4" i="1"/>
  <c r="J5" i="1"/>
  <c r="H5" i="1"/>
  <c r="H4" i="1"/>
  <c r="H6" i="1"/>
  <c r="J7" i="1"/>
</calcChain>
</file>

<file path=xl/sharedStrings.xml><?xml version="1.0" encoding="utf-8"?>
<sst xmlns="http://schemas.openxmlformats.org/spreadsheetml/2006/main" count="152" uniqueCount="70">
  <si>
    <t>CenterX</t>
  </si>
  <si>
    <t>CenterY</t>
  </si>
  <si>
    <t>PointOnCurveX</t>
  </si>
  <si>
    <t>PointOnCurveY</t>
  </si>
  <si>
    <t>Radius</t>
  </si>
  <si>
    <t>30 Pixel Inside</t>
  </si>
  <si>
    <t>30 Pixel Outside</t>
  </si>
  <si>
    <t>20 Pixel Outside</t>
  </si>
  <si>
    <t>20 Pixel Inside</t>
  </si>
  <si>
    <t>KiCAD Circle Equations</t>
  </si>
  <si>
    <t>Deg to Radians</t>
  </si>
  <si>
    <t>LED Count</t>
  </si>
  <si>
    <t>LED #</t>
  </si>
  <si>
    <t>Angle</t>
  </si>
  <si>
    <t>Radians</t>
  </si>
  <si>
    <t>x</t>
  </si>
  <si>
    <t>y</t>
  </si>
  <si>
    <t>L1</t>
  </si>
  <si>
    <t>L30</t>
  </si>
  <si>
    <t>L29</t>
  </si>
  <si>
    <t>L28</t>
  </si>
  <si>
    <t>L27</t>
  </si>
  <si>
    <t>L26</t>
  </si>
  <si>
    <t>L25</t>
  </si>
  <si>
    <t>L24</t>
  </si>
  <si>
    <t>L23</t>
  </si>
  <si>
    <t>L22</t>
  </si>
  <si>
    <t>L21</t>
  </si>
  <si>
    <t>L20</t>
  </si>
  <si>
    <t>L19</t>
  </si>
  <si>
    <t>L18</t>
  </si>
  <si>
    <t>L17</t>
  </si>
  <si>
    <t>L16</t>
  </si>
  <si>
    <t>L15</t>
  </si>
  <si>
    <t>L14</t>
  </si>
  <si>
    <t>L13</t>
  </si>
  <si>
    <t>L12</t>
  </si>
  <si>
    <t>L11</t>
  </si>
  <si>
    <t>L10</t>
  </si>
  <si>
    <t>L9</t>
  </si>
  <si>
    <t>L8</t>
  </si>
  <si>
    <t>L7</t>
  </si>
  <si>
    <t>L6</t>
  </si>
  <si>
    <t>L5</t>
  </si>
  <si>
    <t>L4</t>
  </si>
  <si>
    <t>L3</t>
  </si>
  <si>
    <t>L2</t>
  </si>
  <si>
    <t>40 Radius</t>
  </si>
  <si>
    <t>Diameter</t>
  </si>
  <si>
    <t>D Diff</t>
  </si>
  <si>
    <t>R Diff</t>
  </si>
  <si>
    <t>New 30 In</t>
  </si>
  <si>
    <t>New 30 Out</t>
  </si>
  <si>
    <t>New 20 Out</t>
  </si>
  <si>
    <t>New 20 In</t>
  </si>
  <si>
    <t>New 10 Out</t>
  </si>
  <si>
    <t>New 10 In</t>
  </si>
  <si>
    <t>LED Size</t>
  </si>
  <si>
    <t>Target Ring Radius</t>
  </si>
  <si>
    <t>LED Center Radius</t>
  </si>
  <si>
    <t>OriginX</t>
  </si>
  <si>
    <t>OriginY</t>
  </si>
  <si>
    <t>LED Name</t>
  </si>
  <si>
    <t>LED Angle</t>
  </si>
  <si>
    <t>LED SEP</t>
  </si>
  <si>
    <t>LED X</t>
  </si>
  <si>
    <t>LED Y</t>
  </si>
  <si>
    <t>Constants</t>
  </si>
  <si>
    <t>Contant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</si>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</sst>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left" vertical="top"/>
    </xf>
    <xf numFmtId="2" fontId="1" fillId="0" borderId="0" xfId="0" applyNumberFormat="1" applyFont="1"/>
    <xf numFmtId="1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Alignment="1">
      <alignment horizontal="left" vertical="top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0" fillId="0" borderId="2" xfId="0" applyBorder="1"/>
    <xf numFmtId="0" fontId="3" fillId="0" borderId="5" xfId="0" applyFont="1" applyBorder="1" applyAlignment="1">
      <alignment horizontal="right"/>
    </xf>
    <xf numFmtId="0" fontId="0" fillId="0" borderId="6" xfId="0" applyBorder="1"/>
    <xf numFmtId="2" fontId="0" fillId="0" borderId="6" xfId="0" applyNumberFormat="1" applyBorder="1"/>
    <xf numFmtId="0" fontId="3" fillId="0" borderId="3" xfId="0" applyFont="1" applyBorder="1" applyAlignment="1">
      <alignment horizontal="right"/>
    </xf>
    <xf numFmtId="2" fontId="0" fillId="0" borderId="4" xfId="0" applyNumberFormat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5" borderId="0" xfId="0" applyFill="1" applyAlignment="1">
      <alignment horizontal="left" vertical="top"/>
    </xf>
  </cellXfs>
  <cellStyles count="1">
    <cellStyle name="Normal" xfId="0" builtinId="0"/>
  </cellStyles>
  <dxfs count="48"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alignment horizontal="left" vertical="top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alignment horizontal="left" vertical="top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alignment horizontal="lef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382735251379505E-3"/>
          <c:y val="5.3015186555014733E-3"/>
          <c:w val="0.99506172647486202"/>
          <c:h val="0.98939696268899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'Polar to Cartesian Coords'!$F$2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'Polar to Cartesian Coords'!$E$3:$E$17</c:f>
              <c:numCache>
                <c:formatCode>0.00</c:formatCode>
                <c:ptCount val="15"/>
                <c:pt idx="0">
                  <c:v>17.5</c:v>
                </c:pt>
                <c:pt idx="1">
                  <c:v>15.987044230931733</c:v>
                </c:pt>
                <c:pt idx="2">
                  <c:v>11.709780941916298</c:v>
                </c:pt>
                <c:pt idx="3">
                  <c:v>5.4077884379753884</c:v>
                </c:pt>
                <c:pt idx="4">
                  <c:v>-1.8292606048381519</c:v>
                </c:pt>
                <c:pt idx="5">
                  <c:v>-8.7500136036266447</c:v>
                </c:pt>
                <c:pt idx="6">
                  <c:v>-14.157808481154253</c:v>
                </c:pt>
                <c:pt idx="7">
                  <c:v>-17.11758758509032</c:v>
                </c:pt>
                <c:pt idx="8">
                  <c:v>-17.117577787381389</c:v>
                </c:pt>
                <c:pt idx="9">
                  <c:v>-14.157780782141774</c:v>
                </c:pt>
                <c:pt idx="10">
                  <c:v>-8.7499727927255595</c:v>
                </c:pt>
                <c:pt idx="11">
                  <c:v>-1.8292137386299723</c:v>
                </c:pt>
                <c:pt idx="12">
                  <c:v>5.4078332558906608</c:v>
                </c:pt>
                <c:pt idx="13">
                  <c:v>11.709815962107408</c:v>
                </c:pt>
                <c:pt idx="14">
                  <c:v>15.987063398084373</c:v>
                </c:pt>
              </c:numCache>
            </c:numRef>
          </c:xVal>
          <c:yVal>
            <c:numRef>
              <c:f>'Polar to Cartesian Coords'!$F$3:$F$17</c:f>
              <c:numCache>
                <c:formatCode>0.00</c:formatCode>
                <c:ptCount val="15"/>
                <c:pt idx="0">
                  <c:v>0</c:v>
                </c:pt>
                <c:pt idx="1">
                  <c:v>7.1178941238425555</c:v>
                </c:pt>
                <c:pt idx="2">
                  <c:v>13.005038650166858</c:v>
                </c:pt>
                <c:pt idx="3">
                  <c:v>16.643491947608222</c:v>
                </c:pt>
                <c:pt idx="4">
                  <c:v>17.404131855383859</c:v>
                </c:pt>
                <c:pt idx="5">
                  <c:v>15.155436712162031</c:v>
                </c:pt>
                <c:pt idx="6">
                  <c:v>10.286226665349968</c:v>
                </c:pt>
                <c:pt idx="7">
                  <c:v>3.638433078505324</c:v>
                </c:pt>
                <c:pt idx="8">
                  <c:v>-3.6384791730814197</c:v>
                </c:pt>
                <c:pt idx="9">
                  <c:v>-10.286264789748367</c:v>
                </c:pt>
                <c:pt idx="10">
                  <c:v>-15.155460274322337</c:v>
                </c:pt>
                <c:pt idx="11">
                  <c:v>-17.404136781191056</c:v>
                </c:pt>
                <c:pt idx="12">
                  <c:v>-16.643477385344777</c:v>
                </c:pt>
                <c:pt idx="13">
                  <c:v>-13.005007117782542</c:v>
                </c:pt>
                <c:pt idx="14">
                  <c:v>-7.117851073577679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27616"/>
        <c:axId val="198129152"/>
      </c:scatterChart>
      <c:valAx>
        <c:axId val="198127616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98129152"/>
        <c:crosses val="autoZero"/>
        <c:crossBetween val="midCat"/>
      </c:valAx>
      <c:valAx>
        <c:axId val="198129152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0.00" sourceLinked="1"/>
        <c:majorTickMark val="out"/>
        <c:minorTickMark val="none"/>
        <c:tickLblPos val="nextTo"/>
        <c:crossAx val="198127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382735251379505E-3"/>
          <c:y val="5.3015186555014733E-3"/>
          <c:w val="0.99506172647486202"/>
          <c:h val="0.98939696268899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'30 Pixel Layout'!$F$2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'30 Pixel Layout'!$E$3:$E$32</c:f>
              <c:numCache>
                <c:formatCode>0.00</c:formatCode>
                <c:ptCount val="30"/>
                <c:pt idx="0">
                  <c:v>37.5</c:v>
                </c:pt>
                <c:pt idx="1">
                  <c:v>36.680534327681507</c:v>
                </c:pt>
                <c:pt idx="2">
                  <c:v>34.257951923425146</c:v>
                </c:pt>
                <c:pt idx="3">
                  <c:v>30.338131353558957</c:v>
                </c:pt>
                <c:pt idx="4">
                  <c:v>25.092387732677782</c:v>
                </c:pt>
                <c:pt idx="5">
                  <c:v>18.749985424680073</c:v>
                </c:pt>
                <c:pt idx="6">
                  <c:v>11.588118081375832</c:v>
                </c:pt>
                <c:pt idx="7">
                  <c:v>3.9197939394336858</c:v>
                </c:pt>
                <c:pt idx="8">
                  <c:v>-3.9198441532246111</c:v>
                </c:pt>
                <c:pt idx="9">
                  <c:v>-11.588166100581267</c:v>
                </c:pt>
                <c:pt idx="10">
                  <c:v>-18.750029150628524</c:v>
                </c:pt>
                <c:pt idx="11">
                  <c:v>-25.092425254333858</c:v>
                </c:pt>
                <c:pt idx="12">
                  <c:v>-30.33816103104483</c:v>
                </c:pt>
                <c:pt idx="13">
                  <c:v>-34.257972459691167</c:v>
                </c:pt>
                <c:pt idx="14">
                  <c:v>-36.680544825193543</c:v>
                </c:pt>
                <c:pt idx="15">
                  <c:v>-37.499999999966008</c:v>
                </c:pt>
                <c:pt idx="16">
                  <c:v>-36.680523830102977</c:v>
                </c:pt>
                <c:pt idx="17">
                  <c:v>-34.257931387097024</c:v>
                </c:pt>
                <c:pt idx="18">
                  <c:v>-30.338101676018088</c:v>
                </c:pt>
                <c:pt idx="19">
                  <c:v>-25.092350210976225</c:v>
                </c:pt>
                <c:pt idx="20">
                  <c:v>-18.749941698697629</c:v>
                </c:pt>
                <c:pt idx="21">
                  <c:v>-11.588070062149372</c:v>
                </c:pt>
                <c:pt idx="22">
                  <c:v>-3.9197437256356551</c:v>
                </c:pt>
                <c:pt idx="23">
                  <c:v>3.9198943670084221</c:v>
                </c:pt>
                <c:pt idx="24">
                  <c:v>11.588214119765702</c:v>
                </c:pt>
                <c:pt idx="25">
                  <c:v>18.75007287654298</c:v>
                </c:pt>
                <c:pt idx="26">
                  <c:v>25.092462775944448</c:v>
                </c:pt>
                <c:pt idx="27">
                  <c:v>30.338190708475697</c:v>
                </c:pt>
                <c:pt idx="28">
                  <c:v>34.257992995895087</c:v>
                </c:pt>
                <c:pt idx="29">
                  <c:v>36.680555322639087</c:v>
                </c:pt>
              </c:numCache>
            </c:numRef>
          </c:xVal>
          <c:yVal>
            <c:numRef>
              <c:f>'30 Pixel Layout'!$F$3:$F$32</c:f>
              <c:numCache>
                <c:formatCode>0.00</c:formatCode>
                <c:ptCount val="30"/>
                <c:pt idx="0">
                  <c:v>0</c:v>
                </c:pt>
                <c:pt idx="1">
                  <c:v>7.796691698135727</c:v>
                </c:pt>
                <c:pt idx="2">
                  <c:v>15.252630265376904</c:v>
                </c:pt>
                <c:pt idx="3">
                  <c:v>22.041955130482485</c:v>
                </c:pt>
                <c:pt idx="4">
                  <c:v>27.867939964643266</c:v>
                </c:pt>
                <c:pt idx="5">
                  <c:v>32.475961056976971</c:v>
                </c:pt>
                <c:pt idx="6">
                  <c:v>35.664625602017622</c:v>
                </c:pt>
                <c:pt idx="7">
                  <c:v>37.294573539221211</c:v>
                </c:pt>
                <c:pt idx="8">
                  <c:v>37.294568261536838</c:v>
                </c:pt>
                <c:pt idx="9">
                  <c:v>35.664609999624822</c:v>
                </c:pt>
                <c:pt idx="10">
                  <c:v>32.475935811775777</c:v>
                </c:pt>
                <c:pt idx="11">
                  <c:v>27.867906179971047</c:v>
                </c:pt>
                <c:pt idx="12">
                  <c:v>22.041914282892787</c:v>
                </c:pt>
                <c:pt idx="13">
                  <c:v>15.252584140106936</c:v>
                </c:pt>
                <c:pt idx="14">
                  <c:v>7.7966423110828371</c:v>
                </c:pt>
                <c:pt idx="15">
                  <c:v>-5.0490382770105399E-5</c:v>
                </c:pt>
                <c:pt idx="16">
                  <c:v>-7.7967410851744701</c:v>
                </c:pt>
                <c:pt idx="17">
                  <c:v>-15.252676390619214</c:v>
                </c:pt>
                <c:pt idx="18">
                  <c:v>-22.041995978032215</c:v>
                </c:pt>
                <c:pt idx="19">
                  <c:v>-27.867973749264969</c:v>
                </c:pt>
                <c:pt idx="20">
                  <c:v>-32.475986302119296</c:v>
                </c:pt>
                <c:pt idx="21">
                  <c:v>-35.664641204345763</c:v>
                </c:pt>
                <c:pt idx="22">
                  <c:v>-37.294578816837976</c:v>
                </c:pt>
                <c:pt idx="23">
                  <c:v>-37.294562983784857</c:v>
                </c:pt>
                <c:pt idx="24">
                  <c:v>-35.664594397167377</c:v>
                </c:pt>
                <c:pt idx="25">
                  <c:v>-32.475910566515715</c:v>
                </c:pt>
                <c:pt idx="26">
                  <c:v>-27.867872395248305</c:v>
                </c:pt>
                <c:pt idx="27">
                  <c:v>-22.041873435263142</c:v>
                </c:pt>
                <c:pt idx="28">
                  <c:v>-15.252538014809312</c:v>
                </c:pt>
                <c:pt idx="29">
                  <c:v>-7.7965929240158287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0800"/>
        <c:axId val="47190784"/>
      </c:scatterChart>
      <c:valAx>
        <c:axId val="47180800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47190784"/>
        <c:crosses val="autoZero"/>
        <c:crossBetween val="midCat"/>
      </c:valAx>
      <c:valAx>
        <c:axId val="47190784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0.00" sourceLinked="1"/>
        <c:majorTickMark val="out"/>
        <c:minorTickMark val="none"/>
        <c:tickLblPos val="nextTo"/>
        <c:crossAx val="47180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382735251379505E-3"/>
          <c:y val="5.3015186555014733E-3"/>
          <c:w val="0.99506172647486202"/>
          <c:h val="0.98939696268899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 Pixel Layout'!$F$2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'20 Pixel Layout'!$E$3:$E$22</c:f>
              <c:numCache>
                <c:formatCode>0.00</c:formatCode>
                <c:ptCount val="20"/>
                <c:pt idx="0">
                  <c:v>22.5</c:v>
                </c:pt>
                <c:pt idx="1">
                  <c:v>21.398770680497581</c:v>
                </c:pt>
                <c:pt idx="2">
                  <c:v>18.202878812135374</c:v>
                </c:pt>
                <c:pt idx="3">
                  <c:v>13.225160824015578</c:v>
                </c:pt>
                <c:pt idx="4">
                  <c:v>6.9528708488254996</c:v>
                </c:pt>
                <c:pt idx="5">
                  <c:v>-1.5147114831035052E-5</c:v>
                </c:pt>
                <c:pt idx="6">
                  <c:v>-6.9528996603487601</c:v>
                </c:pt>
                <c:pt idx="7">
                  <c:v>-13.225185332557412</c:v>
                </c:pt>
                <c:pt idx="8">
                  <c:v>-18.202896618626898</c:v>
                </c:pt>
                <c:pt idx="9">
                  <c:v>-21.398780041913863</c:v>
                </c:pt>
                <c:pt idx="10">
                  <c:v>-22.499999999979607</c:v>
                </c:pt>
                <c:pt idx="11">
                  <c:v>-21.39876131904251</c:v>
                </c:pt>
                <c:pt idx="12">
                  <c:v>-18.202861005610853</c:v>
                </c:pt>
                <c:pt idx="13">
                  <c:v>-13.225136315449772</c:v>
                </c:pt>
                <c:pt idx="14">
                  <c:v>-6.9528420372896234</c:v>
                </c:pt>
                <c:pt idx="15">
                  <c:v>4.5441344483085687E-5</c:v>
                </c:pt>
                <c:pt idx="16">
                  <c:v>6.9529284718594218</c:v>
                </c:pt>
                <c:pt idx="17">
                  <c:v>13.225209841075269</c:v>
                </c:pt>
                <c:pt idx="18">
                  <c:v>18.202914425085417</c:v>
                </c:pt>
                <c:pt idx="19">
                  <c:v>21.398789403291346</c:v>
                </c:pt>
              </c:numCache>
            </c:numRef>
          </c:xVal>
          <c:yVal>
            <c:numRef>
              <c:f>'20 Pixel Layout'!$F$3:$F$22</c:f>
              <c:numCache>
                <c:formatCode>0.00</c:formatCode>
                <c:ptCount val="20"/>
                <c:pt idx="0">
                  <c:v>0</c:v>
                </c:pt>
                <c:pt idx="1">
                  <c:v>6.9528852545887068</c:v>
                </c:pt>
                <c:pt idx="2">
                  <c:v>13.225173078289492</c:v>
                </c:pt>
                <c:pt idx="3">
                  <c:v>18.202887715385259</c:v>
                </c:pt>
                <c:pt idx="4">
                  <c:v>21.398775361210571</c:v>
                </c:pt>
                <c:pt idx="5">
                  <c:v>22.499999999994902</c:v>
                </c:pt>
                <c:pt idx="6">
                  <c:v>21.398765999774895</c:v>
                </c:pt>
                <c:pt idx="7">
                  <c:v>18.202869908877233</c:v>
                </c:pt>
                <c:pt idx="8">
                  <c:v>13.225148569735673</c:v>
                </c:pt>
                <c:pt idx="9">
                  <c:v>6.9528564430591446</c:v>
                </c:pt>
                <c:pt idx="10">
                  <c:v>-3.029422966206324E-5</c:v>
                </c:pt>
                <c:pt idx="11">
                  <c:v>-6.9529140661056665</c:v>
                </c:pt>
                <c:pt idx="12">
                  <c:v>-13.225197586819331</c:v>
                </c:pt>
                <c:pt idx="13">
                  <c:v>-18.202905521860284</c:v>
                </c:pt>
                <c:pt idx="14">
                  <c:v>-21.398784722607456</c:v>
                </c:pt>
                <c:pt idx="15">
                  <c:v>-22.499999999954113</c:v>
                </c:pt>
                <c:pt idx="16">
                  <c:v>-21.398756638300426</c:v>
                </c:pt>
                <c:pt idx="17">
                  <c:v>-18.202852102336212</c:v>
                </c:pt>
                <c:pt idx="18">
                  <c:v>-13.225124061157885</c:v>
                </c:pt>
                <c:pt idx="19">
                  <c:v>-6.952827631516973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9936"/>
        <c:axId val="47241472"/>
      </c:scatterChart>
      <c:valAx>
        <c:axId val="47239936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47241472"/>
        <c:crosses val="autoZero"/>
        <c:crossBetween val="midCat"/>
      </c:valAx>
      <c:valAx>
        <c:axId val="47241472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0.00" sourceLinked="1"/>
        <c:majorTickMark val="out"/>
        <c:minorTickMark val="none"/>
        <c:tickLblPos val="nextTo"/>
        <c:crossAx val="47239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</xdr:colOff>
      <xdr:row>11</xdr:row>
      <xdr:rowOff>4760</xdr:rowOff>
    </xdr:from>
    <xdr:to>
      <xdr:col>13</xdr:col>
      <xdr:colOff>723900</xdr:colOff>
      <xdr:row>21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</xdr:colOff>
      <xdr:row>11</xdr:row>
      <xdr:rowOff>4760</xdr:rowOff>
    </xdr:from>
    <xdr:to>
      <xdr:col>13</xdr:col>
      <xdr:colOff>723900</xdr:colOff>
      <xdr:row>21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</xdr:colOff>
      <xdr:row>11</xdr:row>
      <xdr:rowOff>4760</xdr:rowOff>
    </xdr:from>
    <xdr:to>
      <xdr:col>13</xdr:col>
      <xdr:colOff>723900</xdr:colOff>
      <xdr:row>18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J22" totalsRowShown="0">
  <autoFilter ref="B3:J22"/>
  <tableColumns count="9">
    <tableColumn id="1" name="KiCAD Circle Equations"/>
    <tableColumn id="2" name="CenterX"/>
    <tableColumn id="3" name="CenterY"/>
    <tableColumn id="4" name="PointOnCurveX"/>
    <tableColumn id="5" name="PointOnCurveY"/>
    <tableColumn id="6" name="Radius" dataDxfId="47">
      <calculatedColumnFormula>SQRT(POWER(Table1[[#This Row],[PointOnCurveX]]-Table1[[#This Row],[CenterX]],2) + POWER(Table1[[#This Row],[PointOnCurveY]]-Table1[[#This Row],[CenterY]],2))</calculatedColumnFormula>
    </tableColumn>
    <tableColumn id="7" name="R Diff" dataDxfId="46">
      <calculatedColumnFormula>G3-Table1[[#This Row],[Radius]]</calculatedColumnFormula>
    </tableColumn>
    <tableColumn id="8" name="Diameter" dataDxfId="45">
      <calculatedColumnFormula>Table1[[#This Row],[Radius]]*2</calculatedColumnFormula>
    </tableColumn>
    <tableColumn id="9" name="D Diff" dataDxfId="44">
      <calculatedColumnFormula>I3-Table1[[#This Row],[Diameter]]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B3:G7" totalsRowShown="0">
  <autoFilter ref="B3:G7"/>
  <tableColumns count="6">
    <tableColumn id="1" name="KiCAD Circle Equations"/>
    <tableColumn id="2" name="CenterX"/>
    <tableColumn id="3" name="CenterY"/>
    <tableColumn id="8" name="Radius"/>
    <tableColumn id="4" name="PointOnCurveX" dataDxfId="43">
      <calculatedColumnFormula>Table14[[#This Row],[CenterX]]</calculatedColumnFormula>
    </tableColumn>
    <tableColumn id="5" name="PointOnCurveY" dataDxfId="42">
      <calculatedColumnFormula>Table14[[#This Row],[CenterY]]+Table14[[#This Row],[Radius]]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B2:K17" totalsRowShown="0" headerRowDxfId="41">
  <autoFilter ref="B2:K17"/>
  <tableColumns count="10">
    <tableColumn id="1" name="LED #"/>
    <tableColumn id="3" name="Angle" dataDxfId="40">
      <calculatedColumnFormula>360/LEDCount * (Table13[[#This Row],[LED '#]]-1)</calculatedColumnFormula>
    </tableColumn>
    <tableColumn id="6" name="Radians" dataDxfId="39">
      <calculatedColumnFormula>Table13[[#This Row],[Angle]]*RadiansInDegree</calculatedColumnFormula>
    </tableColumn>
    <tableColumn id="4" name="x" dataDxfId="38">
      <calculatedColumnFormula>Radius*COS(Table13[[#This Row],[Radians]])</calculatedColumnFormula>
    </tableColumn>
    <tableColumn id="5" name="y" dataDxfId="37">
      <calculatedColumnFormula>Radius*SIN(Table13[[#This Row],[Radians]])</calculatedColumnFormula>
    </tableColumn>
    <tableColumn id="9" name="LED Name" dataDxfId="36"/>
    <tableColumn id="2" name="LED Angle" dataDxfId="35">
      <calculatedColumnFormula>Table13[[#This Row],[Angle]]*10</calculatedColumnFormula>
    </tableColumn>
    <tableColumn id="7" name="LED X" dataDxfId="34">
      <calculatedColumnFormula>Xo-Table13[[#This Row],[y]]</calculatedColumnFormula>
    </tableColumn>
    <tableColumn id="8" name="LED Y" dataDxfId="33">
      <calculatedColumnFormula>Yo-Table13[[#This Row],[x]]</calculatedColumnFormula>
    </tableColumn>
    <tableColumn id="10" name="LED SEP" dataDxfId="32">
      <calculatedColumnFormula>SQRT(POWER((Table13[[#This Row],[LED X]]-I4),2) + POWER((Table13[[#This Row],[LED Y]]-J4),2)) - LEDSize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M3:N10" totalsRowShown="0" headerRowDxfId="31" headerRowBorderDxfId="30">
  <autoFilter ref="M3:N10"/>
  <tableColumns count="2">
    <tableColumn id="1" name="Contant" dataDxfId="29"/>
    <tableColumn id="2" name="Value" dataDxfId="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36" displayName="Table136" ref="B2:K32" totalsRowShown="0" headerRowDxfId="27">
  <autoFilter ref="B2:K32"/>
  <tableColumns count="10">
    <tableColumn id="1" name="LED #"/>
    <tableColumn id="3" name="Angle" dataDxfId="26">
      <calculatedColumnFormula>360/LEDCount * (Table136[[#This Row],[LED '#]]-1)</calculatedColumnFormula>
    </tableColumn>
    <tableColumn id="6" name="Radians" dataDxfId="25">
      <calculatedColumnFormula>Table136[[#This Row],[Angle]]*RadiansInDegree</calculatedColumnFormula>
    </tableColumn>
    <tableColumn id="4" name="x" dataDxfId="24">
      <calculatedColumnFormula>Radius*COS(Table136[[#This Row],[Radians]])</calculatedColumnFormula>
    </tableColumn>
    <tableColumn id="5" name="y" dataDxfId="23">
      <calculatedColumnFormula>Radius*SIN(Table136[[#This Row],[Radians]])</calculatedColumnFormula>
    </tableColumn>
    <tableColumn id="9" name="LED Name" dataDxfId="22"/>
    <tableColumn id="2" name="LED Angle" dataDxfId="21">
      <calculatedColumnFormula>Table136[[#This Row],[Angle]]*10</calculatedColumnFormula>
    </tableColumn>
    <tableColumn id="7" name="LED X" dataDxfId="20">
      <calculatedColumnFormula>Xo-Table136[[#This Row],[y]]</calculatedColumnFormula>
    </tableColumn>
    <tableColumn id="8" name="LED Y" dataDxfId="19">
      <calculatedColumnFormula>Yo-Table136[[#This Row],[x]]</calculatedColumnFormula>
    </tableColumn>
    <tableColumn id="10" name="LED SEP" dataDxfId="18">
      <calculatedColumnFormula>SQRT(POWER((Table136[[#This Row],[LED X]]-I4),2) + POWER((Table136[[#This Row],[LED Y]]-J4),2)) - LEDSize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47" displayName="Table47" ref="M3:N10" totalsRowShown="0" headerRowDxfId="17" headerRowBorderDxfId="16">
  <autoFilter ref="M3:N10"/>
  <tableColumns count="2">
    <tableColumn id="1" name="Contant" dataDxfId="15"/>
    <tableColumn id="2" name="Value" dataDxfId="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1368" displayName="Table1368" ref="B2:K22" totalsRowShown="0" headerRowDxfId="13">
  <autoFilter ref="B2:K22"/>
  <tableColumns count="10">
    <tableColumn id="1" name="LED #"/>
    <tableColumn id="3" name="Angle" dataDxfId="12">
      <calculatedColumnFormula>360/LEDCount * (Table1368[[#This Row],[LED '#]]-1)</calculatedColumnFormula>
    </tableColumn>
    <tableColumn id="6" name="Radians" dataDxfId="11">
      <calculatedColumnFormula>Table1368[[#This Row],[Angle]]*RadiansInDegree</calculatedColumnFormula>
    </tableColumn>
    <tableColumn id="4" name="x" dataDxfId="10">
      <calculatedColumnFormula>Radius*COS(Table1368[[#This Row],[Radians]])</calculatedColumnFormula>
    </tableColumn>
    <tableColumn id="5" name="y" dataDxfId="9">
      <calculatedColumnFormula>Radius*SIN(Table1368[[#This Row],[Radians]])</calculatedColumnFormula>
    </tableColumn>
    <tableColumn id="9" name="LED Name" dataDxfId="8"/>
    <tableColumn id="2" name="LED Angle" dataDxfId="7">
      <calculatedColumnFormula>Table1368[[#This Row],[Angle]]*10</calculatedColumnFormula>
    </tableColumn>
    <tableColumn id="7" name="LED X" dataDxfId="6">
      <calculatedColumnFormula>Xo-Table1368[[#This Row],[y]]</calculatedColumnFormula>
    </tableColumn>
    <tableColumn id="8" name="LED Y" dataDxfId="5">
      <calculatedColumnFormula>Yo-Table1368[[#This Row],[x]]</calculatedColumnFormula>
    </tableColumn>
    <tableColumn id="10" name="LED SEP" dataDxfId="4">
      <calculatedColumnFormula>SQRT(POWER((Table1368[[#This Row],[LED X]]-I4),2) + POWER((Table1368[[#This Row],[LED Y]]-J4),2)) - LEDSize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479" displayName="Table479" ref="M3:N10" totalsRowShown="0" headerRowDxfId="3" headerRowBorderDxfId="2">
  <autoFilter ref="M3:N10"/>
  <tableColumns count="2">
    <tableColumn id="1" name="Contant" dataDxfId="1"/>
    <tableColumn id="2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2"/>
  <sheetViews>
    <sheetView workbookViewId="0">
      <selection activeCell="G14" sqref="G14"/>
    </sheetView>
  </sheetViews>
  <sheetFormatPr defaultRowHeight="15" x14ac:dyDescent="0.25"/>
  <cols>
    <col min="1" max="1" width="3.5703125" customWidth="1"/>
    <col min="2" max="2" width="23.140625" customWidth="1"/>
    <col min="3" max="3" width="10.42578125" bestFit="1" customWidth="1"/>
    <col min="4" max="4" width="10.28515625" customWidth="1"/>
    <col min="5" max="6" width="16.7109375" customWidth="1"/>
    <col min="7" max="7" width="9.140625" bestFit="1" customWidth="1"/>
    <col min="8" max="8" width="8.42578125" bestFit="1" customWidth="1"/>
    <col min="9" max="9" width="11.5703125" bestFit="1" customWidth="1"/>
    <col min="10" max="10" width="8.42578125" bestFit="1" customWidth="1"/>
  </cols>
  <sheetData>
    <row r="3" spans="2:10" x14ac:dyDescent="0.25">
      <c r="B3" t="s">
        <v>9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50</v>
      </c>
      <c r="I3" t="s">
        <v>48</v>
      </c>
      <c r="J3" t="s">
        <v>49</v>
      </c>
    </row>
    <row r="4" spans="2:10" x14ac:dyDescent="0.25">
      <c r="B4" t="s">
        <v>6</v>
      </c>
      <c r="C4">
        <v>178.13</v>
      </c>
      <c r="D4">
        <v>75.400000000000006</v>
      </c>
      <c r="E4">
        <v>216.13</v>
      </c>
      <c r="F4">
        <v>53.66</v>
      </c>
      <c r="G4" s="1">
        <f>SQRT(POWER(Table1[[#This Row],[PointOnCurveX]]-Table1[[#This Row],[CenterX]],2) + POWER(Table1[[#This Row],[PointOnCurveY]]-Table1[[#This Row],[CenterY]],2))</f>
        <v>43.77930561349735</v>
      </c>
      <c r="H4" s="1" t="e">
        <f>G3-Table1[[#This Row],[Radius]]</f>
        <v>#VALUE!</v>
      </c>
      <c r="I4" s="1">
        <f>Table1[[#This Row],[Radius]]*2</f>
        <v>87.558611226994699</v>
      </c>
      <c r="J4" s="1" t="e">
        <f>I3-Table1[[#This Row],[Diameter]]</f>
        <v>#VALUE!</v>
      </c>
    </row>
    <row r="5" spans="2:10" x14ac:dyDescent="0.25">
      <c r="B5" t="s">
        <v>5</v>
      </c>
      <c r="C5">
        <v>178.13</v>
      </c>
      <c r="D5">
        <v>75.400000000000006</v>
      </c>
      <c r="E5">
        <v>208.93</v>
      </c>
      <c r="F5">
        <v>60.48</v>
      </c>
      <c r="G5" s="1">
        <f>SQRT(POWER(Table1[[#This Row],[PointOnCurveX]]-Table1[[#This Row],[CenterX]],2) + POWER(Table1[[#This Row],[PointOnCurveY]]-Table1[[#This Row],[CenterY]],2))</f>
        <v>34.223477321861978</v>
      </c>
      <c r="H5" s="1">
        <f>G4-Table1[[#This Row],[Radius]]</f>
        <v>9.5558282916353718</v>
      </c>
      <c r="I5" s="1">
        <f>Table1[[#This Row],[Radius]]*2</f>
        <v>68.446954643723956</v>
      </c>
      <c r="J5" s="1">
        <f>I4-Table1[[#This Row],[Diameter]]</f>
        <v>19.111656583270744</v>
      </c>
    </row>
    <row r="6" spans="2:10" x14ac:dyDescent="0.25">
      <c r="B6" t="s">
        <v>7</v>
      </c>
      <c r="C6">
        <v>144.09</v>
      </c>
      <c r="D6">
        <v>99.59</v>
      </c>
      <c r="E6">
        <v>163.38999999999999</v>
      </c>
      <c r="F6">
        <v>74.19</v>
      </c>
      <c r="G6" s="1">
        <f>SQRT(POWER(Table1[[#This Row],[PointOnCurveX]]-Table1[[#This Row],[CenterX]],2) + POWER(Table1[[#This Row],[PointOnCurveY]]-Table1[[#This Row],[CenterY]],2))</f>
        <v>31.900626953086668</v>
      </c>
      <c r="H6" s="1">
        <f>G5-Table1[[#This Row],[Radius]]</f>
        <v>2.3228503687753097</v>
      </c>
      <c r="I6" s="1">
        <f>Table1[[#This Row],[Radius]]*2</f>
        <v>63.801253906173336</v>
      </c>
      <c r="J6" s="1">
        <f>I5-Table1[[#This Row],[Diameter]]</f>
        <v>4.6457007375506194</v>
      </c>
    </row>
    <row r="7" spans="2:10" x14ac:dyDescent="0.25">
      <c r="B7" t="s">
        <v>8</v>
      </c>
      <c r="C7">
        <v>144.09</v>
      </c>
      <c r="D7">
        <v>99.57</v>
      </c>
      <c r="E7">
        <v>161.09</v>
      </c>
      <c r="F7">
        <v>114.33</v>
      </c>
      <c r="G7" s="1">
        <f>SQRT(POWER(Table1[[#This Row],[PointOnCurveX]]-Table1[[#This Row],[CenterX]],2) + POWER(Table1[[#This Row],[PointOnCurveY]]-Table1[[#This Row],[CenterY]],2))</f>
        <v>22.513498173318162</v>
      </c>
      <c r="H7" s="1">
        <f>G6-Table1[[#This Row],[Radius]]</f>
        <v>9.3871287797685063</v>
      </c>
      <c r="I7" s="1">
        <f>Table1[[#This Row],[Radius]]*2</f>
        <v>45.026996346636324</v>
      </c>
      <c r="J7" s="1">
        <f>I6-Table1[[#This Row],[Diameter]]</f>
        <v>18.774257559537013</v>
      </c>
    </row>
    <row r="8" spans="2:10" x14ac:dyDescent="0.25">
      <c r="B8" t="s">
        <v>47</v>
      </c>
      <c r="C8">
        <v>178.13</v>
      </c>
      <c r="D8">
        <v>75.400000000000006</v>
      </c>
      <c r="E8">
        <v>178.13</v>
      </c>
      <c r="F8">
        <v>115.4</v>
      </c>
      <c r="G8" s="1">
        <f>SQRT(POWER(Table1[[#This Row],[PointOnCurveX]]-Table1[[#This Row],[CenterX]],2) + POWER(Table1[[#This Row],[PointOnCurveY]]-Table1[[#This Row],[CenterY]],2))</f>
        <v>40</v>
      </c>
      <c r="H8" s="1">
        <f>G7-Table1[[#This Row],[Radius]]</f>
        <v>-17.486501826681838</v>
      </c>
      <c r="I8" s="1">
        <f>Table1[[#This Row],[Radius]]*2</f>
        <v>80</v>
      </c>
      <c r="J8" s="1">
        <f>I7-Table1[[#This Row],[Diameter]]</f>
        <v>-34.973003653363676</v>
      </c>
    </row>
    <row r="9" spans="2:10" x14ac:dyDescent="0.25">
      <c r="G9" s="1">
        <f>SQRT(POWER(Table1[[#This Row],[PointOnCurveX]]-Table1[[#This Row],[CenterX]],2) + POWER(Table1[[#This Row],[PointOnCurveY]]-Table1[[#This Row],[CenterY]],2))</f>
        <v>0</v>
      </c>
      <c r="H9" s="1">
        <f>G8-Table1[[#This Row],[Radius]]</f>
        <v>40</v>
      </c>
      <c r="I9" s="1">
        <f>Table1[[#This Row],[Radius]]*2</f>
        <v>0</v>
      </c>
      <c r="J9" s="1">
        <f>I8-Table1[[#This Row],[Diameter]]</f>
        <v>80</v>
      </c>
    </row>
    <row r="10" spans="2:10" x14ac:dyDescent="0.25">
      <c r="B10" t="s">
        <v>52</v>
      </c>
      <c r="C10">
        <v>178</v>
      </c>
      <c r="D10">
        <v>75</v>
      </c>
      <c r="E10">
        <v>178</v>
      </c>
      <c r="F10">
        <v>115</v>
      </c>
      <c r="G10" s="1">
        <f>SQRT(POWER(Table1[[#This Row],[PointOnCurveX]]-Table1[[#This Row],[CenterX]],2) + POWER(Table1[[#This Row],[PointOnCurveY]]-Table1[[#This Row],[CenterY]],2))</f>
        <v>40</v>
      </c>
      <c r="H10" s="1">
        <f>G9-Table1[[#This Row],[Radius]]</f>
        <v>-40</v>
      </c>
      <c r="I10" s="1">
        <f>Table1[[#This Row],[Radius]]*2</f>
        <v>80</v>
      </c>
      <c r="J10" s="1">
        <f>I9-Table1[[#This Row],[Diameter]]</f>
        <v>-80</v>
      </c>
    </row>
    <row r="11" spans="2:10" x14ac:dyDescent="0.25">
      <c r="B11" t="s">
        <v>51</v>
      </c>
      <c r="C11">
        <v>178</v>
      </c>
      <c r="D11">
        <v>75</v>
      </c>
      <c r="E11">
        <v>178</v>
      </c>
      <c r="F11">
        <v>105</v>
      </c>
      <c r="G11" s="1">
        <f>SQRT(POWER(Table1[[#This Row],[PointOnCurveX]]-Table1[[#This Row],[CenterX]],2) + POWER(Table1[[#This Row],[PointOnCurveY]]-Table1[[#This Row],[CenterY]],2))</f>
        <v>30</v>
      </c>
      <c r="H11" s="1">
        <f>G10-Table1[[#This Row],[Radius]]</f>
        <v>10</v>
      </c>
      <c r="I11" s="1">
        <f>Table1[[#This Row],[Radius]]*2</f>
        <v>60</v>
      </c>
      <c r="J11" s="1">
        <f>I10-Table1[[#This Row],[Diameter]]</f>
        <v>20</v>
      </c>
    </row>
    <row r="12" spans="2:10" x14ac:dyDescent="0.25">
      <c r="B12" t="s">
        <v>53</v>
      </c>
      <c r="C12">
        <v>178</v>
      </c>
      <c r="D12">
        <v>75</v>
      </c>
      <c r="E12">
        <v>178</v>
      </c>
      <c r="F12">
        <v>100</v>
      </c>
      <c r="G12" s="1">
        <f>SQRT(POWER(Table1[[#This Row],[PointOnCurveX]]-Table1[[#This Row],[CenterX]],2) + POWER(Table1[[#This Row],[PointOnCurveY]]-Table1[[#This Row],[CenterY]],2))</f>
        <v>25</v>
      </c>
      <c r="H12" s="1">
        <f>G11-Table1[[#This Row],[Radius]]</f>
        <v>5</v>
      </c>
      <c r="I12" s="1">
        <f>Table1[[#This Row],[Radius]]*2</f>
        <v>50</v>
      </c>
      <c r="J12" s="1">
        <f>I11-Table1[[#This Row],[Diameter]]</f>
        <v>10</v>
      </c>
    </row>
    <row r="13" spans="2:10" x14ac:dyDescent="0.25">
      <c r="B13" t="s">
        <v>54</v>
      </c>
      <c r="C13">
        <v>178</v>
      </c>
      <c r="D13">
        <v>75</v>
      </c>
      <c r="E13">
        <v>178</v>
      </c>
      <c r="F13">
        <v>90</v>
      </c>
      <c r="G13" s="1">
        <f>SQRT(POWER(Table1[[#This Row],[PointOnCurveX]]-Table1[[#This Row],[CenterX]],2) + POWER(Table1[[#This Row],[PointOnCurveY]]-Table1[[#This Row],[CenterY]],2))</f>
        <v>15</v>
      </c>
      <c r="H13" s="1">
        <f>G12-Table1[[#This Row],[Radius]]</f>
        <v>10</v>
      </c>
      <c r="I13" s="1">
        <f>Table1[[#This Row],[Radius]]*2</f>
        <v>30</v>
      </c>
      <c r="J13" s="1">
        <f>I12-Table1[[#This Row],[Diameter]]</f>
        <v>20</v>
      </c>
    </row>
    <row r="14" spans="2:10" x14ac:dyDescent="0.25">
      <c r="B14" t="s">
        <v>55</v>
      </c>
      <c r="C14">
        <v>178</v>
      </c>
      <c r="D14">
        <v>75</v>
      </c>
      <c r="E14">
        <v>178</v>
      </c>
      <c r="F14">
        <v>85</v>
      </c>
      <c r="G14" s="1">
        <f>SQRT(POWER(Table1[[#This Row],[PointOnCurveX]]-Table1[[#This Row],[CenterX]],2) + POWER(Table1[[#This Row],[PointOnCurveY]]-Table1[[#This Row],[CenterY]],2))</f>
        <v>10</v>
      </c>
      <c r="H14" s="1">
        <f>G13-Table1[[#This Row],[Radius]]</f>
        <v>5</v>
      </c>
      <c r="I14" s="1">
        <f>Table1[[#This Row],[Radius]]*2</f>
        <v>20</v>
      </c>
      <c r="J14" s="1">
        <f>I13-Table1[[#This Row],[Diameter]]</f>
        <v>10</v>
      </c>
    </row>
    <row r="15" spans="2:10" x14ac:dyDescent="0.25">
      <c r="B15" t="s">
        <v>56</v>
      </c>
      <c r="C15">
        <v>178</v>
      </c>
      <c r="D15">
        <v>75</v>
      </c>
      <c r="E15">
        <v>178</v>
      </c>
      <c r="F15">
        <v>75</v>
      </c>
      <c r="G15" s="1">
        <f>SQRT(POWER(Table1[[#This Row],[PointOnCurveX]]-Table1[[#This Row],[CenterX]],2) + POWER(Table1[[#This Row],[PointOnCurveY]]-Table1[[#This Row],[CenterY]],2))</f>
        <v>0</v>
      </c>
      <c r="H15" s="1">
        <f>G14-Table1[[#This Row],[Radius]]</f>
        <v>10</v>
      </c>
      <c r="I15" s="1">
        <f>Table1[[#This Row],[Radius]]*2</f>
        <v>0</v>
      </c>
      <c r="J15" s="1">
        <f>I14-Table1[[#This Row],[Diameter]]</f>
        <v>20</v>
      </c>
    </row>
    <row r="16" spans="2:10" x14ac:dyDescent="0.25">
      <c r="G16" s="1">
        <f>SQRT(POWER(Table1[[#This Row],[PointOnCurveX]]-Table1[[#This Row],[CenterX]],2) + POWER(Table1[[#This Row],[PointOnCurveY]]-Table1[[#This Row],[CenterY]],2))</f>
        <v>0</v>
      </c>
      <c r="H16" s="1">
        <f>G15-Table1[[#This Row],[Radius]]</f>
        <v>0</v>
      </c>
      <c r="I16" s="1">
        <f>Table1[[#This Row],[Radius]]*2</f>
        <v>0</v>
      </c>
      <c r="J16" s="1">
        <f>I15-Table1[[#This Row],[Diameter]]</f>
        <v>0</v>
      </c>
    </row>
    <row r="17" spans="7:10" x14ac:dyDescent="0.25">
      <c r="G17" s="1">
        <f>SQRT(POWER(Table1[[#This Row],[PointOnCurveX]]-Table1[[#This Row],[CenterX]],2) + POWER(Table1[[#This Row],[PointOnCurveY]]-Table1[[#This Row],[CenterY]],2))</f>
        <v>0</v>
      </c>
      <c r="H17" s="1">
        <f>G16-Table1[[#This Row],[Radius]]</f>
        <v>0</v>
      </c>
      <c r="I17" s="1">
        <f>Table1[[#This Row],[Radius]]*2</f>
        <v>0</v>
      </c>
      <c r="J17" s="1">
        <f>I16-Table1[[#This Row],[Diameter]]</f>
        <v>0</v>
      </c>
    </row>
    <row r="18" spans="7:10" x14ac:dyDescent="0.25">
      <c r="G18" s="1">
        <f>SQRT(POWER(Table1[[#This Row],[PointOnCurveX]]-Table1[[#This Row],[CenterX]],2) + POWER(Table1[[#This Row],[PointOnCurveY]]-Table1[[#This Row],[CenterY]],2))</f>
        <v>0</v>
      </c>
      <c r="H18" s="1">
        <f>G17-Table1[[#This Row],[Radius]]</f>
        <v>0</v>
      </c>
      <c r="I18" s="1">
        <f>Table1[[#This Row],[Radius]]*2</f>
        <v>0</v>
      </c>
      <c r="J18" s="1">
        <f>I17-Table1[[#This Row],[Diameter]]</f>
        <v>0</v>
      </c>
    </row>
    <row r="19" spans="7:10" x14ac:dyDescent="0.25">
      <c r="G19" s="1">
        <f>SQRT(POWER(Table1[[#This Row],[PointOnCurveX]]-Table1[[#This Row],[CenterX]],2) + POWER(Table1[[#This Row],[PointOnCurveY]]-Table1[[#This Row],[CenterY]],2))</f>
        <v>0</v>
      </c>
      <c r="H19" s="1">
        <f>G18-Table1[[#This Row],[Radius]]</f>
        <v>0</v>
      </c>
      <c r="I19" s="1">
        <f>Table1[[#This Row],[Radius]]*2</f>
        <v>0</v>
      </c>
      <c r="J19" s="1">
        <f>I18-Table1[[#This Row],[Diameter]]</f>
        <v>0</v>
      </c>
    </row>
    <row r="20" spans="7:10" x14ac:dyDescent="0.25">
      <c r="G20" s="1">
        <f>SQRT(POWER(Table1[[#This Row],[PointOnCurveX]]-Table1[[#This Row],[CenterX]],2) + POWER(Table1[[#This Row],[PointOnCurveY]]-Table1[[#This Row],[CenterY]],2))</f>
        <v>0</v>
      </c>
      <c r="H20" s="1">
        <f>G19-Table1[[#This Row],[Radius]]</f>
        <v>0</v>
      </c>
      <c r="I20" s="1">
        <f>Table1[[#This Row],[Radius]]*2</f>
        <v>0</v>
      </c>
      <c r="J20" s="1">
        <f>I19-Table1[[#This Row],[Diameter]]</f>
        <v>0</v>
      </c>
    </row>
    <row r="21" spans="7:10" x14ac:dyDescent="0.25">
      <c r="G21" s="1">
        <f>SQRT(POWER(Table1[[#This Row],[PointOnCurveX]]-Table1[[#This Row],[CenterX]],2) + POWER(Table1[[#This Row],[PointOnCurveY]]-Table1[[#This Row],[CenterY]],2))</f>
        <v>0</v>
      </c>
      <c r="H21" s="1">
        <f>G20-Table1[[#This Row],[Radius]]</f>
        <v>0</v>
      </c>
      <c r="I21" s="1">
        <f>Table1[[#This Row],[Radius]]*2</f>
        <v>0</v>
      </c>
      <c r="J21" s="1">
        <f>I20-Table1[[#This Row],[Diameter]]</f>
        <v>0</v>
      </c>
    </row>
    <row r="22" spans="7:10" x14ac:dyDescent="0.25">
      <c r="G22" s="1">
        <f>SQRT(POWER(Table1[[#This Row],[PointOnCurveX]]-Table1[[#This Row],[CenterX]],2) + POWER(Table1[[#This Row],[PointOnCurveY]]-Table1[[#This Row],[CenterY]],2))</f>
        <v>0</v>
      </c>
      <c r="H22" s="1">
        <f>G21-Table1[[#This Row],[Radius]]</f>
        <v>0</v>
      </c>
      <c r="I22" s="1">
        <f>Table1[[#This Row],[Radius]]*2</f>
        <v>0</v>
      </c>
      <c r="J22" s="1">
        <f>I21-Table1[[#This Row],[Diameter]]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"/>
  <sheetViews>
    <sheetView workbookViewId="0">
      <selection activeCell="B24" sqref="B24"/>
    </sheetView>
  </sheetViews>
  <sheetFormatPr defaultRowHeight="15" x14ac:dyDescent="0.25"/>
  <cols>
    <col min="2" max="2" width="23.7109375" bestFit="1" customWidth="1"/>
    <col min="3" max="4" width="10.42578125" bestFit="1" customWidth="1"/>
    <col min="5" max="5" width="10.42578125" customWidth="1"/>
    <col min="6" max="7" width="17" bestFit="1" customWidth="1"/>
  </cols>
  <sheetData>
    <row r="3" spans="2:7" x14ac:dyDescent="0.25">
      <c r="B3" t="s">
        <v>9</v>
      </c>
      <c r="C3" t="s">
        <v>0</v>
      </c>
      <c r="D3" t="s">
        <v>1</v>
      </c>
      <c r="E3" t="s">
        <v>4</v>
      </c>
      <c r="F3" t="s">
        <v>2</v>
      </c>
      <c r="G3" t="s">
        <v>3</v>
      </c>
    </row>
    <row r="4" spans="2:7" x14ac:dyDescent="0.25">
      <c r="B4" t="s">
        <v>47</v>
      </c>
      <c r="C4">
        <v>178.13</v>
      </c>
      <c r="D4">
        <v>75.400000000000006</v>
      </c>
      <c r="E4">
        <v>40</v>
      </c>
      <c r="F4">
        <f>Table14[[#This Row],[CenterX]]</f>
        <v>178.13</v>
      </c>
      <c r="G4">
        <f>Table14[[#This Row],[CenterY]]+Table14[[#This Row],[Radius]]</f>
        <v>115.4</v>
      </c>
    </row>
    <row r="5" spans="2:7" x14ac:dyDescent="0.25">
      <c r="F5">
        <f>Table14[[#This Row],[CenterX]]</f>
        <v>0</v>
      </c>
      <c r="G5">
        <f>Table14[[#This Row],[CenterY]]+Table14[[#This Row],[Radius]]</f>
        <v>0</v>
      </c>
    </row>
    <row r="6" spans="2:7" x14ac:dyDescent="0.25">
      <c r="F6">
        <f>Table14[[#This Row],[CenterX]]</f>
        <v>0</v>
      </c>
      <c r="G6">
        <f>Table14[[#This Row],[CenterY]]+Table14[[#This Row],[Radius]]</f>
        <v>0</v>
      </c>
    </row>
    <row r="7" spans="2:7" x14ac:dyDescent="0.25">
      <c r="F7">
        <f>Table14[[#This Row],[CenterX]]</f>
        <v>0</v>
      </c>
      <c r="G7">
        <f>Table14[[#This Row],[CenterY]]+Table14[[#This Row],[Radius]]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2"/>
  <sheetViews>
    <sheetView tabSelected="1" workbookViewId="0">
      <selection activeCell="J25" sqref="J25"/>
    </sheetView>
  </sheetViews>
  <sheetFormatPr defaultRowHeight="15" x14ac:dyDescent="0.25"/>
  <cols>
    <col min="1" max="1" width="3.140625" customWidth="1"/>
    <col min="4" max="4" width="10.140625" bestFit="1" customWidth="1"/>
    <col min="7" max="7" width="12.140625" bestFit="1" customWidth="1"/>
    <col min="8" max="8" width="12" bestFit="1" customWidth="1"/>
    <col min="11" max="11" width="10" bestFit="1" customWidth="1"/>
    <col min="12" max="12" width="3.7109375" customWidth="1"/>
    <col min="13" max="13" width="17.42578125" bestFit="1" customWidth="1"/>
    <col min="14" max="14" width="11" customWidth="1"/>
    <col min="15" max="15" width="5.5703125" bestFit="1" customWidth="1"/>
    <col min="16" max="16" width="6.28515625" bestFit="1" customWidth="1"/>
    <col min="17" max="17" width="8.42578125" bestFit="1" customWidth="1"/>
    <col min="18" max="18" width="6.5703125" bestFit="1" customWidth="1"/>
  </cols>
  <sheetData>
    <row r="2" spans="2:18" x14ac:dyDescent="0.25"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7" t="s">
        <v>62</v>
      </c>
      <c r="H2" s="7" t="s">
        <v>63</v>
      </c>
      <c r="I2" s="7" t="s">
        <v>65</v>
      </c>
      <c r="J2" s="7" t="s">
        <v>66</v>
      </c>
      <c r="K2" s="19" t="s">
        <v>64</v>
      </c>
      <c r="M2" s="17" t="s">
        <v>67</v>
      </c>
      <c r="N2" s="18"/>
    </row>
    <row r="3" spans="2:18" x14ac:dyDescent="0.25">
      <c r="B3">
        <v>1</v>
      </c>
      <c r="C3">
        <f>360/LEDCount * (Table13[[#This Row],[LED '#]]-1)</f>
        <v>0</v>
      </c>
      <c r="D3">
        <f>Table13[[#This Row],[Angle]]*RadiansInDegree</f>
        <v>0</v>
      </c>
      <c r="E3" s="2">
        <f>Radius*COS(Table13[[#This Row],[Radians]])</f>
        <v>17.5</v>
      </c>
      <c r="F3" s="2">
        <f>Radius*SIN(Table13[[#This Row],[Radians]])</f>
        <v>0</v>
      </c>
      <c r="G3" s="6" t="s">
        <v>17</v>
      </c>
      <c r="H3" s="5">
        <f>Table13[[#This Row],[Angle]]*10</f>
        <v>0</v>
      </c>
      <c r="I3" s="4">
        <f>Xo-Table13[[#This Row],[y]]</f>
        <v>178</v>
      </c>
      <c r="J3" s="4">
        <f>Yo-Table13[[#This Row],[x]]</f>
        <v>57.5</v>
      </c>
      <c r="K3" s="4">
        <f>SQRT(POWER((Table13[[#This Row],[LED X]]-I4),2) + POWER((Table13[[#This Row],[LED Y]]-J4),2)) - LEDSize</f>
        <v>2.2769122515933375</v>
      </c>
      <c r="M3" s="8" t="s">
        <v>68</v>
      </c>
      <c r="N3" s="9" t="s">
        <v>69</v>
      </c>
    </row>
    <row r="4" spans="2:18" x14ac:dyDescent="0.25">
      <c r="B4">
        <v>2</v>
      </c>
      <c r="C4">
        <f>360/LEDCount * (Table13[[#This Row],[LED '#]]-1)</f>
        <v>24</v>
      </c>
      <c r="D4">
        <f>Table13[[#This Row],[Angle]]*RadiansInDegree</f>
        <v>0.41887920000000001</v>
      </c>
      <c r="E4" s="2">
        <f>Radius*COS(Table13[[#This Row],[Radians]])</f>
        <v>15.987044230931733</v>
      </c>
      <c r="F4" s="2">
        <f>Radius*SIN(Table13[[#This Row],[Radians]])</f>
        <v>7.1178941238425555</v>
      </c>
      <c r="G4" s="6" t="s">
        <v>33</v>
      </c>
      <c r="H4" s="5">
        <f>Table13[[#This Row],[Angle]]*10</f>
        <v>240</v>
      </c>
      <c r="I4" s="4">
        <f>Xo-Table13[[#This Row],[y]]</f>
        <v>170.88210587615745</v>
      </c>
      <c r="J4" s="4">
        <f>Yo-Table13[[#This Row],[x]]</f>
        <v>59.01295576906827</v>
      </c>
      <c r="K4" s="4">
        <f>SQRT(POWER((Table13[[#This Row],[LED X]]-I5),2) + POWER((Table13[[#This Row],[LED Y]]-J5),2)) - LEDSize</f>
        <v>2.2769122515933455</v>
      </c>
      <c r="M4" s="10" t="s">
        <v>10</v>
      </c>
      <c r="N4" s="11">
        <v>1.7453300000000001E-2</v>
      </c>
      <c r="Q4" s="2"/>
      <c r="R4" s="2"/>
    </row>
    <row r="5" spans="2:18" x14ac:dyDescent="0.25">
      <c r="B5">
        <v>3</v>
      </c>
      <c r="C5">
        <f>360/LEDCount * (Table13[[#This Row],[LED '#]]-1)</f>
        <v>48</v>
      </c>
      <c r="D5">
        <f>Table13[[#This Row],[Angle]]*RadiansInDegree</f>
        <v>0.83775840000000001</v>
      </c>
      <c r="E5" s="2">
        <f>Radius*COS(Table13[[#This Row],[Radians]])</f>
        <v>11.709780941916298</v>
      </c>
      <c r="F5" s="2">
        <f>Radius*SIN(Table13[[#This Row],[Radians]])</f>
        <v>13.005038650166858</v>
      </c>
      <c r="G5" s="6" t="s">
        <v>34</v>
      </c>
      <c r="H5" s="5">
        <f>Table13[[#This Row],[Angle]]*10</f>
        <v>480</v>
      </c>
      <c r="I5" s="4">
        <f>Xo-Table13[[#This Row],[y]]</f>
        <v>164.99496134983315</v>
      </c>
      <c r="J5" s="4">
        <f>Yo-Table13[[#This Row],[x]]</f>
        <v>63.2902190580837</v>
      </c>
      <c r="K5" s="4">
        <f>SQRT(POWER((Table13[[#This Row],[LED X]]-I6),2) + POWER((Table13[[#This Row],[LED Y]]-J6),2)) - LEDSize</f>
        <v>2.2769122515933571</v>
      </c>
      <c r="M5" s="12" t="s">
        <v>58</v>
      </c>
      <c r="N5" s="13">
        <v>20</v>
      </c>
    </row>
    <row r="6" spans="2:18" x14ac:dyDescent="0.25">
      <c r="B6">
        <v>4</v>
      </c>
      <c r="C6">
        <f>360/LEDCount * (Table13[[#This Row],[LED '#]]-1)</f>
        <v>72</v>
      </c>
      <c r="D6">
        <f>Table13[[#This Row],[Angle]]*RadiansInDegree</f>
        <v>1.2566376000000001</v>
      </c>
      <c r="E6" s="2">
        <f>Radius*COS(Table13[[#This Row],[Radians]])</f>
        <v>5.4077884379753884</v>
      </c>
      <c r="F6" s="2">
        <f>Radius*SIN(Table13[[#This Row],[Radians]])</f>
        <v>16.643491947608222</v>
      </c>
      <c r="G6" s="6" t="s">
        <v>35</v>
      </c>
      <c r="H6" s="5">
        <f>Table13[[#This Row],[Angle]]*10</f>
        <v>720</v>
      </c>
      <c r="I6" s="4">
        <f>Xo-Table13[[#This Row],[y]]</f>
        <v>161.35650805239177</v>
      </c>
      <c r="J6" s="4">
        <f>Yo-Table13[[#This Row],[x]]</f>
        <v>69.592211562024616</v>
      </c>
      <c r="K6" s="4">
        <f>SQRT(POWER((Table13[[#This Row],[LED X]]-I7),2) + POWER((Table13[[#This Row],[LED Y]]-J7),2)) - LEDSize</f>
        <v>2.276912251593342</v>
      </c>
      <c r="M6" s="12" t="s">
        <v>59</v>
      </c>
      <c r="N6" s="13">
        <f>RingRadius-LEDSize/2</f>
        <v>17.5</v>
      </c>
    </row>
    <row r="7" spans="2:18" x14ac:dyDescent="0.25">
      <c r="B7">
        <v>5</v>
      </c>
      <c r="C7">
        <f>360/LEDCount * (Table13[[#This Row],[LED '#]]-1)</f>
        <v>96</v>
      </c>
      <c r="D7">
        <f>Table13[[#This Row],[Angle]]*RadiansInDegree</f>
        <v>1.6755168</v>
      </c>
      <c r="E7" s="2">
        <f>Radius*COS(Table13[[#This Row],[Radians]])</f>
        <v>-1.8292606048381519</v>
      </c>
      <c r="F7" s="2">
        <f>Radius*SIN(Table13[[#This Row],[Radians]])</f>
        <v>17.404131855383859</v>
      </c>
      <c r="G7" s="6" t="s">
        <v>36</v>
      </c>
      <c r="H7" s="5">
        <f>Table13[[#This Row],[Angle]]*10</f>
        <v>960</v>
      </c>
      <c r="I7" s="2">
        <f>Xo-Table13[[#This Row],[y]]</f>
        <v>160.59586814461613</v>
      </c>
      <c r="J7" s="2">
        <f>Yo-Table13[[#This Row],[x]]</f>
        <v>76.829260604838154</v>
      </c>
      <c r="K7" s="2">
        <f>SQRT(POWER((Table13[[#This Row],[LED X]]-I8),2) + POWER((Table13[[#This Row],[LED Y]]-J8),2)) - LEDSize</f>
        <v>2.2769122515933402</v>
      </c>
      <c r="M7" s="12" t="s">
        <v>11</v>
      </c>
      <c r="N7" s="13">
        <v>15</v>
      </c>
    </row>
    <row r="8" spans="2:18" x14ac:dyDescent="0.25">
      <c r="B8">
        <v>6</v>
      </c>
      <c r="C8">
        <f>360/LEDCount * (Table13[[#This Row],[LED '#]]-1)</f>
        <v>120</v>
      </c>
      <c r="D8">
        <f>Table13[[#This Row],[Angle]]*RadiansInDegree</f>
        <v>2.0943960000000001</v>
      </c>
      <c r="E8" s="2">
        <f>Radius*COS(Table13[[#This Row],[Radians]])</f>
        <v>-8.7500136036266447</v>
      </c>
      <c r="F8" s="2">
        <f>Radius*SIN(Table13[[#This Row],[Radians]])</f>
        <v>15.155436712162031</v>
      </c>
      <c r="G8" s="6" t="s">
        <v>37</v>
      </c>
      <c r="H8" s="5">
        <f>Table13[[#This Row],[Angle]]*10</f>
        <v>1200</v>
      </c>
      <c r="I8" s="2">
        <f>Xo-Table13[[#This Row],[y]]</f>
        <v>162.84456328783796</v>
      </c>
      <c r="J8" s="2">
        <f>Yo-Table13[[#This Row],[x]]</f>
        <v>83.750013603626641</v>
      </c>
      <c r="K8" s="2">
        <f>SQRT(POWER((Table13[[#This Row],[LED X]]-I9),2) + POWER((Table13[[#This Row],[LED Y]]-J9),2)) - LEDSize</f>
        <v>2.2769122515933535</v>
      </c>
      <c r="M8" s="12" t="s">
        <v>57</v>
      </c>
      <c r="N8" s="13">
        <v>5</v>
      </c>
    </row>
    <row r="9" spans="2:18" x14ac:dyDescent="0.25">
      <c r="B9">
        <v>7</v>
      </c>
      <c r="C9">
        <f>360/LEDCount * (Table13[[#This Row],[LED '#]]-1)</f>
        <v>144</v>
      </c>
      <c r="D9">
        <f>Table13[[#This Row],[Angle]]*RadiansInDegree</f>
        <v>2.5132752000000003</v>
      </c>
      <c r="E9" s="2">
        <f>Radius*COS(Table13[[#This Row],[Radians]])</f>
        <v>-14.157808481154253</v>
      </c>
      <c r="F9" s="2">
        <f>Radius*SIN(Table13[[#This Row],[Radians]])</f>
        <v>10.286226665349968</v>
      </c>
      <c r="G9" s="6" t="s">
        <v>38</v>
      </c>
      <c r="H9" s="5">
        <f>Table13[[#This Row],[Angle]]*10</f>
        <v>1440</v>
      </c>
      <c r="I9" s="2">
        <f>Xo-Table13[[#This Row],[y]]</f>
        <v>167.71377333465003</v>
      </c>
      <c r="J9" s="2">
        <f>Yo-Table13[[#This Row],[x]]</f>
        <v>89.157808481154248</v>
      </c>
      <c r="K9" s="2">
        <f>SQRT(POWER((Table13[[#This Row],[LED X]]-I10),2) + POWER((Table13[[#This Row],[LED Y]]-J10),2)) - LEDSize</f>
        <v>2.2769122515933473</v>
      </c>
      <c r="M9" s="12" t="s">
        <v>60</v>
      </c>
      <c r="N9" s="14">
        <v>178</v>
      </c>
    </row>
    <row r="10" spans="2:18" x14ac:dyDescent="0.25">
      <c r="B10">
        <v>8</v>
      </c>
      <c r="C10">
        <f>360/LEDCount * (Table13[[#This Row],[LED '#]]-1)</f>
        <v>168</v>
      </c>
      <c r="D10">
        <f>Table13[[#This Row],[Angle]]*RadiansInDegree</f>
        <v>2.9321544000000004</v>
      </c>
      <c r="E10" s="2">
        <f>Radius*COS(Table13[[#This Row],[Radians]])</f>
        <v>-17.11758758509032</v>
      </c>
      <c r="F10" s="2">
        <f>Radius*SIN(Table13[[#This Row],[Radians]])</f>
        <v>3.638433078505324</v>
      </c>
      <c r="G10" s="6" t="s">
        <v>39</v>
      </c>
      <c r="H10" s="5">
        <f>Table13[[#This Row],[Angle]]*10</f>
        <v>1680</v>
      </c>
      <c r="I10" s="2">
        <f>Xo-Table13[[#This Row],[y]]</f>
        <v>174.36156692149467</v>
      </c>
      <c r="J10" s="2">
        <f>Yo-Table13[[#This Row],[x]]</f>
        <v>92.11758758509032</v>
      </c>
      <c r="K10" s="2">
        <f>SQRT(POWER((Table13[[#This Row],[LED X]]-I11),2) + POWER((Table13[[#This Row],[LED Y]]-J11),2)) - LEDSize</f>
        <v>2.2769122515933322</v>
      </c>
      <c r="M10" s="15" t="s">
        <v>61</v>
      </c>
      <c r="N10" s="16">
        <v>75</v>
      </c>
    </row>
    <row r="11" spans="2:18" x14ac:dyDescent="0.25">
      <c r="B11">
        <v>9</v>
      </c>
      <c r="C11">
        <f>360/LEDCount * (Table13[[#This Row],[LED '#]]-1)</f>
        <v>192</v>
      </c>
      <c r="D11">
        <f>Table13[[#This Row],[Angle]]*RadiansInDegree</f>
        <v>3.3510336000000001</v>
      </c>
      <c r="E11" s="2">
        <f>Radius*COS(Table13[[#This Row],[Radians]])</f>
        <v>-17.117577787381389</v>
      </c>
      <c r="F11" s="2">
        <f>Radius*SIN(Table13[[#This Row],[Radians]])</f>
        <v>-3.6384791730814197</v>
      </c>
      <c r="G11" s="6" t="s">
        <v>40</v>
      </c>
      <c r="H11" s="5">
        <f>Table13[[#This Row],[Angle]]*10</f>
        <v>1920</v>
      </c>
      <c r="I11" s="2">
        <f>Xo-Table13[[#This Row],[y]]</f>
        <v>181.63847917308141</v>
      </c>
      <c r="J11" s="2">
        <f>Yo-Table13[[#This Row],[x]]</f>
        <v>92.117577787381393</v>
      </c>
      <c r="K11" s="2">
        <f>SQRT(POWER((Table13[[#This Row],[LED X]]-I12),2) + POWER((Table13[[#This Row],[LED Y]]-J12),2)) - LEDSize</f>
        <v>2.2769122515933651</v>
      </c>
    </row>
    <row r="12" spans="2:18" x14ac:dyDescent="0.25">
      <c r="B12">
        <v>10</v>
      </c>
      <c r="C12">
        <f>360/LEDCount * (Table13[[#This Row],[LED '#]]-1)</f>
        <v>216</v>
      </c>
      <c r="D12">
        <f>Table13[[#This Row],[Angle]]*RadiansInDegree</f>
        <v>3.7699128000000002</v>
      </c>
      <c r="E12" s="2">
        <f>Radius*COS(Table13[[#This Row],[Radians]])</f>
        <v>-14.157780782141774</v>
      </c>
      <c r="F12" s="2">
        <f>Radius*SIN(Table13[[#This Row],[Radians]])</f>
        <v>-10.286264789748367</v>
      </c>
      <c r="G12" s="6" t="s">
        <v>41</v>
      </c>
      <c r="H12" s="5">
        <f>Table13[[#This Row],[Angle]]*10</f>
        <v>2160</v>
      </c>
      <c r="I12" s="2">
        <f>Xo-Table13[[#This Row],[y]]</f>
        <v>188.28626478974837</v>
      </c>
      <c r="J12" s="2">
        <f>Yo-Table13[[#This Row],[x]]</f>
        <v>89.157780782141771</v>
      </c>
      <c r="K12" s="2">
        <f>SQRT(POWER((Table13[[#This Row],[LED X]]-I13),2) + POWER((Table13[[#This Row],[LED Y]]-J13),2)) - LEDSize</f>
        <v>2.2769122515933438</v>
      </c>
    </row>
    <row r="13" spans="2:18" x14ac:dyDescent="0.25">
      <c r="B13">
        <v>11</v>
      </c>
      <c r="C13">
        <f>360/LEDCount * (Table13[[#This Row],[LED '#]]-1)</f>
        <v>240</v>
      </c>
      <c r="D13">
        <f>Table13[[#This Row],[Angle]]*RadiansInDegree</f>
        <v>4.1887920000000003</v>
      </c>
      <c r="E13" s="2">
        <f>Radius*COS(Table13[[#This Row],[Radians]])</f>
        <v>-8.7499727927255595</v>
      </c>
      <c r="F13" s="2">
        <f>Radius*SIN(Table13[[#This Row],[Radians]])</f>
        <v>-15.155460274322337</v>
      </c>
      <c r="G13" s="6" t="s">
        <v>42</v>
      </c>
      <c r="H13" s="5">
        <f>Table13[[#This Row],[Angle]]*10</f>
        <v>2400</v>
      </c>
      <c r="I13" s="2">
        <f>Xo-Table13[[#This Row],[y]]</f>
        <v>193.15546027432234</v>
      </c>
      <c r="J13" s="2">
        <f>Yo-Table13[[#This Row],[x]]</f>
        <v>83.749972792725558</v>
      </c>
      <c r="K13" s="2">
        <f>SQRT(POWER((Table13[[#This Row],[LED X]]-I14),2) + POWER((Table13[[#This Row],[LED Y]]-J14),2)) - LEDSize</f>
        <v>2.2769122515933429</v>
      </c>
    </row>
    <row r="14" spans="2:18" x14ac:dyDescent="0.25">
      <c r="B14">
        <v>12</v>
      </c>
      <c r="C14">
        <f>360/LEDCount * (Table13[[#This Row],[LED '#]]-1)</f>
        <v>264</v>
      </c>
      <c r="D14">
        <f>Table13[[#This Row],[Angle]]*RadiansInDegree</f>
        <v>4.6076712000000004</v>
      </c>
      <c r="E14" s="2">
        <f>Radius*COS(Table13[[#This Row],[Radians]])</f>
        <v>-1.8292137386299723</v>
      </c>
      <c r="F14" s="2">
        <f>Radius*SIN(Table13[[#This Row],[Radians]])</f>
        <v>-17.404136781191056</v>
      </c>
      <c r="G14" s="6" t="s">
        <v>43</v>
      </c>
      <c r="H14" s="5">
        <f>Table13[[#This Row],[Angle]]*10</f>
        <v>2640</v>
      </c>
      <c r="I14" s="2">
        <f>Xo-Table13[[#This Row],[y]]</f>
        <v>195.40413678119106</v>
      </c>
      <c r="J14" s="2">
        <f>Yo-Table13[[#This Row],[x]]</f>
        <v>76.829213738629974</v>
      </c>
      <c r="K14" s="2">
        <f>SQRT(POWER((Table13[[#This Row],[LED X]]-I15),2) + POWER((Table13[[#This Row],[LED Y]]-J15),2)) - LEDSize</f>
        <v>2.2769122515933544</v>
      </c>
    </row>
    <row r="15" spans="2:18" x14ac:dyDescent="0.25">
      <c r="B15">
        <v>13</v>
      </c>
      <c r="C15">
        <f>360/LEDCount * (Table13[[#This Row],[LED '#]]-1)</f>
        <v>288</v>
      </c>
      <c r="D15">
        <f>Table13[[#This Row],[Angle]]*RadiansInDegree</f>
        <v>5.0265504000000005</v>
      </c>
      <c r="E15" s="2">
        <f>Radius*COS(Table13[[#This Row],[Radians]])</f>
        <v>5.4078332558906608</v>
      </c>
      <c r="F15" s="2">
        <f>Radius*SIN(Table13[[#This Row],[Radians]])</f>
        <v>-16.643477385344777</v>
      </c>
      <c r="G15" s="6" t="s">
        <v>44</v>
      </c>
      <c r="H15" s="5">
        <f>Table13[[#This Row],[Angle]]*10</f>
        <v>2880</v>
      </c>
      <c r="I15" s="2">
        <f>Xo-Table13[[#This Row],[y]]</f>
        <v>194.64347738534477</v>
      </c>
      <c r="J15" s="2">
        <f>Yo-Table13[[#This Row],[x]]</f>
        <v>69.592166744109335</v>
      </c>
      <c r="K15" s="2">
        <f>SQRT(POWER((Table13[[#This Row],[LED X]]-I16),2) + POWER((Table13[[#This Row],[LED Y]]-J16),2)) - LEDSize</f>
        <v>2.2769122515933304</v>
      </c>
    </row>
    <row r="16" spans="2:18" x14ac:dyDescent="0.25">
      <c r="B16">
        <v>14</v>
      </c>
      <c r="C16">
        <f>360/LEDCount * (Table13[[#This Row],[LED '#]]-1)</f>
        <v>312</v>
      </c>
      <c r="D16">
        <f>Table13[[#This Row],[Angle]]*RadiansInDegree</f>
        <v>5.4454296000000006</v>
      </c>
      <c r="E16" s="2">
        <f>Radius*COS(Table13[[#This Row],[Radians]])</f>
        <v>11.709815962107408</v>
      </c>
      <c r="F16" s="2">
        <f>Radius*SIN(Table13[[#This Row],[Radians]])</f>
        <v>-13.005007117782542</v>
      </c>
      <c r="G16" s="6" t="s">
        <v>45</v>
      </c>
      <c r="H16" s="5">
        <f>Table13[[#This Row],[Angle]]*10</f>
        <v>3120</v>
      </c>
      <c r="I16" s="2">
        <f>Xo-Table13[[#This Row],[y]]</f>
        <v>191.00500711778255</v>
      </c>
      <c r="J16" s="2">
        <f>Yo-Table13[[#This Row],[x]]</f>
        <v>63.290184037892594</v>
      </c>
      <c r="K16" s="2">
        <f>SQRT(POWER((Table13[[#This Row],[LED X]]-I17),2) + POWER((Table13[[#This Row],[LED Y]]-J17),2)) - LEDSize</f>
        <v>2.2769122515933686</v>
      </c>
    </row>
    <row r="17" spans="2:11" x14ac:dyDescent="0.25">
      <c r="B17">
        <v>15</v>
      </c>
      <c r="C17">
        <f>360/LEDCount * (Table13[[#This Row],[LED '#]]-1)</f>
        <v>336</v>
      </c>
      <c r="D17">
        <f>Table13[[#This Row],[Angle]]*RadiansInDegree</f>
        <v>5.8643088000000008</v>
      </c>
      <c r="E17" s="2">
        <f>Radius*COS(Table13[[#This Row],[Radians]])</f>
        <v>15.987063398084373</v>
      </c>
      <c r="F17" s="2">
        <f>Radius*SIN(Table13[[#This Row],[Radians]])</f>
        <v>-7.117851073577679</v>
      </c>
      <c r="G17" s="6" t="s">
        <v>46</v>
      </c>
      <c r="H17" s="5">
        <f>Table13[[#This Row],[Angle]]*10</f>
        <v>3360</v>
      </c>
      <c r="I17" s="2">
        <f>Xo-Table13[[#This Row],[y]]</f>
        <v>185.11785107357767</v>
      </c>
      <c r="J17" s="2">
        <f>Yo-Table13[[#This Row],[x]]</f>
        <v>59.012936601915627</v>
      </c>
      <c r="K17" s="2">
        <f>SQRT(POWER((Table13[[#This Row],[LED X]]-I18),2) + POWER((Table13[[#This Row],[LED Y]]-J18),2)) - LEDSize</f>
        <v>189.29654004248505</v>
      </c>
    </row>
    <row r="18" spans="2:11" x14ac:dyDescent="0.25">
      <c r="E18" s="2"/>
      <c r="F18" s="2"/>
      <c r="G18" s="6"/>
      <c r="H18" s="5"/>
      <c r="I18" s="2"/>
      <c r="J18" s="2"/>
      <c r="K18" s="2"/>
    </row>
    <row r="19" spans="2:11" x14ac:dyDescent="0.25">
      <c r="E19" s="2"/>
      <c r="F19" s="2"/>
      <c r="G19" s="6"/>
      <c r="H19" s="5"/>
      <c r="I19" s="2"/>
      <c r="J19" s="2"/>
      <c r="K19" s="2"/>
    </row>
    <row r="20" spans="2:11" x14ac:dyDescent="0.25">
      <c r="E20" s="2"/>
      <c r="F20" s="2"/>
      <c r="G20" s="6"/>
      <c r="H20" s="5"/>
      <c r="I20" s="2"/>
      <c r="J20" s="2"/>
      <c r="K20" s="2"/>
    </row>
    <row r="21" spans="2:11" x14ac:dyDescent="0.25">
      <c r="E21" s="2"/>
      <c r="F21" s="2"/>
      <c r="G21" s="6"/>
      <c r="H21" s="5"/>
      <c r="I21" s="2"/>
      <c r="J21" s="2"/>
      <c r="K21" s="2"/>
    </row>
    <row r="22" spans="2:11" x14ac:dyDescent="0.25">
      <c r="E22" s="2"/>
      <c r="F22" s="2"/>
      <c r="G22" s="6"/>
      <c r="H22" s="5"/>
      <c r="I22" s="2"/>
      <c r="J22" s="2"/>
      <c r="K22" s="2"/>
    </row>
    <row r="23" spans="2:11" x14ac:dyDescent="0.25">
      <c r="E23" s="2"/>
      <c r="F23" s="2"/>
      <c r="G23" s="6"/>
      <c r="H23" s="5"/>
      <c r="I23" s="2"/>
      <c r="J23" s="2"/>
      <c r="K23" s="2"/>
    </row>
    <row r="24" spans="2:11" x14ac:dyDescent="0.25">
      <c r="E24" s="2"/>
      <c r="F24" s="2"/>
      <c r="G24" s="6"/>
      <c r="H24" s="5"/>
      <c r="I24" s="2"/>
      <c r="J24" s="2"/>
      <c r="K24" s="2"/>
    </row>
    <row r="25" spans="2:11" x14ac:dyDescent="0.25">
      <c r="E25" s="2"/>
      <c r="F25" s="2"/>
      <c r="G25" s="6"/>
      <c r="H25" s="5"/>
      <c r="I25" s="2"/>
      <c r="J25" s="2"/>
      <c r="K25" s="2"/>
    </row>
    <row r="26" spans="2:11" x14ac:dyDescent="0.25">
      <c r="E26" s="2"/>
      <c r="F26" s="2"/>
      <c r="G26" s="6"/>
      <c r="H26" s="5"/>
      <c r="I26" s="2"/>
      <c r="J26" s="2"/>
      <c r="K26" s="2"/>
    </row>
    <row r="27" spans="2:11" x14ac:dyDescent="0.25">
      <c r="E27" s="2"/>
      <c r="F27" s="2"/>
      <c r="G27" s="6"/>
      <c r="H27" s="5"/>
      <c r="I27" s="2"/>
      <c r="J27" s="2"/>
      <c r="K27" s="2"/>
    </row>
    <row r="28" spans="2:11" x14ac:dyDescent="0.25">
      <c r="E28" s="2"/>
      <c r="F28" s="2"/>
      <c r="G28" s="6"/>
      <c r="H28" s="5"/>
      <c r="I28" s="2"/>
      <c r="J28" s="2"/>
      <c r="K28" s="2"/>
    </row>
    <row r="29" spans="2:11" x14ac:dyDescent="0.25">
      <c r="E29" s="2"/>
      <c r="F29" s="2"/>
      <c r="G29" s="6"/>
      <c r="H29" s="5"/>
      <c r="I29" s="2"/>
      <c r="J29" s="2"/>
      <c r="K29" s="2"/>
    </row>
    <row r="30" spans="2:11" x14ac:dyDescent="0.25">
      <c r="E30" s="2"/>
      <c r="F30" s="2"/>
      <c r="G30" s="6"/>
      <c r="H30" s="5"/>
      <c r="I30" s="2"/>
      <c r="J30" s="2"/>
      <c r="K30" s="2"/>
    </row>
    <row r="31" spans="2:11" x14ac:dyDescent="0.25">
      <c r="E31" s="2"/>
      <c r="F31" s="2"/>
      <c r="G31" s="6"/>
      <c r="H31" s="5"/>
      <c r="I31" s="2"/>
      <c r="J31" s="2"/>
      <c r="K31" s="2"/>
    </row>
    <row r="32" spans="2:11" x14ac:dyDescent="0.25">
      <c r="E32" s="2"/>
      <c r="F32" s="2"/>
      <c r="G32" s="6"/>
      <c r="H32" s="5"/>
      <c r="I32" s="2"/>
      <c r="J32" s="2"/>
      <c r="K32" s="2"/>
    </row>
  </sheetData>
  <mergeCells count="1">
    <mergeCell ref="M2:N2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2"/>
  <sheetViews>
    <sheetView workbookViewId="0">
      <selection activeCell="K2" sqref="K2"/>
    </sheetView>
  </sheetViews>
  <sheetFormatPr defaultRowHeight="15" x14ac:dyDescent="0.25"/>
  <cols>
    <col min="1" max="1" width="3.140625" customWidth="1"/>
    <col min="4" max="4" width="10.140625" bestFit="1" customWidth="1"/>
    <col min="7" max="7" width="12.140625" bestFit="1" customWidth="1"/>
    <col min="8" max="8" width="12" bestFit="1" customWidth="1"/>
    <col min="11" max="11" width="10" bestFit="1" customWidth="1"/>
    <col min="12" max="12" width="3.7109375" customWidth="1"/>
    <col min="13" max="13" width="17.42578125" bestFit="1" customWidth="1"/>
    <col min="14" max="14" width="11" customWidth="1"/>
    <col min="15" max="15" width="5.5703125" bestFit="1" customWidth="1"/>
    <col min="16" max="16" width="6.28515625" bestFit="1" customWidth="1"/>
    <col min="17" max="17" width="8.42578125" bestFit="1" customWidth="1"/>
    <col min="18" max="18" width="6.5703125" bestFit="1" customWidth="1"/>
  </cols>
  <sheetData>
    <row r="2" spans="2:18" x14ac:dyDescent="0.25"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7" t="s">
        <v>62</v>
      </c>
      <c r="H2" s="7" t="s">
        <v>63</v>
      </c>
      <c r="I2" s="7" t="s">
        <v>65</v>
      </c>
      <c r="J2" s="7" t="s">
        <v>66</v>
      </c>
      <c r="K2" s="19" t="s">
        <v>64</v>
      </c>
      <c r="M2" s="17" t="s">
        <v>67</v>
      </c>
      <c r="N2" s="18"/>
    </row>
    <row r="3" spans="2:18" x14ac:dyDescent="0.25">
      <c r="B3">
        <v>1</v>
      </c>
      <c r="C3">
        <f>360/LEDCount * (Table136[[#This Row],[LED '#]]-1)</f>
        <v>0</v>
      </c>
      <c r="D3">
        <f>Table136[[#This Row],[Angle]]*RadiansInDegree</f>
        <v>0</v>
      </c>
      <c r="E3" s="2">
        <f>Radius*COS(Table136[[#This Row],[Radians]])</f>
        <v>37.5</v>
      </c>
      <c r="F3" s="2">
        <f>Radius*SIN(Table136[[#This Row],[Radians]])</f>
        <v>0</v>
      </c>
      <c r="G3" s="6" t="s">
        <v>17</v>
      </c>
      <c r="H3" s="5">
        <f>Table136[[#This Row],[Angle]]*10</f>
        <v>0</v>
      </c>
      <c r="I3" s="4">
        <f>Xo-Table136[[#This Row],[y]]</f>
        <v>178</v>
      </c>
      <c r="J3" s="4">
        <f>Yo-Table136[[#This Row],[x]]</f>
        <v>37.5</v>
      </c>
      <c r="K3" s="4">
        <f>SQRT(POWER((Table136[[#This Row],[LED X]]-I4),2) + POWER((Table136[[#This Row],[LED Y]]-J4),2)) - LEDSize</f>
        <v>2.8396380926600839</v>
      </c>
      <c r="M3" s="8" t="s">
        <v>68</v>
      </c>
      <c r="N3" s="9" t="s">
        <v>69</v>
      </c>
    </row>
    <row r="4" spans="2:18" x14ac:dyDescent="0.25">
      <c r="B4">
        <v>2</v>
      </c>
      <c r="C4">
        <f>360/LEDCount * (Table136[[#This Row],[LED '#]]-1)</f>
        <v>12</v>
      </c>
      <c r="D4">
        <f>Table136[[#This Row],[Angle]]*RadiansInDegree</f>
        <v>0.2094396</v>
      </c>
      <c r="E4" s="2">
        <f>Radius*COS(Table136[[#This Row],[Radians]])</f>
        <v>36.680534327681507</v>
      </c>
      <c r="F4" s="2">
        <f>Radius*SIN(Table136[[#This Row],[Radians]])</f>
        <v>7.796691698135727</v>
      </c>
      <c r="G4" s="6" t="s">
        <v>18</v>
      </c>
      <c r="H4" s="5">
        <f>Table136[[#This Row],[Angle]]*10</f>
        <v>120</v>
      </c>
      <c r="I4" s="4">
        <f>Xo-Table136[[#This Row],[y]]</f>
        <v>170.20330830186427</v>
      </c>
      <c r="J4" s="4">
        <f>Yo-Table136[[#This Row],[x]]</f>
        <v>38.319465672318493</v>
      </c>
      <c r="K4" s="4">
        <f>SQRT(POWER((Table136[[#This Row],[LED X]]-I5),2) + POWER((Table136[[#This Row],[LED Y]]-J5),2)) - LEDSize</f>
        <v>2.8396380926600635</v>
      </c>
      <c r="M4" s="10" t="s">
        <v>10</v>
      </c>
      <c r="N4" s="11">
        <v>1.7453300000000001E-2</v>
      </c>
      <c r="Q4" s="2"/>
      <c r="R4" s="2"/>
    </row>
    <row r="5" spans="2:18" x14ac:dyDescent="0.25">
      <c r="B5">
        <v>3</v>
      </c>
      <c r="C5">
        <f>360/LEDCount * (Table136[[#This Row],[LED '#]]-1)</f>
        <v>24</v>
      </c>
      <c r="D5">
        <f>Table136[[#This Row],[Angle]]*RadiansInDegree</f>
        <v>0.41887920000000001</v>
      </c>
      <c r="E5" s="2">
        <f>Radius*COS(Table136[[#This Row],[Radians]])</f>
        <v>34.257951923425146</v>
      </c>
      <c r="F5" s="2">
        <f>Radius*SIN(Table136[[#This Row],[Radians]])</f>
        <v>15.252630265376904</v>
      </c>
      <c r="G5" s="6" t="s">
        <v>19</v>
      </c>
      <c r="H5" s="5">
        <f>Table136[[#This Row],[Angle]]*10</f>
        <v>240</v>
      </c>
      <c r="I5" s="4">
        <f>Xo-Table136[[#This Row],[y]]</f>
        <v>162.74736973462311</v>
      </c>
      <c r="J5" s="4">
        <f>Yo-Table136[[#This Row],[x]]</f>
        <v>40.742048076574854</v>
      </c>
      <c r="K5" s="4">
        <f>SQRT(POWER((Table136[[#This Row],[LED X]]-I6),2) + POWER((Table136[[#This Row],[LED Y]]-J6),2)) - LEDSize</f>
        <v>2.8396380926600848</v>
      </c>
      <c r="M5" s="12" t="s">
        <v>58</v>
      </c>
      <c r="N5" s="13">
        <v>40</v>
      </c>
    </row>
    <row r="6" spans="2:18" x14ac:dyDescent="0.25">
      <c r="B6">
        <v>4</v>
      </c>
      <c r="C6">
        <f>360/LEDCount * (Table136[[#This Row],[LED '#]]-1)</f>
        <v>36</v>
      </c>
      <c r="D6">
        <f>Table136[[#This Row],[Angle]]*RadiansInDegree</f>
        <v>0.62831880000000007</v>
      </c>
      <c r="E6" s="2">
        <f>Radius*COS(Table136[[#This Row],[Radians]])</f>
        <v>30.338131353558957</v>
      </c>
      <c r="F6" s="2">
        <f>Radius*SIN(Table136[[#This Row],[Radians]])</f>
        <v>22.041955130482485</v>
      </c>
      <c r="G6" s="6" t="s">
        <v>20</v>
      </c>
      <c r="H6" s="5">
        <f>Table136[[#This Row],[Angle]]*10</f>
        <v>360</v>
      </c>
      <c r="I6" s="4">
        <f>Xo-Table136[[#This Row],[y]]</f>
        <v>155.95804486951752</v>
      </c>
      <c r="J6" s="4">
        <f>Yo-Table136[[#This Row],[x]]</f>
        <v>44.661868646441043</v>
      </c>
      <c r="K6" s="4">
        <f>SQRT(POWER((Table136[[#This Row],[LED X]]-I7),2) + POWER((Table136[[#This Row],[LED Y]]-J7),2)) - LEDSize</f>
        <v>2.8396380926600795</v>
      </c>
      <c r="M6" s="12" t="s">
        <v>59</v>
      </c>
      <c r="N6" s="13">
        <f>RingRadius-LEDSize/2</f>
        <v>37.5</v>
      </c>
    </row>
    <row r="7" spans="2:18" x14ac:dyDescent="0.25">
      <c r="B7">
        <v>5</v>
      </c>
      <c r="C7">
        <f>360/LEDCount * (Table136[[#This Row],[LED '#]]-1)</f>
        <v>48</v>
      </c>
      <c r="D7">
        <f>Table136[[#This Row],[Angle]]*RadiansInDegree</f>
        <v>0.83775840000000001</v>
      </c>
      <c r="E7" s="2">
        <f>Radius*COS(Table136[[#This Row],[Radians]])</f>
        <v>25.092387732677782</v>
      </c>
      <c r="F7" s="2">
        <f>Radius*SIN(Table136[[#This Row],[Radians]])</f>
        <v>27.867939964643266</v>
      </c>
      <c r="G7" s="6" t="s">
        <v>21</v>
      </c>
      <c r="H7" s="5">
        <f>Table136[[#This Row],[Angle]]*10</f>
        <v>480</v>
      </c>
      <c r="I7" s="2">
        <f>Xo-Table136[[#This Row],[y]]</f>
        <v>150.13206003535674</v>
      </c>
      <c r="J7" s="2">
        <f>Yo-Table136[[#This Row],[x]]</f>
        <v>49.907612267322222</v>
      </c>
      <c r="K7" s="2">
        <f>SQRT(POWER((Table136[[#This Row],[LED X]]-I8),2) + POWER((Table136[[#This Row],[LED Y]]-J8),2)) - LEDSize</f>
        <v>2.8396380926600884</v>
      </c>
      <c r="M7" s="12" t="s">
        <v>11</v>
      </c>
      <c r="N7" s="13">
        <v>30</v>
      </c>
    </row>
    <row r="8" spans="2:18" x14ac:dyDescent="0.25">
      <c r="B8">
        <v>6</v>
      </c>
      <c r="C8">
        <f>360/LEDCount * (Table136[[#This Row],[LED '#]]-1)</f>
        <v>60</v>
      </c>
      <c r="D8">
        <f>Table136[[#This Row],[Angle]]*RadiansInDegree</f>
        <v>1.0471980000000001</v>
      </c>
      <c r="E8" s="2">
        <f>Radius*COS(Table136[[#This Row],[Radians]])</f>
        <v>18.749985424680073</v>
      </c>
      <c r="F8" s="2">
        <f>Radius*SIN(Table136[[#This Row],[Radians]])</f>
        <v>32.475961056976971</v>
      </c>
      <c r="G8" s="6" t="s">
        <v>22</v>
      </c>
      <c r="H8" s="5">
        <f>Table136[[#This Row],[Angle]]*10</f>
        <v>600</v>
      </c>
      <c r="I8" s="2">
        <f>Xo-Table136[[#This Row],[y]]</f>
        <v>145.52403894302302</v>
      </c>
      <c r="J8" s="2">
        <f>Yo-Table136[[#This Row],[x]]</f>
        <v>56.250014575319923</v>
      </c>
      <c r="K8" s="2">
        <f>SQRT(POWER((Table136[[#This Row],[LED X]]-I9),2) + POWER((Table136[[#This Row],[LED Y]]-J9),2)) - LEDSize</f>
        <v>2.8396380926600822</v>
      </c>
      <c r="M8" s="12" t="s">
        <v>57</v>
      </c>
      <c r="N8" s="13">
        <v>5</v>
      </c>
    </row>
    <row r="9" spans="2:18" x14ac:dyDescent="0.25">
      <c r="B9">
        <v>7</v>
      </c>
      <c r="C9">
        <f>360/LEDCount * (Table136[[#This Row],[LED '#]]-1)</f>
        <v>72</v>
      </c>
      <c r="D9">
        <f>Table136[[#This Row],[Angle]]*RadiansInDegree</f>
        <v>1.2566376000000001</v>
      </c>
      <c r="E9" s="2">
        <f>Radius*COS(Table136[[#This Row],[Radians]])</f>
        <v>11.588118081375832</v>
      </c>
      <c r="F9" s="2">
        <f>Radius*SIN(Table136[[#This Row],[Radians]])</f>
        <v>35.664625602017622</v>
      </c>
      <c r="G9" s="6" t="s">
        <v>23</v>
      </c>
      <c r="H9" s="5">
        <f>Table136[[#This Row],[Angle]]*10</f>
        <v>720</v>
      </c>
      <c r="I9" s="2">
        <f>Xo-Table136[[#This Row],[y]]</f>
        <v>142.33537439798238</v>
      </c>
      <c r="J9" s="2">
        <f>Yo-Table136[[#This Row],[x]]</f>
        <v>63.411881918624168</v>
      </c>
      <c r="K9" s="2">
        <f>SQRT(POWER((Table136[[#This Row],[LED X]]-I10),2) + POWER((Table136[[#This Row],[LED Y]]-J10),2)) - LEDSize</f>
        <v>2.8396380926600768</v>
      </c>
      <c r="M9" s="12" t="s">
        <v>60</v>
      </c>
      <c r="N9" s="14">
        <v>178</v>
      </c>
    </row>
    <row r="10" spans="2:18" x14ac:dyDescent="0.25">
      <c r="B10">
        <v>8</v>
      </c>
      <c r="C10">
        <f>360/LEDCount * (Table136[[#This Row],[LED '#]]-1)</f>
        <v>84</v>
      </c>
      <c r="D10">
        <f>Table136[[#This Row],[Angle]]*RadiansInDegree</f>
        <v>1.4660772000000002</v>
      </c>
      <c r="E10" s="2">
        <f>Radius*COS(Table136[[#This Row],[Radians]])</f>
        <v>3.9197939394336858</v>
      </c>
      <c r="F10" s="2">
        <f>Radius*SIN(Table136[[#This Row],[Radians]])</f>
        <v>37.294573539221211</v>
      </c>
      <c r="G10" s="6" t="s">
        <v>24</v>
      </c>
      <c r="H10" s="5">
        <f>Table136[[#This Row],[Angle]]*10</f>
        <v>840</v>
      </c>
      <c r="I10" s="2">
        <f>Xo-Table136[[#This Row],[y]]</f>
        <v>140.7054264607788</v>
      </c>
      <c r="J10" s="2">
        <f>Yo-Table136[[#This Row],[x]]</f>
        <v>71.080206060566312</v>
      </c>
      <c r="K10" s="2">
        <f>SQRT(POWER((Table136[[#This Row],[LED X]]-I11),2) + POWER((Table136[[#This Row],[LED Y]]-J11),2)) - LEDSize</f>
        <v>2.8396380926600813</v>
      </c>
      <c r="M10" s="15" t="s">
        <v>61</v>
      </c>
      <c r="N10" s="16">
        <v>75</v>
      </c>
    </row>
    <row r="11" spans="2:18" x14ac:dyDescent="0.25">
      <c r="B11">
        <v>9</v>
      </c>
      <c r="C11">
        <f>360/LEDCount * (Table136[[#This Row],[LED '#]]-1)</f>
        <v>96</v>
      </c>
      <c r="D11">
        <f>Table136[[#This Row],[Angle]]*RadiansInDegree</f>
        <v>1.6755168</v>
      </c>
      <c r="E11" s="2">
        <f>Radius*COS(Table136[[#This Row],[Radians]])</f>
        <v>-3.9198441532246111</v>
      </c>
      <c r="F11" s="2">
        <f>Radius*SIN(Table136[[#This Row],[Radians]])</f>
        <v>37.294568261536838</v>
      </c>
      <c r="G11" s="6" t="s">
        <v>25</v>
      </c>
      <c r="H11" s="5">
        <f>Table136[[#This Row],[Angle]]*10</f>
        <v>960</v>
      </c>
      <c r="I11" s="2">
        <f>Xo-Table136[[#This Row],[y]]</f>
        <v>140.70543173846318</v>
      </c>
      <c r="J11" s="2">
        <f>Yo-Table136[[#This Row],[x]]</f>
        <v>78.919844153224616</v>
      </c>
      <c r="K11" s="2">
        <f>SQRT(POWER((Table136[[#This Row],[LED X]]-I12),2) + POWER((Table136[[#This Row],[LED Y]]-J12),2)) - LEDSize</f>
        <v>2.8396380926600706</v>
      </c>
    </row>
    <row r="12" spans="2:18" x14ac:dyDescent="0.25">
      <c r="B12">
        <v>10</v>
      </c>
      <c r="C12">
        <f>360/LEDCount * (Table136[[#This Row],[LED '#]]-1)</f>
        <v>108</v>
      </c>
      <c r="D12">
        <f>Table136[[#This Row],[Angle]]*RadiansInDegree</f>
        <v>1.8849564000000001</v>
      </c>
      <c r="E12" s="2">
        <f>Radius*COS(Table136[[#This Row],[Radians]])</f>
        <v>-11.588166100581267</v>
      </c>
      <c r="F12" s="2">
        <f>Radius*SIN(Table136[[#This Row],[Radians]])</f>
        <v>35.664609999624822</v>
      </c>
      <c r="G12" s="6" t="s">
        <v>26</v>
      </c>
      <c r="H12" s="5">
        <f>Table136[[#This Row],[Angle]]*10</f>
        <v>1080</v>
      </c>
      <c r="I12" s="2">
        <f>Xo-Table136[[#This Row],[y]]</f>
        <v>142.33539000037518</v>
      </c>
      <c r="J12" s="2">
        <f>Yo-Table136[[#This Row],[x]]</f>
        <v>86.588166100581262</v>
      </c>
      <c r="K12" s="2">
        <f>SQRT(POWER((Table136[[#This Row],[LED X]]-I13),2) + POWER((Table136[[#This Row],[LED Y]]-J13),2)) - LEDSize</f>
        <v>2.8396380926600813</v>
      </c>
    </row>
    <row r="13" spans="2:18" x14ac:dyDescent="0.25">
      <c r="B13">
        <v>11</v>
      </c>
      <c r="C13">
        <f>360/LEDCount * (Table136[[#This Row],[LED '#]]-1)</f>
        <v>120</v>
      </c>
      <c r="D13">
        <f>Table136[[#This Row],[Angle]]*RadiansInDegree</f>
        <v>2.0943960000000001</v>
      </c>
      <c r="E13" s="2">
        <f>Radius*COS(Table136[[#This Row],[Radians]])</f>
        <v>-18.750029150628524</v>
      </c>
      <c r="F13" s="2">
        <f>Radius*SIN(Table136[[#This Row],[Radians]])</f>
        <v>32.475935811775777</v>
      </c>
      <c r="G13" s="6" t="s">
        <v>27</v>
      </c>
      <c r="H13" s="5">
        <f>Table136[[#This Row],[Angle]]*10</f>
        <v>1200</v>
      </c>
      <c r="I13" s="2">
        <f>Xo-Table136[[#This Row],[y]]</f>
        <v>145.52406418822423</v>
      </c>
      <c r="J13" s="2">
        <f>Yo-Table136[[#This Row],[x]]</f>
        <v>93.750029150628521</v>
      </c>
      <c r="K13" s="2">
        <f>SQRT(POWER((Table136[[#This Row],[LED X]]-I14),2) + POWER((Table136[[#This Row],[LED Y]]-J14),2)) - LEDSize</f>
        <v>2.8396380926600866</v>
      </c>
    </row>
    <row r="14" spans="2:18" x14ac:dyDescent="0.25">
      <c r="B14">
        <v>12</v>
      </c>
      <c r="C14">
        <f>360/LEDCount * (Table136[[#This Row],[LED '#]]-1)</f>
        <v>132</v>
      </c>
      <c r="D14">
        <f>Table136[[#This Row],[Angle]]*RadiansInDegree</f>
        <v>2.3038356000000002</v>
      </c>
      <c r="E14" s="2">
        <f>Radius*COS(Table136[[#This Row],[Radians]])</f>
        <v>-25.092425254333858</v>
      </c>
      <c r="F14" s="2">
        <f>Radius*SIN(Table136[[#This Row],[Radians]])</f>
        <v>27.867906179971047</v>
      </c>
      <c r="G14" s="6" t="s">
        <v>28</v>
      </c>
      <c r="H14" s="5">
        <f>Table136[[#This Row],[Angle]]*10</f>
        <v>1320</v>
      </c>
      <c r="I14" s="2">
        <f>Xo-Table136[[#This Row],[y]]</f>
        <v>150.13209382002896</v>
      </c>
      <c r="J14" s="2">
        <f>Yo-Table136[[#This Row],[x]]</f>
        <v>100.09242525433386</v>
      </c>
      <c r="K14" s="2">
        <f>SQRT(POWER((Table136[[#This Row],[LED X]]-I15),2) + POWER((Table136[[#This Row],[LED Y]]-J15),2)) - LEDSize</f>
        <v>2.8396380926600875</v>
      </c>
    </row>
    <row r="15" spans="2:18" x14ac:dyDescent="0.25">
      <c r="B15">
        <v>13</v>
      </c>
      <c r="C15">
        <f>360/LEDCount * (Table136[[#This Row],[LED '#]]-1)</f>
        <v>144</v>
      </c>
      <c r="D15">
        <f>Table136[[#This Row],[Angle]]*RadiansInDegree</f>
        <v>2.5132752000000003</v>
      </c>
      <c r="E15" s="2">
        <f>Radius*COS(Table136[[#This Row],[Radians]])</f>
        <v>-30.33816103104483</v>
      </c>
      <c r="F15" s="2">
        <f>Radius*SIN(Table136[[#This Row],[Radians]])</f>
        <v>22.041914282892787</v>
      </c>
      <c r="G15" s="6" t="s">
        <v>29</v>
      </c>
      <c r="H15" s="5">
        <f>Table136[[#This Row],[Angle]]*10</f>
        <v>1440</v>
      </c>
      <c r="I15" s="2">
        <f>Xo-Table136[[#This Row],[y]]</f>
        <v>155.95808571710722</v>
      </c>
      <c r="J15" s="2">
        <f>Yo-Table136[[#This Row],[x]]</f>
        <v>105.33816103104483</v>
      </c>
      <c r="K15" s="2">
        <f>SQRT(POWER((Table136[[#This Row],[LED X]]-I16),2) + POWER((Table136[[#This Row],[LED Y]]-J16),2)) - LEDSize</f>
        <v>2.8396380926600679</v>
      </c>
    </row>
    <row r="16" spans="2:18" x14ac:dyDescent="0.25">
      <c r="B16">
        <v>14</v>
      </c>
      <c r="C16">
        <f>360/LEDCount * (Table136[[#This Row],[LED '#]]-1)</f>
        <v>156</v>
      </c>
      <c r="D16">
        <f>Table136[[#This Row],[Angle]]*RadiansInDegree</f>
        <v>2.7227148000000003</v>
      </c>
      <c r="E16" s="2">
        <f>Radius*COS(Table136[[#This Row],[Radians]])</f>
        <v>-34.257972459691167</v>
      </c>
      <c r="F16" s="2">
        <f>Radius*SIN(Table136[[#This Row],[Radians]])</f>
        <v>15.252584140106936</v>
      </c>
      <c r="G16" s="6" t="s">
        <v>30</v>
      </c>
      <c r="H16" s="5">
        <f>Table136[[#This Row],[Angle]]*10</f>
        <v>1560</v>
      </c>
      <c r="I16" s="2">
        <f>Xo-Table136[[#This Row],[y]]</f>
        <v>162.74741585989307</v>
      </c>
      <c r="J16" s="2">
        <f>Yo-Table136[[#This Row],[x]]</f>
        <v>109.25797245969116</v>
      </c>
      <c r="K16" s="2">
        <f>SQRT(POWER((Table136[[#This Row],[LED X]]-I17),2) + POWER((Table136[[#This Row],[LED Y]]-J17),2)) - LEDSize</f>
        <v>2.8396380926600724</v>
      </c>
    </row>
    <row r="17" spans="2:11" x14ac:dyDescent="0.25">
      <c r="B17">
        <v>15</v>
      </c>
      <c r="C17">
        <f>360/LEDCount * (Table136[[#This Row],[LED '#]]-1)</f>
        <v>168</v>
      </c>
      <c r="D17">
        <f>Table136[[#This Row],[Angle]]*RadiansInDegree</f>
        <v>2.9321544000000004</v>
      </c>
      <c r="E17" s="2">
        <f>Radius*COS(Table136[[#This Row],[Radians]])</f>
        <v>-36.680544825193543</v>
      </c>
      <c r="F17" s="2">
        <f>Radius*SIN(Table136[[#This Row],[Radians]])</f>
        <v>7.7966423110828371</v>
      </c>
      <c r="G17" s="6" t="s">
        <v>31</v>
      </c>
      <c r="H17" s="5">
        <f>Table136[[#This Row],[Angle]]*10</f>
        <v>1680</v>
      </c>
      <c r="I17" s="2">
        <f>Xo-Table136[[#This Row],[y]]</f>
        <v>170.20335768891715</v>
      </c>
      <c r="J17" s="2">
        <f>Yo-Table136[[#This Row],[x]]</f>
        <v>111.68054482519355</v>
      </c>
      <c r="K17" s="2">
        <f>SQRT(POWER((Table136[[#This Row],[LED X]]-I18),2) + POWER((Table136[[#This Row],[LED Y]]-J18),2)) - LEDSize</f>
        <v>2.839638092660083</v>
      </c>
    </row>
    <row r="18" spans="2:11" x14ac:dyDescent="0.25">
      <c r="B18">
        <v>16</v>
      </c>
      <c r="C18">
        <f>360/LEDCount * (Table136[[#This Row],[LED '#]]-1)</f>
        <v>180</v>
      </c>
      <c r="D18">
        <f>Table136[[#This Row],[Angle]]*RadiansInDegree</f>
        <v>3.1415940000000004</v>
      </c>
      <c r="E18" s="2">
        <f>Radius*COS(Table136[[#This Row],[Radians]])</f>
        <v>-37.499999999966008</v>
      </c>
      <c r="F18" s="2">
        <f>Radius*SIN(Table136[[#This Row],[Radians]])</f>
        <v>-5.0490382770105399E-5</v>
      </c>
      <c r="G18" s="6" t="s">
        <v>32</v>
      </c>
      <c r="H18" s="5">
        <f>Table136[[#This Row],[Angle]]*10</f>
        <v>1800</v>
      </c>
      <c r="I18" s="2">
        <f>Xo-Table136[[#This Row],[y]]</f>
        <v>178.00005049038276</v>
      </c>
      <c r="J18" s="2">
        <f>Yo-Table136[[#This Row],[x]]</f>
        <v>112.49999999996601</v>
      </c>
      <c r="K18" s="2">
        <f>SQRT(POWER((Table136[[#This Row],[LED X]]-I19),2) + POWER((Table136[[#This Row],[LED Y]]-J19),2)) - LEDSize</f>
        <v>2.8396380926600635</v>
      </c>
    </row>
    <row r="19" spans="2:11" x14ac:dyDescent="0.25">
      <c r="B19">
        <v>17</v>
      </c>
      <c r="C19">
        <f>360/LEDCount * (Table136[[#This Row],[LED '#]]-1)</f>
        <v>192</v>
      </c>
      <c r="D19">
        <f>Table136[[#This Row],[Angle]]*RadiansInDegree</f>
        <v>3.3510336000000001</v>
      </c>
      <c r="E19" s="2">
        <f>Radius*COS(Table136[[#This Row],[Radians]])</f>
        <v>-36.680523830102977</v>
      </c>
      <c r="F19" s="2">
        <f>Radius*SIN(Table136[[#This Row],[Radians]])</f>
        <v>-7.7967410851744701</v>
      </c>
      <c r="G19" s="6" t="s">
        <v>33</v>
      </c>
      <c r="H19" s="5">
        <f>Table136[[#This Row],[Angle]]*10</f>
        <v>1920</v>
      </c>
      <c r="I19" s="2">
        <f>Xo-Table136[[#This Row],[y]]</f>
        <v>185.79674108517446</v>
      </c>
      <c r="J19" s="2">
        <f>Yo-Table136[[#This Row],[x]]</f>
        <v>111.68052383010297</v>
      </c>
      <c r="K19" s="2">
        <f>SQRT(POWER((Table136[[#This Row],[LED X]]-I20),2) + POWER((Table136[[#This Row],[LED Y]]-J20),2)) - LEDSize</f>
        <v>2.8396380926601017</v>
      </c>
    </row>
    <row r="20" spans="2:11" x14ac:dyDescent="0.25">
      <c r="B20">
        <v>18</v>
      </c>
      <c r="C20">
        <f>360/LEDCount * (Table136[[#This Row],[LED '#]]-1)</f>
        <v>204</v>
      </c>
      <c r="D20">
        <f>Table136[[#This Row],[Angle]]*RadiansInDegree</f>
        <v>3.5604732000000001</v>
      </c>
      <c r="E20" s="2">
        <f>Radius*COS(Table136[[#This Row],[Radians]])</f>
        <v>-34.257931387097024</v>
      </c>
      <c r="F20" s="2">
        <f>Radius*SIN(Table136[[#This Row],[Radians]])</f>
        <v>-15.252676390619214</v>
      </c>
      <c r="G20" s="6" t="s">
        <v>34</v>
      </c>
      <c r="H20" s="5">
        <f>Table136[[#This Row],[Angle]]*10</f>
        <v>2040</v>
      </c>
      <c r="I20" s="2">
        <f>Xo-Table136[[#This Row],[y]]</f>
        <v>193.25267639061923</v>
      </c>
      <c r="J20" s="2">
        <f>Yo-Table136[[#This Row],[x]]</f>
        <v>109.25793138709702</v>
      </c>
      <c r="K20" s="2">
        <f>SQRT(POWER((Table136[[#This Row],[LED X]]-I21),2) + POWER((Table136[[#This Row],[LED Y]]-J21),2)) - LEDSize</f>
        <v>2.8396380926600715</v>
      </c>
    </row>
    <row r="21" spans="2:11" x14ac:dyDescent="0.25">
      <c r="B21">
        <v>19</v>
      </c>
      <c r="C21">
        <f>360/LEDCount * (Table136[[#This Row],[LED '#]]-1)</f>
        <v>216</v>
      </c>
      <c r="D21">
        <f>Table136[[#This Row],[Angle]]*RadiansInDegree</f>
        <v>3.7699128000000002</v>
      </c>
      <c r="E21" s="2">
        <f>Radius*COS(Table136[[#This Row],[Radians]])</f>
        <v>-30.338101676018088</v>
      </c>
      <c r="F21" s="2">
        <f>Radius*SIN(Table136[[#This Row],[Radians]])</f>
        <v>-22.041995978032215</v>
      </c>
      <c r="G21" s="6" t="s">
        <v>35</v>
      </c>
      <c r="H21" s="5">
        <f>Table136[[#This Row],[Angle]]*10</f>
        <v>2160</v>
      </c>
      <c r="I21" s="2">
        <f>Xo-Table136[[#This Row],[y]]</f>
        <v>200.04199597803222</v>
      </c>
      <c r="J21" s="2">
        <f>Yo-Table136[[#This Row],[x]]</f>
        <v>105.33810167601808</v>
      </c>
      <c r="K21" s="2">
        <f>SQRT(POWER((Table136[[#This Row],[LED X]]-I22),2) + POWER((Table136[[#This Row],[LED Y]]-J22),2)) - LEDSize</f>
        <v>2.8396380926600751</v>
      </c>
    </row>
    <row r="22" spans="2:11" x14ac:dyDescent="0.25">
      <c r="B22">
        <v>20</v>
      </c>
      <c r="C22">
        <f>360/LEDCount * (Table136[[#This Row],[LED '#]]-1)</f>
        <v>228</v>
      </c>
      <c r="D22">
        <f>Table136[[#This Row],[Angle]]*RadiansInDegree</f>
        <v>3.9793524000000002</v>
      </c>
      <c r="E22" s="2">
        <f>Radius*COS(Table136[[#This Row],[Radians]])</f>
        <v>-25.092350210976225</v>
      </c>
      <c r="F22" s="2">
        <f>Radius*SIN(Table136[[#This Row],[Radians]])</f>
        <v>-27.867973749264969</v>
      </c>
      <c r="G22" s="6" t="s">
        <v>36</v>
      </c>
      <c r="H22" s="5">
        <f>Table136[[#This Row],[Angle]]*10</f>
        <v>2280</v>
      </c>
      <c r="I22" s="2">
        <f>Xo-Table136[[#This Row],[y]]</f>
        <v>205.86797374926496</v>
      </c>
      <c r="J22" s="2">
        <f>Yo-Table136[[#This Row],[x]]</f>
        <v>100.09235021097622</v>
      </c>
      <c r="K22" s="2">
        <f>SQRT(POWER((Table136[[#This Row],[LED X]]-I23),2) + POWER((Table136[[#This Row],[LED Y]]-J23),2)) - LEDSize</f>
        <v>2.8396380926600795</v>
      </c>
    </row>
    <row r="23" spans="2:11" x14ac:dyDescent="0.25">
      <c r="B23">
        <v>21</v>
      </c>
      <c r="C23">
        <f>360/LEDCount * (Table136[[#This Row],[LED '#]]-1)</f>
        <v>240</v>
      </c>
      <c r="D23">
        <f>Table136[[#This Row],[Angle]]*RadiansInDegree</f>
        <v>4.1887920000000003</v>
      </c>
      <c r="E23" s="2">
        <f>Radius*COS(Table136[[#This Row],[Radians]])</f>
        <v>-18.749941698697629</v>
      </c>
      <c r="F23" s="2">
        <f>Radius*SIN(Table136[[#This Row],[Radians]])</f>
        <v>-32.475986302119296</v>
      </c>
      <c r="G23" s="6" t="s">
        <v>37</v>
      </c>
      <c r="H23" s="5">
        <f>Table136[[#This Row],[Angle]]*10</f>
        <v>2400</v>
      </c>
      <c r="I23" s="2">
        <f>Xo-Table136[[#This Row],[y]]</f>
        <v>210.47598630211928</v>
      </c>
      <c r="J23" s="2">
        <f>Yo-Table136[[#This Row],[x]]</f>
        <v>93.749941698697626</v>
      </c>
      <c r="K23" s="2">
        <f>SQRT(POWER((Table136[[#This Row],[LED X]]-I24),2) + POWER((Table136[[#This Row],[LED Y]]-J24),2)) - LEDSize</f>
        <v>2.839638092660107</v>
      </c>
    </row>
    <row r="24" spans="2:11" x14ac:dyDescent="0.25">
      <c r="B24">
        <v>22</v>
      </c>
      <c r="C24">
        <f>360/LEDCount * (Table136[[#This Row],[LED '#]]-1)</f>
        <v>252</v>
      </c>
      <c r="D24">
        <f>Table136[[#This Row],[Angle]]*RadiansInDegree</f>
        <v>4.3982316000000008</v>
      </c>
      <c r="E24" s="2">
        <f>Radius*COS(Table136[[#This Row],[Radians]])</f>
        <v>-11.588070062149372</v>
      </c>
      <c r="F24" s="2">
        <f>Radius*SIN(Table136[[#This Row],[Radians]])</f>
        <v>-35.664641204345763</v>
      </c>
      <c r="G24" s="6" t="s">
        <v>38</v>
      </c>
      <c r="H24" s="5">
        <f>Table136[[#This Row],[Angle]]*10</f>
        <v>2520</v>
      </c>
      <c r="I24" s="2">
        <f>Xo-Table136[[#This Row],[y]]</f>
        <v>213.66464120434577</v>
      </c>
      <c r="J24" s="2">
        <f>Yo-Table136[[#This Row],[x]]</f>
        <v>86.58807006214937</v>
      </c>
      <c r="K24" s="2">
        <f>SQRT(POWER((Table136[[#This Row],[LED X]]-I25),2) + POWER((Table136[[#This Row],[LED Y]]-J25),2)) - LEDSize</f>
        <v>2.8396380926600573</v>
      </c>
    </row>
    <row r="25" spans="2:11" x14ac:dyDescent="0.25">
      <c r="B25">
        <v>23</v>
      </c>
      <c r="C25">
        <f>360/LEDCount * (Table136[[#This Row],[LED '#]]-1)</f>
        <v>264</v>
      </c>
      <c r="D25">
        <f>Table136[[#This Row],[Angle]]*RadiansInDegree</f>
        <v>4.6076712000000004</v>
      </c>
      <c r="E25" s="2">
        <f>Radius*COS(Table136[[#This Row],[Radians]])</f>
        <v>-3.9197437256356551</v>
      </c>
      <c r="F25" s="2">
        <f>Radius*SIN(Table136[[#This Row],[Radians]])</f>
        <v>-37.294578816837976</v>
      </c>
      <c r="G25" s="6" t="s">
        <v>39</v>
      </c>
      <c r="H25" s="5">
        <f>Table136[[#This Row],[Angle]]*10</f>
        <v>2640</v>
      </c>
      <c r="I25" s="2">
        <f>Xo-Table136[[#This Row],[y]]</f>
        <v>215.29457881683797</v>
      </c>
      <c r="J25" s="2">
        <f>Yo-Table136[[#This Row],[x]]</f>
        <v>78.919743725635655</v>
      </c>
      <c r="K25" s="2">
        <f>SQRT(POWER((Table136[[#This Row],[LED X]]-I26),2) + POWER((Table136[[#This Row],[LED Y]]-J26),2)) - LEDSize</f>
        <v>2.8396380926600679</v>
      </c>
    </row>
    <row r="26" spans="2:11" x14ac:dyDescent="0.25">
      <c r="B26">
        <v>24</v>
      </c>
      <c r="C26">
        <f>360/LEDCount * (Table136[[#This Row],[LED '#]]-1)</f>
        <v>276</v>
      </c>
      <c r="D26">
        <f>Table136[[#This Row],[Angle]]*RadiansInDegree</f>
        <v>4.8171108</v>
      </c>
      <c r="E26" s="2">
        <f>Radius*COS(Table136[[#This Row],[Radians]])</f>
        <v>3.9198943670084221</v>
      </c>
      <c r="F26" s="2">
        <f>Radius*SIN(Table136[[#This Row],[Radians]])</f>
        <v>-37.294562983784857</v>
      </c>
      <c r="G26" s="6" t="s">
        <v>40</v>
      </c>
      <c r="H26" s="5">
        <f>Table136[[#This Row],[Angle]]*10</f>
        <v>2760</v>
      </c>
      <c r="I26" s="2">
        <f>Xo-Table136[[#This Row],[y]]</f>
        <v>215.29456298378486</v>
      </c>
      <c r="J26" s="2">
        <f>Yo-Table136[[#This Row],[x]]</f>
        <v>71.080105632991575</v>
      </c>
      <c r="K26" s="2">
        <f>SQRT(POWER((Table136[[#This Row],[LED X]]-I27),2) + POWER((Table136[[#This Row],[LED Y]]-J27),2)) - LEDSize</f>
        <v>2.8396380926600955</v>
      </c>
    </row>
    <row r="27" spans="2:11" x14ac:dyDescent="0.25">
      <c r="B27">
        <v>25</v>
      </c>
      <c r="C27">
        <f>360/LEDCount * (Table136[[#This Row],[LED '#]]-1)</f>
        <v>288</v>
      </c>
      <c r="D27">
        <f>Table136[[#This Row],[Angle]]*RadiansInDegree</f>
        <v>5.0265504000000005</v>
      </c>
      <c r="E27" s="2">
        <f>Radius*COS(Table136[[#This Row],[Radians]])</f>
        <v>11.588214119765702</v>
      </c>
      <c r="F27" s="2">
        <f>Radius*SIN(Table136[[#This Row],[Radians]])</f>
        <v>-35.664594397167377</v>
      </c>
      <c r="G27" s="6" t="s">
        <v>41</v>
      </c>
      <c r="H27" s="5">
        <f>Table136[[#This Row],[Angle]]*10</f>
        <v>2880</v>
      </c>
      <c r="I27" s="2">
        <f>Xo-Table136[[#This Row],[y]]</f>
        <v>213.66459439716738</v>
      </c>
      <c r="J27" s="2">
        <f>Yo-Table136[[#This Row],[x]]</f>
        <v>63.411785880234298</v>
      </c>
      <c r="K27" s="2">
        <f>SQRT(POWER((Table136[[#This Row],[LED X]]-I28),2) + POWER((Table136[[#This Row],[LED Y]]-J28),2)) - LEDSize</f>
        <v>2.8396380926600617</v>
      </c>
    </row>
    <row r="28" spans="2:11" x14ac:dyDescent="0.25">
      <c r="B28">
        <v>26</v>
      </c>
      <c r="C28">
        <f>360/LEDCount * (Table136[[#This Row],[LED '#]]-1)</f>
        <v>300</v>
      </c>
      <c r="D28">
        <f>Table136[[#This Row],[Angle]]*RadiansInDegree</f>
        <v>5.2359900000000001</v>
      </c>
      <c r="E28" s="2">
        <f>Radius*COS(Table136[[#This Row],[Radians]])</f>
        <v>18.75007287654298</v>
      </c>
      <c r="F28" s="2">
        <f>Radius*SIN(Table136[[#This Row],[Radians]])</f>
        <v>-32.475910566515715</v>
      </c>
      <c r="G28" s="6" t="s">
        <v>42</v>
      </c>
      <c r="H28" s="5">
        <f>Table136[[#This Row],[Angle]]*10</f>
        <v>3000</v>
      </c>
      <c r="I28" s="2">
        <f>Xo-Table136[[#This Row],[y]]</f>
        <v>210.47591056651572</v>
      </c>
      <c r="J28" s="2">
        <f>Yo-Table136[[#This Row],[x]]</f>
        <v>56.24992712345702</v>
      </c>
      <c r="K28" s="2">
        <f>SQRT(POWER((Table136[[#This Row],[LED X]]-I29),2) + POWER((Table136[[#This Row],[LED Y]]-J29),2)) - LEDSize</f>
        <v>2.8396380926601061</v>
      </c>
    </row>
    <row r="29" spans="2:11" x14ac:dyDescent="0.25">
      <c r="B29">
        <v>27</v>
      </c>
      <c r="C29">
        <f>360/LEDCount * (Table136[[#This Row],[LED '#]]-1)</f>
        <v>312</v>
      </c>
      <c r="D29">
        <f>Table136[[#This Row],[Angle]]*RadiansInDegree</f>
        <v>5.4454296000000006</v>
      </c>
      <c r="E29" s="2">
        <f>Radius*COS(Table136[[#This Row],[Radians]])</f>
        <v>25.092462775944448</v>
      </c>
      <c r="F29" s="2">
        <f>Radius*SIN(Table136[[#This Row],[Radians]])</f>
        <v>-27.867872395248305</v>
      </c>
      <c r="G29" s="6" t="s">
        <v>43</v>
      </c>
      <c r="H29" s="5">
        <f>Table136[[#This Row],[Angle]]*10</f>
        <v>3120</v>
      </c>
      <c r="I29" s="2">
        <f>Xo-Table136[[#This Row],[y]]</f>
        <v>205.8678723952483</v>
      </c>
      <c r="J29" s="2">
        <f>Yo-Table136[[#This Row],[x]]</f>
        <v>49.907537224055552</v>
      </c>
      <c r="K29" s="2">
        <f>SQRT(POWER((Table136[[#This Row],[LED X]]-I30),2) + POWER((Table136[[#This Row],[LED Y]]-J30),2)) - LEDSize</f>
        <v>2.83963809266006</v>
      </c>
    </row>
    <row r="30" spans="2:11" x14ac:dyDescent="0.25">
      <c r="B30">
        <v>28</v>
      </c>
      <c r="C30">
        <f>360/LEDCount * (Table136[[#This Row],[LED '#]]-1)</f>
        <v>324</v>
      </c>
      <c r="D30">
        <f>Table136[[#This Row],[Angle]]*RadiansInDegree</f>
        <v>5.6548692000000003</v>
      </c>
      <c r="E30" s="2">
        <f>Radius*COS(Table136[[#This Row],[Radians]])</f>
        <v>30.338190708475697</v>
      </c>
      <c r="F30" s="2">
        <f>Radius*SIN(Table136[[#This Row],[Radians]])</f>
        <v>-22.041873435263142</v>
      </c>
      <c r="G30" s="6" t="s">
        <v>44</v>
      </c>
      <c r="H30" s="5">
        <f>Table136[[#This Row],[Angle]]*10</f>
        <v>3240</v>
      </c>
      <c r="I30" s="2">
        <f>Xo-Table136[[#This Row],[y]]</f>
        <v>200.04187343526314</v>
      </c>
      <c r="J30" s="2">
        <f>Yo-Table136[[#This Row],[x]]</f>
        <v>44.661809291524307</v>
      </c>
      <c r="K30" s="2">
        <f>SQRT(POWER((Table136[[#This Row],[LED X]]-I31),2) + POWER((Table136[[#This Row],[LED Y]]-J31),2)) - LEDSize</f>
        <v>2.8396380926600955</v>
      </c>
    </row>
    <row r="31" spans="2:11" x14ac:dyDescent="0.25">
      <c r="B31">
        <v>29</v>
      </c>
      <c r="C31">
        <f>360/LEDCount * (Table136[[#This Row],[LED '#]]-1)</f>
        <v>336</v>
      </c>
      <c r="D31">
        <f>Table136[[#This Row],[Angle]]*RadiansInDegree</f>
        <v>5.8643088000000008</v>
      </c>
      <c r="E31" s="2">
        <f>Radius*COS(Table136[[#This Row],[Radians]])</f>
        <v>34.257992995895087</v>
      </c>
      <c r="F31" s="2">
        <f>Radius*SIN(Table136[[#This Row],[Radians]])</f>
        <v>-15.252538014809312</v>
      </c>
      <c r="G31" s="6" t="s">
        <v>45</v>
      </c>
      <c r="H31" s="5">
        <f>Table136[[#This Row],[Angle]]*10</f>
        <v>3360</v>
      </c>
      <c r="I31" s="2">
        <f>Xo-Table136[[#This Row],[y]]</f>
        <v>193.25253801480932</v>
      </c>
      <c r="J31" s="2">
        <f>Yo-Table136[[#This Row],[x]]</f>
        <v>40.742007004104913</v>
      </c>
      <c r="K31" s="2">
        <f>SQRT(POWER((Table136[[#This Row],[LED X]]-I32),2) + POWER((Table136[[#This Row],[LED Y]]-J32),2)) - LEDSize</f>
        <v>2.83963809266006</v>
      </c>
    </row>
    <row r="32" spans="2:11" x14ac:dyDescent="0.25">
      <c r="B32">
        <v>30</v>
      </c>
      <c r="C32">
        <f>360/LEDCount * (Table136[[#This Row],[LED '#]]-1)</f>
        <v>348</v>
      </c>
      <c r="D32">
        <f>Table136[[#This Row],[Angle]]*RadiansInDegree</f>
        <v>6.0737484000000004</v>
      </c>
      <c r="E32" s="2">
        <f>Radius*COS(Table136[[#This Row],[Radians]])</f>
        <v>36.680555322639087</v>
      </c>
      <c r="F32" s="2">
        <f>Radius*SIN(Table136[[#This Row],[Radians]])</f>
        <v>-7.7965929240158287</v>
      </c>
      <c r="G32" s="6" t="s">
        <v>46</v>
      </c>
      <c r="H32" s="5">
        <f>Table136[[#This Row],[Angle]]*10</f>
        <v>3480</v>
      </c>
      <c r="I32" s="2">
        <f>Xo-Table136[[#This Row],[y]]</f>
        <v>185.79659292401584</v>
      </c>
      <c r="J32" s="2">
        <f>Yo-Table136[[#This Row],[x]]</f>
        <v>38.319444677360913</v>
      </c>
      <c r="K32" s="2">
        <f>SQRT(POWER((Table136[[#This Row],[LED X]]-I33),2) + POWER((Table136[[#This Row],[LED Y]]-J33),2)) - LEDSize</f>
        <v>184.70702091001741</v>
      </c>
    </row>
  </sheetData>
  <mergeCells count="1">
    <mergeCell ref="M2:N2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2"/>
  <sheetViews>
    <sheetView workbookViewId="0">
      <selection activeCell="K2" sqref="K2"/>
    </sheetView>
  </sheetViews>
  <sheetFormatPr defaultRowHeight="15" x14ac:dyDescent="0.25"/>
  <cols>
    <col min="1" max="1" width="3.140625" customWidth="1"/>
    <col min="4" max="4" width="10.140625" bestFit="1" customWidth="1"/>
    <col min="7" max="7" width="12.140625" bestFit="1" customWidth="1"/>
    <col min="8" max="8" width="12" bestFit="1" customWidth="1"/>
    <col min="11" max="11" width="10" bestFit="1" customWidth="1"/>
    <col min="12" max="12" width="3.7109375" customWidth="1"/>
    <col min="13" max="13" width="17.42578125" bestFit="1" customWidth="1"/>
    <col min="14" max="14" width="11" customWidth="1"/>
    <col min="15" max="15" width="5.5703125" bestFit="1" customWidth="1"/>
    <col min="16" max="16" width="6.28515625" bestFit="1" customWidth="1"/>
    <col min="17" max="17" width="8.42578125" bestFit="1" customWidth="1"/>
    <col min="18" max="18" width="6.5703125" bestFit="1" customWidth="1"/>
  </cols>
  <sheetData>
    <row r="2" spans="2:18" x14ac:dyDescent="0.25"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7" t="s">
        <v>62</v>
      </c>
      <c r="H2" s="7" t="s">
        <v>63</v>
      </c>
      <c r="I2" s="7" t="s">
        <v>65</v>
      </c>
      <c r="J2" s="7" t="s">
        <v>66</v>
      </c>
      <c r="K2" s="19" t="s">
        <v>64</v>
      </c>
      <c r="M2" s="17" t="s">
        <v>67</v>
      </c>
      <c r="N2" s="18"/>
    </row>
    <row r="3" spans="2:18" x14ac:dyDescent="0.25">
      <c r="B3">
        <v>1</v>
      </c>
      <c r="C3">
        <f>360/LEDCount * (Table1368[[#This Row],[LED '#]]-1)</f>
        <v>0</v>
      </c>
      <c r="D3">
        <f>Table1368[[#This Row],[Angle]]*RadiansInDegree</f>
        <v>0</v>
      </c>
      <c r="E3" s="2">
        <f>Radius*COS(Table1368[[#This Row],[Radians]])</f>
        <v>22.5</v>
      </c>
      <c r="F3" s="2">
        <f>Radius*SIN(Table1368[[#This Row],[Radians]])</f>
        <v>0</v>
      </c>
      <c r="G3" s="6" t="s">
        <v>17</v>
      </c>
      <c r="H3" s="5">
        <f>Table1368[[#This Row],[Angle]]*10</f>
        <v>0</v>
      </c>
      <c r="I3" s="4">
        <f>Xo-Table1368[[#This Row],[y]]</f>
        <v>178</v>
      </c>
      <c r="J3" s="4">
        <f>Yo-Table1368[[#This Row],[x]]</f>
        <v>52.5</v>
      </c>
      <c r="K3" s="4">
        <f>SQRT(POWER((Table1368[[#This Row],[LED X]]-I4),2) + POWER((Table1368[[#This Row],[LED Y]]-J4),2)) - LEDSize</f>
        <v>2.0395539189361029</v>
      </c>
      <c r="M3" s="8" t="s">
        <v>68</v>
      </c>
      <c r="N3" s="9" t="s">
        <v>69</v>
      </c>
    </row>
    <row r="4" spans="2:18" x14ac:dyDescent="0.25">
      <c r="B4">
        <v>2</v>
      </c>
      <c r="C4">
        <f>360/LEDCount * (Table1368[[#This Row],[LED '#]]-1)</f>
        <v>18</v>
      </c>
      <c r="D4">
        <f>Table1368[[#This Row],[Angle]]*RadiansInDegree</f>
        <v>0.31415940000000003</v>
      </c>
      <c r="E4" s="2">
        <f>Radius*COS(Table1368[[#This Row],[Radians]])</f>
        <v>21.398770680497581</v>
      </c>
      <c r="F4" s="2">
        <f>Radius*SIN(Table1368[[#This Row],[Radians]])</f>
        <v>6.9528852545887068</v>
      </c>
      <c r="G4" s="6" t="s">
        <v>28</v>
      </c>
      <c r="H4" s="5">
        <f>Table1368[[#This Row],[Angle]]*10</f>
        <v>180</v>
      </c>
      <c r="I4" s="4">
        <f>Xo-Table1368[[#This Row],[y]]</f>
        <v>171.04711474541131</v>
      </c>
      <c r="J4" s="4">
        <f>Yo-Table1368[[#This Row],[x]]</f>
        <v>53.601229319502423</v>
      </c>
      <c r="K4" s="4">
        <f>SQRT(POWER((Table1368[[#This Row],[LED X]]-I5),2) + POWER((Table1368[[#This Row],[LED Y]]-J5),2)) - LEDSize</f>
        <v>2.0395539189361198</v>
      </c>
      <c r="M4" s="10" t="s">
        <v>10</v>
      </c>
      <c r="N4" s="11">
        <v>1.7453300000000001E-2</v>
      </c>
      <c r="Q4" s="2"/>
      <c r="R4" s="2"/>
    </row>
    <row r="5" spans="2:18" x14ac:dyDescent="0.25">
      <c r="B5">
        <v>3</v>
      </c>
      <c r="C5">
        <f>360/LEDCount * (Table1368[[#This Row],[LED '#]]-1)</f>
        <v>36</v>
      </c>
      <c r="D5">
        <f>Table1368[[#This Row],[Angle]]*RadiansInDegree</f>
        <v>0.62831880000000007</v>
      </c>
      <c r="E5" s="2">
        <f>Radius*COS(Table1368[[#This Row],[Radians]])</f>
        <v>18.202878812135374</v>
      </c>
      <c r="F5" s="2">
        <f>Radius*SIN(Table1368[[#This Row],[Radians]])</f>
        <v>13.225173078289492</v>
      </c>
      <c r="G5" s="6" t="s">
        <v>29</v>
      </c>
      <c r="H5" s="5">
        <f>Table1368[[#This Row],[Angle]]*10</f>
        <v>360</v>
      </c>
      <c r="I5" s="4">
        <f>Xo-Table1368[[#This Row],[y]]</f>
        <v>164.77482692171051</v>
      </c>
      <c r="J5" s="4">
        <f>Yo-Table1368[[#This Row],[x]]</f>
        <v>56.797121187864626</v>
      </c>
      <c r="K5" s="4">
        <f>SQRT(POWER((Table1368[[#This Row],[LED X]]-I6),2) + POWER((Table1368[[#This Row],[LED Y]]-J6),2)) - LEDSize</f>
        <v>2.0395539189361225</v>
      </c>
      <c r="M5" s="12" t="s">
        <v>58</v>
      </c>
      <c r="N5" s="13">
        <v>25</v>
      </c>
    </row>
    <row r="6" spans="2:18" x14ac:dyDescent="0.25">
      <c r="B6">
        <v>4</v>
      </c>
      <c r="C6">
        <f>360/LEDCount * (Table1368[[#This Row],[LED '#]]-1)</f>
        <v>54</v>
      </c>
      <c r="D6">
        <f>Table1368[[#This Row],[Angle]]*RadiansInDegree</f>
        <v>0.94247820000000004</v>
      </c>
      <c r="E6" s="2">
        <f>Radius*COS(Table1368[[#This Row],[Radians]])</f>
        <v>13.225160824015578</v>
      </c>
      <c r="F6" s="2">
        <f>Radius*SIN(Table1368[[#This Row],[Radians]])</f>
        <v>18.202887715385259</v>
      </c>
      <c r="G6" s="6" t="s">
        <v>30</v>
      </c>
      <c r="H6" s="5">
        <f>Table1368[[#This Row],[Angle]]*10</f>
        <v>540</v>
      </c>
      <c r="I6" s="4">
        <f>Xo-Table1368[[#This Row],[y]]</f>
        <v>159.79711228461474</v>
      </c>
      <c r="J6" s="4">
        <f>Yo-Table1368[[#This Row],[x]]</f>
        <v>61.774839175984425</v>
      </c>
      <c r="K6" s="4">
        <f>SQRT(POWER((Table1368[[#This Row],[LED X]]-I7),2) + POWER((Table1368[[#This Row],[LED Y]]-J7),2)) - LEDSize</f>
        <v>2.0395539189361118</v>
      </c>
      <c r="M6" s="12" t="s">
        <v>59</v>
      </c>
      <c r="N6" s="13">
        <f>RingRadius-LEDSize/2</f>
        <v>22.5</v>
      </c>
    </row>
    <row r="7" spans="2:18" x14ac:dyDescent="0.25">
      <c r="B7">
        <v>5</v>
      </c>
      <c r="C7">
        <f>360/LEDCount * (Table1368[[#This Row],[LED '#]]-1)</f>
        <v>72</v>
      </c>
      <c r="D7">
        <f>Table1368[[#This Row],[Angle]]*RadiansInDegree</f>
        <v>1.2566376000000001</v>
      </c>
      <c r="E7" s="2">
        <f>Radius*COS(Table1368[[#This Row],[Radians]])</f>
        <v>6.9528708488254996</v>
      </c>
      <c r="F7" s="2">
        <f>Radius*SIN(Table1368[[#This Row],[Radians]])</f>
        <v>21.398775361210571</v>
      </c>
      <c r="G7" s="6" t="s">
        <v>31</v>
      </c>
      <c r="H7" s="5">
        <f>Table1368[[#This Row],[Angle]]*10</f>
        <v>720</v>
      </c>
      <c r="I7" s="2">
        <f>Xo-Table1368[[#This Row],[y]]</f>
        <v>156.60122463878943</v>
      </c>
      <c r="J7" s="2">
        <f>Yo-Table1368[[#This Row],[x]]</f>
        <v>68.047129151174502</v>
      </c>
      <c r="K7" s="2">
        <f>SQRT(POWER((Table1368[[#This Row],[LED X]]-I8),2) + POWER((Table1368[[#This Row],[LED Y]]-J8),2)) - LEDSize</f>
        <v>2.0395539189361234</v>
      </c>
      <c r="M7" s="12" t="s">
        <v>11</v>
      </c>
      <c r="N7" s="13">
        <v>20</v>
      </c>
    </row>
    <row r="8" spans="2:18" x14ac:dyDescent="0.25">
      <c r="B8">
        <v>6</v>
      </c>
      <c r="C8">
        <f>360/LEDCount * (Table1368[[#This Row],[LED '#]]-1)</f>
        <v>90</v>
      </c>
      <c r="D8">
        <f>Table1368[[#This Row],[Angle]]*RadiansInDegree</f>
        <v>1.5707970000000002</v>
      </c>
      <c r="E8" s="2">
        <f>Radius*COS(Table1368[[#This Row],[Radians]])</f>
        <v>-1.5147114831035052E-5</v>
      </c>
      <c r="F8" s="2">
        <f>Radius*SIN(Table1368[[#This Row],[Radians]])</f>
        <v>22.499999999994902</v>
      </c>
      <c r="G8" s="6" t="s">
        <v>32</v>
      </c>
      <c r="H8" s="5">
        <f>Table1368[[#This Row],[Angle]]*10</f>
        <v>900</v>
      </c>
      <c r="I8" s="2">
        <f>Xo-Table1368[[#This Row],[y]]</f>
        <v>155.50000000000509</v>
      </c>
      <c r="J8" s="2">
        <f>Yo-Table1368[[#This Row],[x]]</f>
        <v>75.000015147114837</v>
      </c>
      <c r="K8" s="2">
        <f>SQRT(POWER((Table1368[[#This Row],[LED X]]-I9),2) + POWER((Table1368[[#This Row],[LED Y]]-J9),2)) - LEDSize</f>
        <v>2.03955391893611</v>
      </c>
      <c r="M8" s="12" t="s">
        <v>57</v>
      </c>
      <c r="N8" s="13">
        <v>5</v>
      </c>
    </row>
    <row r="9" spans="2:18" x14ac:dyDescent="0.25">
      <c r="B9">
        <v>7</v>
      </c>
      <c r="C9">
        <f>360/LEDCount * (Table1368[[#This Row],[LED '#]]-1)</f>
        <v>108</v>
      </c>
      <c r="D9">
        <f>Table1368[[#This Row],[Angle]]*RadiansInDegree</f>
        <v>1.8849564000000001</v>
      </c>
      <c r="E9" s="2">
        <f>Radius*COS(Table1368[[#This Row],[Radians]])</f>
        <v>-6.9528996603487601</v>
      </c>
      <c r="F9" s="2">
        <f>Radius*SIN(Table1368[[#This Row],[Radians]])</f>
        <v>21.398765999774895</v>
      </c>
      <c r="G9" s="6" t="s">
        <v>33</v>
      </c>
      <c r="H9" s="5">
        <f>Table1368[[#This Row],[Angle]]*10</f>
        <v>1080</v>
      </c>
      <c r="I9" s="2">
        <f>Xo-Table1368[[#This Row],[y]]</f>
        <v>156.60123400022511</v>
      </c>
      <c r="J9" s="2">
        <f>Yo-Table1368[[#This Row],[x]]</f>
        <v>81.952899660348763</v>
      </c>
      <c r="K9" s="2">
        <f>SQRT(POWER((Table1368[[#This Row],[LED X]]-I10),2) + POWER((Table1368[[#This Row],[LED Y]]-J10),2)) - LEDSize</f>
        <v>2.0395539189361225</v>
      </c>
      <c r="M9" s="12" t="s">
        <v>60</v>
      </c>
      <c r="N9" s="14">
        <v>178</v>
      </c>
    </row>
    <row r="10" spans="2:18" x14ac:dyDescent="0.25">
      <c r="B10">
        <v>8</v>
      </c>
      <c r="C10">
        <f>360/LEDCount * (Table1368[[#This Row],[LED '#]]-1)</f>
        <v>126</v>
      </c>
      <c r="D10">
        <f>Table1368[[#This Row],[Angle]]*RadiansInDegree</f>
        <v>2.1991158000000004</v>
      </c>
      <c r="E10" s="2">
        <f>Radius*COS(Table1368[[#This Row],[Radians]])</f>
        <v>-13.225185332557412</v>
      </c>
      <c r="F10" s="2">
        <f>Radius*SIN(Table1368[[#This Row],[Radians]])</f>
        <v>18.202869908877233</v>
      </c>
      <c r="G10" s="6" t="s">
        <v>34</v>
      </c>
      <c r="H10" s="5">
        <f>Table1368[[#This Row],[Angle]]*10</f>
        <v>1260</v>
      </c>
      <c r="I10" s="2">
        <f>Xo-Table1368[[#This Row],[y]]</f>
        <v>159.79713009112277</v>
      </c>
      <c r="J10" s="2">
        <f>Yo-Table1368[[#This Row],[x]]</f>
        <v>88.225185332557416</v>
      </c>
      <c r="K10" s="2">
        <f>SQRT(POWER((Table1368[[#This Row],[LED X]]-I11),2) + POWER((Table1368[[#This Row],[LED Y]]-J11),2)) - LEDSize</f>
        <v>2.0395539189361118</v>
      </c>
      <c r="M10" s="15" t="s">
        <v>61</v>
      </c>
      <c r="N10" s="16">
        <v>75</v>
      </c>
    </row>
    <row r="11" spans="2:18" x14ac:dyDescent="0.25">
      <c r="B11">
        <v>9</v>
      </c>
      <c r="C11">
        <f>360/LEDCount * (Table1368[[#This Row],[LED '#]]-1)</f>
        <v>144</v>
      </c>
      <c r="D11">
        <f>Table1368[[#This Row],[Angle]]*RadiansInDegree</f>
        <v>2.5132752000000003</v>
      </c>
      <c r="E11" s="2">
        <f>Radius*COS(Table1368[[#This Row],[Radians]])</f>
        <v>-18.202896618626898</v>
      </c>
      <c r="F11" s="2">
        <f>Radius*SIN(Table1368[[#This Row],[Radians]])</f>
        <v>13.225148569735673</v>
      </c>
      <c r="G11" s="6" t="s">
        <v>35</v>
      </c>
      <c r="H11" s="5">
        <f>Table1368[[#This Row],[Angle]]*10</f>
        <v>1440</v>
      </c>
      <c r="I11" s="2">
        <f>Xo-Table1368[[#This Row],[y]]</f>
        <v>164.77485143026433</v>
      </c>
      <c r="J11" s="2">
        <f>Yo-Table1368[[#This Row],[x]]</f>
        <v>93.202896618626895</v>
      </c>
      <c r="K11" s="2">
        <f>SQRT(POWER((Table1368[[#This Row],[LED X]]-I12),2) + POWER((Table1368[[#This Row],[LED Y]]-J12),2)) - LEDSize</f>
        <v>2.0395539189361065</v>
      </c>
    </row>
    <row r="12" spans="2:18" x14ac:dyDescent="0.25">
      <c r="B12">
        <v>10</v>
      </c>
      <c r="C12">
        <f>360/LEDCount * (Table1368[[#This Row],[LED '#]]-1)</f>
        <v>162</v>
      </c>
      <c r="D12">
        <f>Table1368[[#This Row],[Angle]]*RadiansInDegree</f>
        <v>2.8274346000000001</v>
      </c>
      <c r="E12" s="2">
        <f>Radius*COS(Table1368[[#This Row],[Radians]])</f>
        <v>-21.398780041913863</v>
      </c>
      <c r="F12" s="2">
        <f>Radius*SIN(Table1368[[#This Row],[Radians]])</f>
        <v>6.9528564430591446</v>
      </c>
      <c r="G12" s="6" t="s">
        <v>36</v>
      </c>
      <c r="H12" s="5">
        <f>Table1368[[#This Row],[Angle]]*10</f>
        <v>1620</v>
      </c>
      <c r="I12" s="2">
        <f>Xo-Table1368[[#This Row],[y]]</f>
        <v>171.04714355694085</v>
      </c>
      <c r="J12" s="2">
        <f>Yo-Table1368[[#This Row],[x]]</f>
        <v>96.398780041913867</v>
      </c>
      <c r="K12" s="2">
        <f>SQRT(POWER((Table1368[[#This Row],[LED X]]-I13),2) + POWER((Table1368[[#This Row],[LED Y]]-J13),2)) - LEDSize</f>
        <v>2.0395539189361358</v>
      </c>
    </row>
    <row r="13" spans="2:18" x14ac:dyDescent="0.25">
      <c r="B13">
        <v>11</v>
      </c>
      <c r="C13">
        <f>360/LEDCount * (Table1368[[#This Row],[LED '#]]-1)</f>
        <v>180</v>
      </c>
      <c r="D13">
        <f>Table1368[[#This Row],[Angle]]*RadiansInDegree</f>
        <v>3.1415940000000004</v>
      </c>
      <c r="E13" s="2">
        <f>Radius*COS(Table1368[[#This Row],[Radians]])</f>
        <v>-22.499999999979607</v>
      </c>
      <c r="F13" s="2">
        <f>Radius*SIN(Table1368[[#This Row],[Radians]])</f>
        <v>-3.029422966206324E-5</v>
      </c>
      <c r="G13" s="6" t="s">
        <v>37</v>
      </c>
      <c r="H13" s="5">
        <f>Table1368[[#This Row],[Angle]]*10</f>
        <v>1800</v>
      </c>
      <c r="I13" s="2">
        <f>Xo-Table1368[[#This Row],[y]]</f>
        <v>178.00003029422967</v>
      </c>
      <c r="J13" s="2">
        <f>Yo-Table1368[[#This Row],[x]]</f>
        <v>97.499999999979607</v>
      </c>
      <c r="K13" s="2">
        <f>SQRT(POWER((Table1368[[#This Row],[LED X]]-I14),2) + POWER((Table1368[[#This Row],[LED Y]]-J14),2)) - LEDSize</f>
        <v>2.0395539189361109</v>
      </c>
    </row>
    <row r="14" spans="2:18" x14ac:dyDescent="0.25">
      <c r="B14">
        <v>12</v>
      </c>
      <c r="C14">
        <f>360/LEDCount * (Table1368[[#This Row],[LED '#]]-1)</f>
        <v>198</v>
      </c>
      <c r="D14">
        <f>Table1368[[#This Row],[Angle]]*RadiansInDegree</f>
        <v>3.4557534000000003</v>
      </c>
      <c r="E14" s="2">
        <f>Radius*COS(Table1368[[#This Row],[Radians]])</f>
        <v>-21.39876131904251</v>
      </c>
      <c r="F14" s="2">
        <f>Radius*SIN(Table1368[[#This Row],[Radians]])</f>
        <v>-6.9529140661056665</v>
      </c>
      <c r="G14" s="6" t="s">
        <v>38</v>
      </c>
      <c r="H14" s="5">
        <f>Table1368[[#This Row],[Angle]]*10</f>
        <v>1980</v>
      </c>
      <c r="I14" s="2">
        <f>Xo-Table1368[[#This Row],[y]]</f>
        <v>184.95291406610568</v>
      </c>
      <c r="J14" s="2">
        <f>Yo-Table1368[[#This Row],[x]]</f>
        <v>96.398761319042507</v>
      </c>
      <c r="K14" s="2">
        <f>SQRT(POWER((Table1368[[#This Row],[LED X]]-I15),2) + POWER((Table1368[[#This Row],[LED Y]]-J15),2)) - LEDSize</f>
        <v>2.0395539189360887</v>
      </c>
    </row>
    <row r="15" spans="2:18" x14ac:dyDescent="0.25">
      <c r="B15">
        <v>13</v>
      </c>
      <c r="C15">
        <f>360/LEDCount * (Table1368[[#This Row],[LED '#]]-1)</f>
        <v>216</v>
      </c>
      <c r="D15">
        <f>Table1368[[#This Row],[Angle]]*RadiansInDegree</f>
        <v>3.7699128000000002</v>
      </c>
      <c r="E15" s="2">
        <f>Radius*COS(Table1368[[#This Row],[Radians]])</f>
        <v>-18.202861005610853</v>
      </c>
      <c r="F15" s="2">
        <f>Radius*SIN(Table1368[[#This Row],[Radians]])</f>
        <v>-13.225197586819331</v>
      </c>
      <c r="G15" s="6" t="s">
        <v>39</v>
      </c>
      <c r="H15" s="5">
        <f>Table1368[[#This Row],[Angle]]*10</f>
        <v>2160</v>
      </c>
      <c r="I15" s="2">
        <f>Xo-Table1368[[#This Row],[y]]</f>
        <v>191.22519758681932</v>
      </c>
      <c r="J15" s="2">
        <f>Yo-Table1368[[#This Row],[x]]</f>
        <v>93.202861005610856</v>
      </c>
      <c r="K15" s="2">
        <f>SQRT(POWER((Table1368[[#This Row],[LED X]]-I16),2) + POWER((Table1368[[#This Row],[LED Y]]-J16),2)) - LEDSize</f>
        <v>2.0395539189361322</v>
      </c>
    </row>
    <row r="16" spans="2:18" x14ac:dyDescent="0.25">
      <c r="B16">
        <v>14</v>
      </c>
      <c r="C16">
        <f>360/LEDCount * (Table1368[[#This Row],[LED '#]]-1)</f>
        <v>234</v>
      </c>
      <c r="D16">
        <f>Table1368[[#This Row],[Angle]]*RadiansInDegree</f>
        <v>4.0840722000000005</v>
      </c>
      <c r="E16" s="2">
        <f>Radius*COS(Table1368[[#This Row],[Radians]])</f>
        <v>-13.225136315449772</v>
      </c>
      <c r="F16" s="2">
        <f>Radius*SIN(Table1368[[#This Row],[Radians]])</f>
        <v>-18.202905521860284</v>
      </c>
      <c r="G16" s="6" t="s">
        <v>40</v>
      </c>
      <c r="H16" s="5">
        <f>Table1368[[#This Row],[Angle]]*10</f>
        <v>2340</v>
      </c>
      <c r="I16" s="2">
        <f>Xo-Table1368[[#This Row],[y]]</f>
        <v>196.20290552186029</v>
      </c>
      <c r="J16" s="2">
        <f>Yo-Table1368[[#This Row],[x]]</f>
        <v>88.225136315449774</v>
      </c>
      <c r="K16" s="2">
        <f>SQRT(POWER((Table1368[[#This Row],[LED X]]-I17),2) + POWER((Table1368[[#This Row],[LED Y]]-J17),2)) - LEDSize</f>
        <v>2.0395539189361136</v>
      </c>
    </row>
    <row r="17" spans="2:11" x14ac:dyDescent="0.25">
      <c r="B17">
        <v>15</v>
      </c>
      <c r="C17">
        <f>360/LEDCount * (Table1368[[#This Row],[LED '#]]-1)</f>
        <v>252</v>
      </c>
      <c r="D17">
        <f>Table1368[[#This Row],[Angle]]*RadiansInDegree</f>
        <v>4.3982316000000008</v>
      </c>
      <c r="E17" s="2">
        <f>Radius*COS(Table1368[[#This Row],[Radians]])</f>
        <v>-6.9528420372896234</v>
      </c>
      <c r="F17" s="2">
        <f>Radius*SIN(Table1368[[#This Row],[Radians]])</f>
        <v>-21.398784722607456</v>
      </c>
      <c r="G17" s="6" t="s">
        <v>41</v>
      </c>
      <c r="H17" s="5">
        <f>Table1368[[#This Row],[Angle]]*10</f>
        <v>2520</v>
      </c>
      <c r="I17" s="2">
        <f>Xo-Table1368[[#This Row],[y]]</f>
        <v>199.39878472260745</v>
      </c>
      <c r="J17" s="2">
        <f>Yo-Table1368[[#This Row],[x]]</f>
        <v>81.952842037289628</v>
      </c>
      <c r="K17" s="2">
        <f>SQRT(POWER((Table1368[[#This Row],[LED X]]-I18),2) + POWER((Table1368[[#This Row],[LED Y]]-J18),2)) - LEDSize</f>
        <v>2.0395539189361092</v>
      </c>
    </row>
    <row r="18" spans="2:11" x14ac:dyDescent="0.25">
      <c r="B18">
        <v>16</v>
      </c>
      <c r="C18">
        <f>360/LEDCount * (Table1368[[#This Row],[LED '#]]-1)</f>
        <v>270</v>
      </c>
      <c r="D18">
        <f>Table1368[[#This Row],[Angle]]*RadiansInDegree</f>
        <v>4.7123910000000002</v>
      </c>
      <c r="E18" s="2">
        <f>Radius*COS(Table1368[[#This Row],[Radians]])</f>
        <v>4.5441344483085687E-5</v>
      </c>
      <c r="F18" s="2">
        <f>Radius*SIN(Table1368[[#This Row],[Radians]])</f>
        <v>-22.499999999954113</v>
      </c>
      <c r="G18" s="6" t="s">
        <v>42</v>
      </c>
      <c r="H18" s="5">
        <f>Table1368[[#This Row],[Angle]]*10</f>
        <v>2700</v>
      </c>
      <c r="I18" s="2">
        <f>Xo-Table1368[[#This Row],[y]]</f>
        <v>200.49999999995413</v>
      </c>
      <c r="J18" s="2">
        <f>Yo-Table1368[[#This Row],[x]]</f>
        <v>74.999954558655517</v>
      </c>
      <c r="K18" s="2">
        <f>SQRT(POWER((Table1368[[#This Row],[LED X]]-I19),2) + POWER((Table1368[[#This Row],[LED Y]]-J19),2)) - LEDSize</f>
        <v>2.0395539189361251</v>
      </c>
    </row>
    <row r="19" spans="2:11" x14ac:dyDescent="0.25">
      <c r="B19">
        <v>17</v>
      </c>
      <c r="C19">
        <f>360/LEDCount * (Table1368[[#This Row],[LED '#]]-1)</f>
        <v>288</v>
      </c>
      <c r="D19">
        <f>Table1368[[#This Row],[Angle]]*RadiansInDegree</f>
        <v>5.0265504000000005</v>
      </c>
      <c r="E19" s="2">
        <f>Radius*COS(Table1368[[#This Row],[Radians]])</f>
        <v>6.9529284718594218</v>
      </c>
      <c r="F19" s="2">
        <f>Radius*SIN(Table1368[[#This Row],[Radians]])</f>
        <v>-21.398756638300426</v>
      </c>
      <c r="G19" s="6" t="s">
        <v>43</v>
      </c>
      <c r="H19" s="5">
        <f>Table1368[[#This Row],[Angle]]*10</f>
        <v>2880</v>
      </c>
      <c r="I19" s="2">
        <f>Xo-Table1368[[#This Row],[y]]</f>
        <v>199.39875663830043</v>
      </c>
      <c r="J19" s="2">
        <f>Yo-Table1368[[#This Row],[x]]</f>
        <v>68.047071528140577</v>
      </c>
      <c r="K19" s="2">
        <f>SQRT(POWER((Table1368[[#This Row],[LED X]]-I20),2) + POWER((Table1368[[#This Row],[LED Y]]-J20),2)) - LEDSize</f>
        <v>2.0395539189361189</v>
      </c>
    </row>
    <row r="20" spans="2:11" x14ac:dyDescent="0.25">
      <c r="B20">
        <v>18</v>
      </c>
      <c r="C20">
        <f>360/LEDCount * (Table1368[[#This Row],[LED '#]]-1)</f>
        <v>306</v>
      </c>
      <c r="D20">
        <f>Table1368[[#This Row],[Angle]]*RadiansInDegree</f>
        <v>5.3407098000000008</v>
      </c>
      <c r="E20" s="2">
        <f>Radius*COS(Table1368[[#This Row],[Radians]])</f>
        <v>13.225209841075269</v>
      </c>
      <c r="F20" s="2">
        <f>Radius*SIN(Table1368[[#This Row],[Radians]])</f>
        <v>-18.202852102336212</v>
      </c>
      <c r="G20" s="6" t="s">
        <v>44</v>
      </c>
      <c r="H20" s="5">
        <f>Table1368[[#This Row],[Angle]]*10</f>
        <v>3060</v>
      </c>
      <c r="I20" s="2">
        <f>Xo-Table1368[[#This Row],[y]]</f>
        <v>196.20285210233621</v>
      </c>
      <c r="J20" s="2">
        <f>Yo-Table1368[[#This Row],[x]]</f>
        <v>61.774790158924731</v>
      </c>
      <c r="K20" s="2">
        <f>SQRT(POWER((Table1368[[#This Row],[LED X]]-I21),2) + POWER((Table1368[[#This Row],[LED Y]]-J21),2)) - LEDSize</f>
        <v>2.0395539189361021</v>
      </c>
    </row>
    <row r="21" spans="2:11" x14ac:dyDescent="0.25">
      <c r="B21">
        <v>19</v>
      </c>
      <c r="C21">
        <f>360/LEDCount * (Table1368[[#This Row],[LED '#]]-1)</f>
        <v>324</v>
      </c>
      <c r="D21">
        <f>Table1368[[#This Row],[Angle]]*RadiansInDegree</f>
        <v>5.6548692000000003</v>
      </c>
      <c r="E21" s="2">
        <f>Radius*COS(Table1368[[#This Row],[Radians]])</f>
        <v>18.202914425085417</v>
      </c>
      <c r="F21" s="2">
        <f>Radius*SIN(Table1368[[#This Row],[Radians]])</f>
        <v>-13.225124061157885</v>
      </c>
      <c r="G21" s="6" t="s">
        <v>45</v>
      </c>
      <c r="H21" s="5">
        <f>Table1368[[#This Row],[Angle]]*10</f>
        <v>3240</v>
      </c>
      <c r="I21" s="2">
        <f>Xo-Table1368[[#This Row],[y]]</f>
        <v>191.22512406115789</v>
      </c>
      <c r="J21" s="2">
        <f>Yo-Table1368[[#This Row],[x]]</f>
        <v>56.797085574914583</v>
      </c>
      <c r="K21" s="2">
        <f>SQRT(POWER((Table1368[[#This Row],[LED X]]-I22),2) + POWER((Table1368[[#This Row],[LED Y]]-J22),2)) - LEDSize</f>
        <v>2.0395539189361118</v>
      </c>
    </row>
    <row r="22" spans="2:11" x14ac:dyDescent="0.25">
      <c r="B22">
        <v>20</v>
      </c>
      <c r="C22">
        <f>360/LEDCount * (Table1368[[#This Row],[LED '#]]-1)</f>
        <v>342</v>
      </c>
      <c r="D22">
        <f>Table1368[[#This Row],[Angle]]*RadiansInDegree</f>
        <v>5.9690286000000006</v>
      </c>
      <c r="E22" s="2">
        <f>Radius*COS(Table1368[[#This Row],[Radians]])</f>
        <v>21.398789403291346</v>
      </c>
      <c r="F22" s="2">
        <f>Radius*SIN(Table1368[[#This Row],[Radians]])</f>
        <v>-6.952827631516973</v>
      </c>
      <c r="G22" s="6" t="s">
        <v>46</v>
      </c>
      <c r="H22" s="5">
        <f>Table1368[[#This Row],[Angle]]*10</f>
        <v>3420</v>
      </c>
      <c r="I22" s="2">
        <f>Xo-Table1368[[#This Row],[y]]</f>
        <v>184.95282763151698</v>
      </c>
      <c r="J22" s="2">
        <f>Yo-Table1368[[#This Row],[x]]</f>
        <v>53.601210596708654</v>
      </c>
      <c r="K22" s="2">
        <f>SQRT(POWER((Table1368[[#This Row],[LED X]]-I23),2) + POWER((Table1368[[#This Row],[LED Y]]-J23),2)) - LEDSize</f>
        <v>187.5633356231823</v>
      </c>
    </row>
    <row r="23" spans="2:11" x14ac:dyDescent="0.25">
      <c r="E23" s="2"/>
      <c r="F23" s="2"/>
      <c r="G23" s="6"/>
      <c r="H23" s="5"/>
      <c r="I23" s="2"/>
      <c r="J23" s="2"/>
      <c r="K23" s="2"/>
    </row>
    <row r="24" spans="2:11" x14ac:dyDescent="0.25">
      <c r="E24" s="2"/>
      <c r="F24" s="2"/>
      <c r="G24" s="6"/>
      <c r="H24" s="5"/>
      <c r="I24" s="2"/>
      <c r="J24" s="2"/>
      <c r="K24" s="2"/>
    </row>
    <row r="25" spans="2:11" x14ac:dyDescent="0.25">
      <c r="E25" s="2"/>
      <c r="F25" s="2"/>
      <c r="G25" s="6"/>
      <c r="H25" s="5"/>
      <c r="I25" s="2"/>
      <c r="J25" s="2"/>
      <c r="K25" s="2"/>
    </row>
    <row r="26" spans="2:11" x14ac:dyDescent="0.25">
      <c r="E26" s="2"/>
      <c r="F26" s="2"/>
      <c r="G26" s="6"/>
      <c r="H26" s="5"/>
      <c r="I26" s="2"/>
      <c r="J26" s="2"/>
      <c r="K26" s="2"/>
    </row>
    <row r="27" spans="2:11" x14ac:dyDescent="0.25">
      <c r="E27" s="2"/>
      <c r="F27" s="2"/>
      <c r="G27" s="6"/>
      <c r="H27" s="5"/>
      <c r="I27" s="2"/>
      <c r="J27" s="2"/>
      <c r="K27" s="2"/>
    </row>
    <row r="28" spans="2:11" x14ac:dyDescent="0.25">
      <c r="E28" s="2"/>
      <c r="F28" s="2"/>
      <c r="G28" s="6"/>
      <c r="H28" s="5"/>
      <c r="I28" s="2"/>
      <c r="J28" s="2"/>
      <c r="K28" s="2"/>
    </row>
    <row r="29" spans="2:11" x14ac:dyDescent="0.25">
      <c r="E29" s="2"/>
      <c r="F29" s="2"/>
      <c r="G29" s="6"/>
      <c r="H29" s="5"/>
      <c r="I29" s="2"/>
      <c r="J29" s="2"/>
      <c r="K29" s="2"/>
    </row>
    <row r="30" spans="2:11" x14ac:dyDescent="0.25">
      <c r="E30" s="2"/>
      <c r="F30" s="2"/>
      <c r="G30" s="6"/>
      <c r="H30" s="5"/>
      <c r="I30" s="2"/>
      <c r="J30" s="2"/>
      <c r="K30" s="2"/>
    </row>
    <row r="31" spans="2:11" x14ac:dyDescent="0.25">
      <c r="E31" s="2"/>
      <c r="F31" s="2"/>
      <c r="G31" s="6"/>
      <c r="H31" s="5"/>
      <c r="I31" s="2"/>
      <c r="J31" s="2"/>
      <c r="K31" s="2"/>
    </row>
    <row r="32" spans="2:11" x14ac:dyDescent="0.25">
      <c r="E32" s="2"/>
      <c r="F32" s="2"/>
      <c r="G32" s="6"/>
      <c r="H32" s="5"/>
      <c r="I32" s="2"/>
      <c r="J32" s="2"/>
      <c r="K32" s="2"/>
    </row>
  </sheetData>
  <mergeCells count="1">
    <mergeCell ref="M2:N2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21</vt:i4>
      </vt:variant>
    </vt:vector>
  </HeadingPairs>
  <TitlesOfParts>
    <vt:vector size="26" baseType="lpstr">
      <vt:lpstr>Circle Radius</vt:lpstr>
      <vt:lpstr>Circle Point</vt:lpstr>
      <vt:lpstr>Polar to Cartesian Coords</vt:lpstr>
      <vt:lpstr>30 Pixel Layout</vt:lpstr>
      <vt:lpstr>20 Pixel Layout</vt:lpstr>
      <vt:lpstr>'20 Pixel Layout'!LEDCount</vt:lpstr>
      <vt:lpstr>'30 Pixel Layout'!LEDCount</vt:lpstr>
      <vt:lpstr>LEDCount</vt:lpstr>
      <vt:lpstr>'20 Pixel Layout'!LEDSize</vt:lpstr>
      <vt:lpstr>'30 Pixel Layout'!LEDSize</vt:lpstr>
      <vt:lpstr>LEDSize</vt:lpstr>
      <vt:lpstr>'20 Pixel Layout'!RadiansInDegree</vt:lpstr>
      <vt:lpstr>'30 Pixel Layout'!RadiansInDegree</vt:lpstr>
      <vt:lpstr>RadiansInDegree</vt:lpstr>
      <vt:lpstr>'20 Pixel Layout'!Radius</vt:lpstr>
      <vt:lpstr>'30 Pixel Layout'!Radius</vt:lpstr>
      <vt:lpstr>Radius</vt:lpstr>
      <vt:lpstr>'20 Pixel Layout'!RingRadius</vt:lpstr>
      <vt:lpstr>'30 Pixel Layout'!RingRadius</vt:lpstr>
      <vt:lpstr>RingRadius</vt:lpstr>
      <vt:lpstr>'20 Pixel Layout'!Xo</vt:lpstr>
      <vt:lpstr>'30 Pixel Layout'!Xo</vt:lpstr>
      <vt:lpstr>Xo</vt:lpstr>
      <vt:lpstr>'20 Pixel Layout'!Yo</vt:lpstr>
      <vt:lpstr>'30 Pixel Layout'!Yo</vt:lpstr>
      <vt:lpstr>Yo</vt:lpstr>
    </vt:vector>
  </TitlesOfParts>
  <Company>Constellation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Cherkofsky, Scott</dc:creator>
  <cp:lastModifiedBy>Cherkofsky, Scott</cp:lastModifiedBy>
  <dcterms:created xsi:type="dcterms:W3CDTF">2016-01-15T23:06:45Z</dcterms:created>
  <dcterms:modified xsi:type="dcterms:W3CDTF">2016-01-27T21:41:02Z</dcterms:modified>
</cp:coreProperties>
</file>