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6740" windowHeight="8100" tabRatio="665" activeTab="5"/>
  </bookViews>
  <sheets>
    <sheet name="Circle Radius" sheetId="1" r:id="rId1"/>
    <sheet name="Circle Point" sheetId="2" r:id="rId2"/>
    <sheet name="Polar to Cartesian Coords" sheetId="4" r:id="rId3"/>
    <sheet name="30 Pixel Layout" sheetId="7" r:id="rId4"/>
    <sheet name="20 Pixel Layout" sheetId="6" r:id="rId5"/>
    <sheet name="30 Cap Layout" sheetId="8" r:id="rId6"/>
  </sheets>
  <definedNames>
    <definedName name="CenterX" localSheetId="4">'Circle Radius'!#REF!</definedName>
    <definedName name="CenterX" localSheetId="5">'Circle Radius'!#REF!</definedName>
    <definedName name="CenterX" localSheetId="3">'Circle Radius'!#REF!</definedName>
    <definedName name="CenterX">'Circle Radius'!#REF!</definedName>
    <definedName name="CenterY" localSheetId="4">'Circle Radius'!#REF!</definedName>
    <definedName name="CenterY" localSheetId="5">'Circle Radius'!#REF!</definedName>
    <definedName name="CenterY" localSheetId="3">'Circle Radius'!#REF!</definedName>
    <definedName name="CenterY">'Circle Radius'!#REF!</definedName>
    <definedName name="LEDCount" localSheetId="4">'20 Pixel Layout'!$N$7</definedName>
    <definedName name="LEDCount" localSheetId="5">'30 Cap Layout'!$O$7</definedName>
    <definedName name="LEDCount" localSheetId="3">'30 Pixel Layout'!$O$7</definedName>
    <definedName name="LEDCount">'Polar to Cartesian Coords'!$N$7</definedName>
    <definedName name="LEDRotation" localSheetId="5">'30 Cap Layout'!$O$10</definedName>
    <definedName name="LEDRotation" localSheetId="3">'30 Pixel Layout'!$O$10</definedName>
    <definedName name="LEDRotation">'20 Pixel Layout'!$N$10</definedName>
    <definedName name="LEDSize" localSheetId="4">'20 Pixel Layout'!$N$8</definedName>
    <definedName name="LEDSize" localSheetId="5">'30 Cap Layout'!$O$8</definedName>
    <definedName name="LEDSize" localSheetId="3">'30 Pixel Layout'!$O$8</definedName>
    <definedName name="LEDSize">'Polar to Cartesian Coords'!$N$8</definedName>
    <definedName name="LEDSizeBuffer" localSheetId="5">'30 Cap Layout'!$O$9</definedName>
    <definedName name="LEDSizeBuffer" localSheetId="3">'30 Pixel Layout'!$O$9</definedName>
    <definedName name="LEDSizeBuffer">'20 Pixel Layout'!$N$9</definedName>
    <definedName name="PointX" localSheetId="4">'Circle Radius'!#REF!</definedName>
    <definedName name="PointX" localSheetId="5">'Circle Radius'!#REF!</definedName>
    <definedName name="PointX" localSheetId="3">'Circle Radius'!#REF!</definedName>
    <definedName name="PointX">'Circle Radius'!#REF!</definedName>
    <definedName name="PointY" localSheetId="4">'Circle Radius'!#REF!</definedName>
    <definedName name="PointY" localSheetId="5">'Circle Radius'!#REF!</definedName>
    <definedName name="PointY" localSheetId="3">'Circle Radius'!#REF!</definedName>
    <definedName name="PointY">'Circle Radius'!#REF!</definedName>
    <definedName name="RadiansInDegree" localSheetId="4">'20 Pixel Layout'!$N$4</definedName>
    <definedName name="RadiansInDegree" localSheetId="5">'30 Cap Layout'!$O$4</definedName>
    <definedName name="RadiansInDegree" localSheetId="3">'30 Pixel Layout'!$O$4</definedName>
    <definedName name="RadiansInDegree">'Polar to Cartesian Coords'!$N$4</definedName>
    <definedName name="Radius" localSheetId="4">'20 Pixel Layout'!$N$6</definedName>
    <definedName name="Radius" localSheetId="5">'30 Cap Layout'!$O$6</definedName>
    <definedName name="Radius" localSheetId="3">'30 Pixel Layout'!$O$6</definedName>
    <definedName name="Radius">'Polar to Cartesian Coords'!$N$6</definedName>
    <definedName name="RingRadius" localSheetId="4">'20 Pixel Layout'!$N$5</definedName>
    <definedName name="RingRadius" localSheetId="5">'30 Cap Layout'!$O$5</definedName>
    <definedName name="RingRadius" localSheetId="3">'30 Pixel Layout'!$O$5</definedName>
    <definedName name="RingRadius">'Polar to Cartesian Coords'!$N$5</definedName>
    <definedName name="Xo" localSheetId="4">'20 Pixel Layout'!$N$11</definedName>
    <definedName name="Xo" localSheetId="5">'30 Cap Layout'!$O$11</definedName>
    <definedName name="Xo" localSheetId="3">'30 Pixel Layout'!$O$11</definedName>
    <definedName name="Xo">'Polar to Cartesian Coords'!$N$9</definedName>
    <definedName name="Yo" localSheetId="4">'20 Pixel Layout'!$N$12</definedName>
    <definedName name="Yo" localSheetId="5">'30 Cap Layout'!$O$12</definedName>
    <definedName name="Yo" localSheetId="3">'30 Pixel Layout'!$O$12</definedName>
    <definedName name="Yo">'Polar to Cartesian Coords'!$N$10</definedName>
  </definedNames>
  <calcPr calcId="145621" concurrentCalc="0"/>
</workbook>
</file>

<file path=xl/calcChain.xml><?xml version="1.0" encoding="utf-8"?>
<calcChain xmlns="http://schemas.openxmlformats.org/spreadsheetml/2006/main">
  <c r="H32" i="8" l="1"/>
  <c r="O6" i="8"/>
  <c r="D32" i="8"/>
  <c r="F32" i="8"/>
  <c r="I32" i="8"/>
  <c r="E32" i="8"/>
  <c r="J32" i="8"/>
  <c r="L32" i="8"/>
  <c r="K32" i="8"/>
  <c r="H31" i="8"/>
  <c r="D31" i="8"/>
  <c r="F31" i="8"/>
  <c r="I31" i="8"/>
  <c r="E31" i="8"/>
  <c r="J31" i="8"/>
  <c r="L31" i="8"/>
  <c r="K31" i="8"/>
  <c r="H30" i="8"/>
  <c r="D30" i="8"/>
  <c r="F30" i="8"/>
  <c r="I30" i="8"/>
  <c r="E30" i="8"/>
  <c r="J30" i="8"/>
  <c r="L30" i="8"/>
  <c r="K30" i="8"/>
  <c r="H29" i="8"/>
  <c r="D29" i="8"/>
  <c r="F29" i="8"/>
  <c r="I29" i="8"/>
  <c r="E29" i="8"/>
  <c r="J29" i="8"/>
  <c r="L29" i="8"/>
  <c r="K29" i="8"/>
  <c r="H28" i="8"/>
  <c r="D28" i="8"/>
  <c r="F28" i="8"/>
  <c r="I28" i="8"/>
  <c r="E28" i="8"/>
  <c r="J28" i="8"/>
  <c r="L28" i="8"/>
  <c r="K28" i="8"/>
  <c r="H27" i="8"/>
  <c r="D27" i="8"/>
  <c r="F27" i="8"/>
  <c r="I27" i="8"/>
  <c r="E27" i="8"/>
  <c r="J27" i="8"/>
  <c r="L27" i="8"/>
  <c r="K27" i="8"/>
  <c r="H26" i="8"/>
  <c r="D26" i="8"/>
  <c r="F26" i="8"/>
  <c r="I26" i="8"/>
  <c r="E26" i="8"/>
  <c r="J26" i="8"/>
  <c r="L26" i="8"/>
  <c r="K26" i="8"/>
  <c r="H25" i="8"/>
  <c r="D25" i="8"/>
  <c r="F25" i="8"/>
  <c r="I25" i="8"/>
  <c r="E25" i="8"/>
  <c r="J25" i="8"/>
  <c r="L25" i="8"/>
  <c r="K25" i="8"/>
  <c r="H24" i="8"/>
  <c r="D24" i="8"/>
  <c r="F24" i="8"/>
  <c r="I24" i="8"/>
  <c r="E24" i="8"/>
  <c r="J24" i="8"/>
  <c r="L24" i="8"/>
  <c r="K24" i="8"/>
  <c r="H23" i="8"/>
  <c r="D23" i="8"/>
  <c r="F23" i="8"/>
  <c r="I23" i="8"/>
  <c r="E23" i="8"/>
  <c r="J23" i="8"/>
  <c r="L23" i="8"/>
  <c r="K23" i="8"/>
  <c r="H22" i="8"/>
  <c r="D22" i="8"/>
  <c r="F22" i="8"/>
  <c r="I22" i="8"/>
  <c r="E22" i="8"/>
  <c r="J22" i="8"/>
  <c r="L22" i="8"/>
  <c r="K22" i="8"/>
  <c r="H21" i="8"/>
  <c r="D21" i="8"/>
  <c r="F21" i="8"/>
  <c r="I21" i="8"/>
  <c r="E21" i="8"/>
  <c r="J21" i="8"/>
  <c r="L21" i="8"/>
  <c r="K21" i="8"/>
  <c r="H20" i="8"/>
  <c r="D20" i="8"/>
  <c r="F20" i="8"/>
  <c r="I20" i="8"/>
  <c r="E20" i="8"/>
  <c r="J20" i="8"/>
  <c r="L20" i="8"/>
  <c r="K20" i="8"/>
  <c r="H19" i="8"/>
  <c r="D19" i="8"/>
  <c r="F19" i="8"/>
  <c r="I19" i="8"/>
  <c r="E19" i="8"/>
  <c r="J19" i="8"/>
  <c r="L19" i="8"/>
  <c r="K19" i="8"/>
  <c r="H18" i="8"/>
  <c r="D18" i="8"/>
  <c r="F18" i="8"/>
  <c r="I18" i="8"/>
  <c r="E18" i="8"/>
  <c r="J18" i="8"/>
  <c r="L18" i="8"/>
  <c r="K18" i="8"/>
  <c r="H17" i="8"/>
  <c r="D17" i="8"/>
  <c r="F17" i="8"/>
  <c r="I17" i="8"/>
  <c r="E17" i="8"/>
  <c r="J17" i="8"/>
  <c r="L17" i="8"/>
  <c r="K17" i="8"/>
  <c r="H16" i="8"/>
  <c r="D16" i="8"/>
  <c r="F16" i="8"/>
  <c r="I16" i="8"/>
  <c r="E16" i="8"/>
  <c r="J16" i="8"/>
  <c r="L16" i="8"/>
  <c r="K16" i="8"/>
  <c r="H15" i="8"/>
  <c r="D15" i="8"/>
  <c r="F15" i="8"/>
  <c r="I15" i="8"/>
  <c r="E15" i="8"/>
  <c r="J15" i="8"/>
  <c r="L15" i="8"/>
  <c r="K15" i="8"/>
  <c r="H14" i="8"/>
  <c r="D14" i="8"/>
  <c r="F14" i="8"/>
  <c r="I14" i="8"/>
  <c r="E14" i="8"/>
  <c r="J14" i="8"/>
  <c r="L14" i="8"/>
  <c r="K14" i="8"/>
  <c r="H13" i="8"/>
  <c r="D13" i="8"/>
  <c r="F13" i="8"/>
  <c r="I13" i="8"/>
  <c r="E13" i="8"/>
  <c r="J13" i="8"/>
  <c r="L13" i="8"/>
  <c r="K13" i="8"/>
  <c r="H12" i="8"/>
  <c r="D12" i="8"/>
  <c r="F12" i="8"/>
  <c r="I12" i="8"/>
  <c r="E12" i="8"/>
  <c r="J12" i="8"/>
  <c r="L12" i="8"/>
  <c r="K12" i="8"/>
  <c r="H11" i="8"/>
  <c r="D11" i="8"/>
  <c r="F11" i="8"/>
  <c r="I11" i="8"/>
  <c r="E11" i="8"/>
  <c r="J11" i="8"/>
  <c r="L11" i="8"/>
  <c r="K11" i="8"/>
  <c r="H10" i="8"/>
  <c r="D10" i="8"/>
  <c r="F10" i="8"/>
  <c r="I10" i="8"/>
  <c r="E10" i="8"/>
  <c r="J10" i="8"/>
  <c r="L10" i="8"/>
  <c r="K10" i="8"/>
  <c r="H9" i="8"/>
  <c r="D9" i="8"/>
  <c r="F9" i="8"/>
  <c r="I9" i="8"/>
  <c r="E9" i="8"/>
  <c r="J9" i="8"/>
  <c r="L9" i="8"/>
  <c r="K9" i="8"/>
  <c r="H8" i="8"/>
  <c r="D8" i="8"/>
  <c r="F8" i="8"/>
  <c r="I8" i="8"/>
  <c r="E8" i="8"/>
  <c r="J8" i="8"/>
  <c r="L8" i="8"/>
  <c r="K8" i="8"/>
  <c r="H7" i="8"/>
  <c r="D7" i="8"/>
  <c r="F7" i="8"/>
  <c r="I7" i="8"/>
  <c r="E7" i="8"/>
  <c r="J7" i="8"/>
  <c r="L7" i="8"/>
  <c r="K7" i="8"/>
  <c r="H6" i="8"/>
  <c r="D6" i="8"/>
  <c r="F6" i="8"/>
  <c r="I6" i="8"/>
  <c r="E6" i="8"/>
  <c r="J6" i="8"/>
  <c r="L6" i="8"/>
  <c r="K6" i="8"/>
  <c r="H5" i="8"/>
  <c r="D5" i="8"/>
  <c r="F5" i="8"/>
  <c r="I5" i="8"/>
  <c r="E5" i="8"/>
  <c r="J5" i="8"/>
  <c r="L5" i="8"/>
  <c r="K5" i="8"/>
  <c r="H4" i="8"/>
  <c r="D4" i="8"/>
  <c r="F4" i="8"/>
  <c r="I4" i="8"/>
  <c r="E4" i="8"/>
  <c r="J4" i="8"/>
  <c r="L4" i="8"/>
  <c r="K4" i="8"/>
  <c r="C3" i="8"/>
  <c r="H3" i="8"/>
  <c r="D3" i="8"/>
  <c r="F3" i="8"/>
  <c r="I3" i="8"/>
  <c r="E3" i="8"/>
  <c r="J3" i="8"/>
  <c r="L3" i="8"/>
  <c r="K3" i="8"/>
  <c r="C3" i="7"/>
  <c r="H3" i="7"/>
  <c r="O6" i="7"/>
  <c r="D3" i="7"/>
  <c r="F3" i="7"/>
  <c r="I3" i="7"/>
  <c r="E3" i="7"/>
  <c r="J3" i="7"/>
  <c r="L3" i="7"/>
  <c r="C4" i="7"/>
  <c r="H4" i="7"/>
  <c r="D4" i="7"/>
  <c r="F4" i="7"/>
  <c r="I4" i="7"/>
  <c r="E4" i="7"/>
  <c r="J4" i="7"/>
  <c r="L4" i="7"/>
  <c r="C5" i="7"/>
  <c r="H5" i="7"/>
  <c r="D5" i="7"/>
  <c r="F5" i="7"/>
  <c r="I5" i="7"/>
  <c r="E5" i="7"/>
  <c r="J5" i="7"/>
  <c r="L5" i="7"/>
  <c r="C6" i="7"/>
  <c r="H6" i="7"/>
  <c r="D6" i="7"/>
  <c r="F6" i="7"/>
  <c r="I6" i="7"/>
  <c r="E6" i="7"/>
  <c r="J6" i="7"/>
  <c r="L6" i="7"/>
  <c r="C7" i="7"/>
  <c r="H7" i="7"/>
  <c r="D7" i="7"/>
  <c r="F7" i="7"/>
  <c r="I7" i="7"/>
  <c r="E7" i="7"/>
  <c r="J7" i="7"/>
  <c r="L7" i="7"/>
  <c r="C8" i="7"/>
  <c r="H8" i="7"/>
  <c r="D8" i="7"/>
  <c r="F8" i="7"/>
  <c r="I8" i="7"/>
  <c r="E8" i="7"/>
  <c r="J8" i="7"/>
  <c r="L8" i="7"/>
  <c r="C9" i="7"/>
  <c r="H9" i="7"/>
  <c r="D9" i="7"/>
  <c r="F9" i="7"/>
  <c r="I9" i="7"/>
  <c r="E9" i="7"/>
  <c r="J9" i="7"/>
  <c r="L9" i="7"/>
  <c r="C10" i="7"/>
  <c r="H10" i="7"/>
  <c r="D10" i="7"/>
  <c r="F10" i="7"/>
  <c r="I10" i="7"/>
  <c r="E10" i="7"/>
  <c r="J10" i="7"/>
  <c r="L10" i="7"/>
  <c r="C11" i="7"/>
  <c r="H11" i="7"/>
  <c r="D11" i="7"/>
  <c r="F11" i="7"/>
  <c r="I11" i="7"/>
  <c r="E11" i="7"/>
  <c r="J11" i="7"/>
  <c r="L11" i="7"/>
  <c r="C12" i="7"/>
  <c r="H12" i="7"/>
  <c r="D12" i="7"/>
  <c r="F12" i="7"/>
  <c r="I12" i="7"/>
  <c r="E12" i="7"/>
  <c r="J12" i="7"/>
  <c r="L12" i="7"/>
  <c r="C13" i="7"/>
  <c r="H13" i="7"/>
  <c r="D13" i="7"/>
  <c r="F13" i="7"/>
  <c r="I13" i="7"/>
  <c r="E13" i="7"/>
  <c r="J13" i="7"/>
  <c r="L13" i="7"/>
  <c r="C14" i="7"/>
  <c r="H14" i="7"/>
  <c r="D14" i="7"/>
  <c r="F14" i="7"/>
  <c r="I14" i="7"/>
  <c r="E14" i="7"/>
  <c r="J14" i="7"/>
  <c r="L14" i="7"/>
  <c r="C15" i="7"/>
  <c r="H15" i="7"/>
  <c r="D15" i="7"/>
  <c r="F15" i="7"/>
  <c r="I15" i="7"/>
  <c r="E15" i="7"/>
  <c r="J15" i="7"/>
  <c r="L15" i="7"/>
  <c r="C16" i="7"/>
  <c r="H16" i="7"/>
  <c r="D16" i="7"/>
  <c r="F16" i="7"/>
  <c r="I16" i="7"/>
  <c r="E16" i="7"/>
  <c r="J16" i="7"/>
  <c r="L16" i="7"/>
  <c r="C17" i="7"/>
  <c r="H17" i="7"/>
  <c r="D17" i="7"/>
  <c r="F17" i="7"/>
  <c r="I17" i="7"/>
  <c r="E17" i="7"/>
  <c r="J17" i="7"/>
  <c r="L17" i="7"/>
  <c r="C18" i="7"/>
  <c r="H18" i="7"/>
  <c r="D18" i="7"/>
  <c r="F18" i="7"/>
  <c r="I18" i="7"/>
  <c r="E18" i="7"/>
  <c r="J18" i="7"/>
  <c r="L18" i="7"/>
  <c r="C19" i="7"/>
  <c r="H19" i="7"/>
  <c r="D19" i="7"/>
  <c r="F19" i="7"/>
  <c r="I19" i="7"/>
  <c r="E19" i="7"/>
  <c r="J19" i="7"/>
  <c r="L19" i="7"/>
  <c r="C20" i="7"/>
  <c r="H20" i="7"/>
  <c r="D20" i="7"/>
  <c r="F20" i="7"/>
  <c r="I20" i="7"/>
  <c r="E20" i="7"/>
  <c r="J20" i="7"/>
  <c r="L20" i="7"/>
  <c r="C21" i="7"/>
  <c r="H21" i="7"/>
  <c r="D21" i="7"/>
  <c r="F21" i="7"/>
  <c r="I21" i="7"/>
  <c r="E21" i="7"/>
  <c r="J21" i="7"/>
  <c r="L21" i="7"/>
  <c r="C22" i="7"/>
  <c r="H22" i="7"/>
  <c r="D22" i="7"/>
  <c r="F22" i="7"/>
  <c r="I22" i="7"/>
  <c r="E22" i="7"/>
  <c r="J22" i="7"/>
  <c r="L22" i="7"/>
  <c r="C23" i="7"/>
  <c r="H23" i="7"/>
  <c r="D23" i="7"/>
  <c r="F23" i="7"/>
  <c r="I23" i="7"/>
  <c r="E23" i="7"/>
  <c r="J23" i="7"/>
  <c r="L23" i="7"/>
  <c r="C24" i="7"/>
  <c r="H24" i="7"/>
  <c r="D24" i="7"/>
  <c r="F24" i="7"/>
  <c r="I24" i="7"/>
  <c r="E24" i="7"/>
  <c r="J24" i="7"/>
  <c r="L24" i="7"/>
  <c r="C25" i="7"/>
  <c r="H25" i="7"/>
  <c r="D25" i="7"/>
  <c r="F25" i="7"/>
  <c r="I25" i="7"/>
  <c r="E25" i="7"/>
  <c r="J25" i="7"/>
  <c r="L25" i="7"/>
  <c r="C26" i="7"/>
  <c r="H26" i="7"/>
  <c r="D26" i="7"/>
  <c r="F26" i="7"/>
  <c r="I26" i="7"/>
  <c r="E26" i="7"/>
  <c r="J26" i="7"/>
  <c r="L26" i="7"/>
  <c r="C27" i="7"/>
  <c r="H27" i="7"/>
  <c r="D27" i="7"/>
  <c r="F27" i="7"/>
  <c r="I27" i="7"/>
  <c r="E27" i="7"/>
  <c r="J27" i="7"/>
  <c r="L27" i="7"/>
  <c r="C28" i="7"/>
  <c r="H28" i="7"/>
  <c r="D28" i="7"/>
  <c r="F28" i="7"/>
  <c r="I28" i="7"/>
  <c r="E28" i="7"/>
  <c r="J28" i="7"/>
  <c r="L28" i="7"/>
  <c r="C29" i="7"/>
  <c r="H29" i="7"/>
  <c r="D29" i="7"/>
  <c r="F29" i="7"/>
  <c r="I29" i="7"/>
  <c r="E29" i="7"/>
  <c r="J29" i="7"/>
  <c r="L29" i="7"/>
  <c r="C30" i="7"/>
  <c r="H30" i="7"/>
  <c r="D30" i="7"/>
  <c r="F30" i="7"/>
  <c r="I30" i="7"/>
  <c r="E30" i="7"/>
  <c r="J30" i="7"/>
  <c r="L30" i="7"/>
  <c r="C31" i="7"/>
  <c r="H31" i="7"/>
  <c r="D31" i="7"/>
  <c r="F31" i="7"/>
  <c r="I31" i="7"/>
  <c r="E31" i="7"/>
  <c r="J31" i="7"/>
  <c r="L31" i="7"/>
  <c r="C32" i="7"/>
  <c r="H32" i="7"/>
  <c r="D32" i="7"/>
  <c r="F32" i="7"/>
  <c r="I32" i="7"/>
  <c r="E32" i="7"/>
  <c r="J32" i="7"/>
  <c r="L32" i="7"/>
  <c r="T3" i="7"/>
  <c r="K23" i="7"/>
  <c r="K24" i="7"/>
  <c r="K25" i="7"/>
  <c r="K26" i="7"/>
  <c r="K27" i="7"/>
  <c r="K28" i="7"/>
  <c r="K29" i="7"/>
  <c r="K30" i="7"/>
  <c r="K31" i="7"/>
  <c r="K32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G17" i="1"/>
  <c r="G16" i="1"/>
  <c r="H17" i="1"/>
  <c r="I17" i="1"/>
  <c r="I16" i="1"/>
  <c r="J17" i="1"/>
  <c r="C3" i="6"/>
  <c r="H3" i="6"/>
  <c r="C4" i="6"/>
  <c r="H4" i="6"/>
  <c r="C5" i="6"/>
  <c r="H5" i="6"/>
  <c r="C6" i="6"/>
  <c r="H6" i="6"/>
  <c r="C7" i="6"/>
  <c r="H7" i="6"/>
  <c r="C8" i="6"/>
  <c r="H8" i="6"/>
  <c r="C9" i="6"/>
  <c r="H9" i="6"/>
  <c r="C10" i="6"/>
  <c r="H10" i="6"/>
  <c r="C11" i="6"/>
  <c r="H11" i="6"/>
  <c r="C12" i="6"/>
  <c r="H12" i="6"/>
  <c r="C13" i="6"/>
  <c r="H13" i="6"/>
  <c r="C14" i="6"/>
  <c r="H14" i="6"/>
  <c r="C15" i="6"/>
  <c r="H15" i="6"/>
  <c r="C16" i="6"/>
  <c r="H16" i="6"/>
  <c r="C17" i="6"/>
  <c r="H17" i="6"/>
  <c r="C18" i="6"/>
  <c r="H18" i="6"/>
  <c r="C19" i="6"/>
  <c r="H19" i="6"/>
  <c r="C20" i="6"/>
  <c r="H20" i="6"/>
  <c r="C21" i="6"/>
  <c r="H21" i="6"/>
  <c r="C22" i="6"/>
  <c r="H22" i="6"/>
  <c r="N6" i="6"/>
  <c r="D22" i="6"/>
  <c r="F22" i="6"/>
  <c r="I22" i="6"/>
  <c r="E22" i="6"/>
  <c r="J22" i="6"/>
  <c r="K22" i="6"/>
  <c r="D21" i="6"/>
  <c r="F21" i="6"/>
  <c r="I21" i="6"/>
  <c r="E21" i="6"/>
  <c r="J21" i="6"/>
  <c r="K21" i="6"/>
  <c r="D20" i="6"/>
  <c r="F20" i="6"/>
  <c r="I20" i="6"/>
  <c r="E20" i="6"/>
  <c r="J20" i="6"/>
  <c r="K20" i="6"/>
  <c r="D19" i="6"/>
  <c r="F19" i="6"/>
  <c r="I19" i="6"/>
  <c r="E19" i="6"/>
  <c r="J19" i="6"/>
  <c r="K19" i="6"/>
  <c r="D18" i="6"/>
  <c r="F18" i="6"/>
  <c r="I18" i="6"/>
  <c r="E18" i="6"/>
  <c r="J18" i="6"/>
  <c r="K18" i="6"/>
  <c r="D17" i="6"/>
  <c r="F17" i="6"/>
  <c r="I17" i="6"/>
  <c r="E17" i="6"/>
  <c r="J17" i="6"/>
  <c r="K17" i="6"/>
  <c r="D16" i="6"/>
  <c r="F16" i="6"/>
  <c r="I16" i="6"/>
  <c r="E16" i="6"/>
  <c r="J16" i="6"/>
  <c r="K16" i="6"/>
  <c r="D15" i="6"/>
  <c r="F15" i="6"/>
  <c r="I15" i="6"/>
  <c r="E15" i="6"/>
  <c r="J15" i="6"/>
  <c r="K15" i="6"/>
  <c r="D14" i="6"/>
  <c r="F14" i="6"/>
  <c r="I14" i="6"/>
  <c r="E14" i="6"/>
  <c r="J14" i="6"/>
  <c r="K14" i="6"/>
  <c r="D13" i="6"/>
  <c r="F13" i="6"/>
  <c r="I13" i="6"/>
  <c r="E13" i="6"/>
  <c r="J13" i="6"/>
  <c r="K13" i="6"/>
  <c r="D12" i="6"/>
  <c r="F12" i="6"/>
  <c r="I12" i="6"/>
  <c r="E12" i="6"/>
  <c r="J12" i="6"/>
  <c r="K12" i="6"/>
  <c r="D11" i="6"/>
  <c r="F11" i="6"/>
  <c r="I11" i="6"/>
  <c r="E11" i="6"/>
  <c r="J11" i="6"/>
  <c r="K11" i="6"/>
  <c r="D10" i="6"/>
  <c r="F10" i="6"/>
  <c r="I10" i="6"/>
  <c r="E10" i="6"/>
  <c r="J10" i="6"/>
  <c r="K10" i="6"/>
  <c r="D9" i="6"/>
  <c r="F9" i="6"/>
  <c r="I9" i="6"/>
  <c r="E9" i="6"/>
  <c r="J9" i="6"/>
  <c r="K9" i="6"/>
  <c r="D8" i="6"/>
  <c r="F8" i="6"/>
  <c r="I8" i="6"/>
  <c r="E8" i="6"/>
  <c r="J8" i="6"/>
  <c r="K8" i="6"/>
  <c r="D7" i="6"/>
  <c r="F7" i="6"/>
  <c r="I7" i="6"/>
  <c r="E7" i="6"/>
  <c r="J7" i="6"/>
  <c r="K7" i="6"/>
  <c r="D6" i="6"/>
  <c r="F6" i="6"/>
  <c r="I6" i="6"/>
  <c r="E6" i="6"/>
  <c r="J6" i="6"/>
  <c r="K6" i="6"/>
  <c r="D5" i="6"/>
  <c r="F5" i="6"/>
  <c r="I5" i="6"/>
  <c r="E5" i="6"/>
  <c r="J5" i="6"/>
  <c r="K5" i="6"/>
  <c r="D4" i="6"/>
  <c r="F4" i="6"/>
  <c r="I4" i="6"/>
  <c r="E4" i="6"/>
  <c r="J4" i="6"/>
  <c r="K4" i="6"/>
  <c r="D3" i="6"/>
  <c r="F3" i="6"/>
  <c r="I3" i="6"/>
  <c r="E3" i="6"/>
  <c r="J3" i="6"/>
  <c r="K3" i="6"/>
  <c r="N6" i="4"/>
  <c r="C3" i="4"/>
  <c r="D3" i="4"/>
  <c r="F3" i="4"/>
  <c r="I3" i="4"/>
  <c r="C4" i="4"/>
  <c r="D4" i="4"/>
  <c r="F4" i="4"/>
  <c r="I4" i="4"/>
  <c r="E3" i="4"/>
  <c r="J3" i="4"/>
  <c r="E4" i="4"/>
  <c r="J4" i="4"/>
  <c r="K3" i="4"/>
  <c r="C5" i="4"/>
  <c r="D5" i="4"/>
  <c r="F5" i="4"/>
  <c r="I5" i="4"/>
  <c r="E5" i="4"/>
  <c r="J5" i="4"/>
  <c r="K4" i="4"/>
  <c r="C6" i="4"/>
  <c r="D6" i="4"/>
  <c r="F6" i="4"/>
  <c r="I6" i="4"/>
  <c r="E6" i="4"/>
  <c r="J6" i="4"/>
  <c r="K5" i="4"/>
  <c r="C7" i="4"/>
  <c r="D7" i="4"/>
  <c r="F7" i="4"/>
  <c r="I7" i="4"/>
  <c r="E7" i="4"/>
  <c r="J7" i="4"/>
  <c r="K6" i="4"/>
  <c r="C8" i="4"/>
  <c r="D8" i="4"/>
  <c r="F8" i="4"/>
  <c r="I8" i="4"/>
  <c r="E8" i="4"/>
  <c r="J8" i="4"/>
  <c r="K7" i="4"/>
  <c r="C9" i="4"/>
  <c r="D9" i="4"/>
  <c r="F9" i="4"/>
  <c r="I9" i="4"/>
  <c r="E9" i="4"/>
  <c r="J9" i="4"/>
  <c r="K8" i="4"/>
  <c r="C10" i="4"/>
  <c r="D10" i="4"/>
  <c r="F10" i="4"/>
  <c r="I10" i="4"/>
  <c r="E10" i="4"/>
  <c r="J10" i="4"/>
  <c r="K9" i="4"/>
  <c r="C11" i="4"/>
  <c r="D11" i="4"/>
  <c r="F11" i="4"/>
  <c r="I11" i="4"/>
  <c r="E11" i="4"/>
  <c r="J11" i="4"/>
  <c r="K10" i="4"/>
  <c r="C12" i="4"/>
  <c r="D12" i="4"/>
  <c r="F12" i="4"/>
  <c r="I12" i="4"/>
  <c r="E12" i="4"/>
  <c r="J12" i="4"/>
  <c r="K11" i="4"/>
  <c r="C13" i="4"/>
  <c r="D13" i="4"/>
  <c r="F13" i="4"/>
  <c r="I13" i="4"/>
  <c r="E13" i="4"/>
  <c r="J13" i="4"/>
  <c r="K12" i="4"/>
  <c r="C14" i="4"/>
  <c r="D14" i="4"/>
  <c r="F14" i="4"/>
  <c r="I14" i="4"/>
  <c r="E14" i="4"/>
  <c r="J14" i="4"/>
  <c r="K13" i="4"/>
  <c r="C15" i="4"/>
  <c r="D15" i="4"/>
  <c r="F15" i="4"/>
  <c r="I15" i="4"/>
  <c r="E15" i="4"/>
  <c r="J15" i="4"/>
  <c r="K14" i="4"/>
  <c r="C16" i="4"/>
  <c r="D16" i="4"/>
  <c r="F16" i="4"/>
  <c r="I16" i="4"/>
  <c r="E16" i="4"/>
  <c r="J16" i="4"/>
  <c r="K15" i="4"/>
  <c r="C17" i="4"/>
  <c r="D17" i="4"/>
  <c r="F17" i="4"/>
  <c r="I17" i="4"/>
  <c r="E17" i="4"/>
  <c r="J17" i="4"/>
  <c r="K16" i="4"/>
  <c r="K1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G14" i="1"/>
  <c r="G15" i="1"/>
  <c r="H16" i="1"/>
  <c r="G18" i="1"/>
  <c r="G19" i="1"/>
  <c r="G20" i="1"/>
  <c r="H20" i="1"/>
  <c r="G21" i="1"/>
  <c r="H21" i="1"/>
  <c r="G22" i="1"/>
  <c r="G23" i="1"/>
  <c r="I23" i="1"/>
  <c r="H18" i="1"/>
  <c r="H19" i="1"/>
  <c r="H22" i="1"/>
  <c r="H23" i="1"/>
  <c r="I18" i="1"/>
  <c r="J18" i="1"/>
  <c r="I21" i="1"/>
  <c r="I22" i="1"/>
  <c r="J22" i="1"/>
  <c r="J23" i="1"/>
  <c r="G13" i="1"/>
  <c r="I13" i="1"/>
  <c r="G12" i="1"/>
  <c r="I12" i="1"/>
  <c r="G11" i="1"/>
  <c r="I11" i="1"/>
  <c r="G10" i="1"/>
  <c r="I10" i="1"/>
  <c r="G9" i="1"/>
  <c r="I9" i="1"/>
  <c r="G8" i="1"/>
  <c r="G4" i="2"/>
  <c r="G5" i="2"/>
  <c r="G6" i="2"/>
  <c r="G7" i="2"/>
  <c r="F4" i="2"/>
  <c r="F5" i="2"/>
  <c r="F6" i="2"/>
  <c r="F7" i="2"/>
  <c r="H14" i="1"/>
  <c r="H12" i="1"/>
  <c r="H15" i="1"/>
  <c r="H13" i="1"/>
  <c r="I20" i="1"/>
  <c r="J21" i="1"/>
  <c r="I15" i="1"/>
  <c r="J16" i="1"/>
  <c r="J13" i="1"/>
  <c r="I19" i="1"/>
  <c r="J20" i="1"/>
  <c r="I14" i="1"/>
  <c r="J14" i="1"/>
  <c r="J12" i="1"/>
  <c r="H11" i="1"/>
  <c r="J11" i="1"/>
  <c r="H9" i="1"/>
  <c r="H10" i="1"/>
  <c r="J10" i="1"/>
  <c r="I8" i="1"/>
  <c r="J9" i="1"/>
  <c r="J19" i="1"/>
  <c r="J15" i="1"/>
  <c r="G4" i="1"/>
  <c r="I4" i="1"/>
  <c r="G5" i="1"/>
  <c r="I5" i="1"/>
  <c r="G6" i="1"/>
  <c r="G7" i="1"/>
  <c r="H7" i="1"/>
  <c r="I6" i="1"/>
  <c r="J6" i="1"/>
  <c r="H8" i="1"/>
  <c r="I7" i="1"/>
  <c r="J8" i="1"/>
  <c r="J4" i="1"/>
  <c r="J5" i="1"/>
  <c r="H5" i="1"/>
  <c r="H4" i="1"/>
  <c r="H6" i="1"/>
  <c r="J7" i="1"/>
</calcChain>
</file>

<file path=xl/sharedStrings.xml><?xml version="1.0" encoding="utf-8"?>
<sst xmlns="http://schemas.openxmlformats.org/spreadsheetml/2006/main" count="219" uniqueCount="116">
  <si>
    <t>CenterX</t>
  </si>
  <si>
    <t>CenterY</t>
  </si>
  <si>
    <t>PointOnCurveX</t>
  </si>
  <si>
    <t>PointOnCurveY</t>
  </si>
  <si>
    <t>Radius</t>
  </si>
  <si>
    <t>30 Pixel Inside</t>
  </si>
  <si>
    <t>30 Pixel Outside</t>
  </si>
  <si>
    <t>20 Pixel Outside</t>
  </si>
  <si>
    <t>20 Pixel Inside</t>
  </si>
  <si>
    <t>KiCAD Circle Equations</t>
  </si>
  <si>
    <t>Deg to Radians</t>
  </si>
  <si>
    <t>LED Count</t>
  </si>
  <si>
    <t>LED #</t>
  </si>
  <si>
    <t>Angle</t>
  </si>
  <si>
    <t>Radians</t>
  </si>
  <si>
    <t>x</t>
  </si>
  <si>
    <t>y</t>
  </si>
  <si>
    <t>L1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</si>
  <si>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</si>
  <si>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</si>
  <si>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</si>
  <si>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</si>
  <si>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</si>
  <si>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</si>
  <si>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</si>
  <si>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</si>
  <si>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</si>
  <si>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</si>
  <si>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</si>
  <si>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</si>
  <si>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</si>
  <si>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</si>
  <si>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</si>
  <si>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</si>
  <si>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</si>
  <si>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</si>
  <si>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</si>
  <si>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</si>
  <si>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</si>
  <si>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</si>
  <si>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</si>
  <si>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</si>
  <si>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</si>
  <si>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</si>
  <si>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</si>
  <si>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</si>
  <si>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</si>
  <si>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40 Radius</t>
  </si>
  <si>
    <t>Diameter</t>
  </si>
  <si>
    <t>D Diff</t>
  </si>
  <si>
    <t>R Diff</t>
  </si>
  <si>
    <t>New 30 In</t>
  </si>
  <si>
    <t>New 30 Out</t>
  </si>
  <si>
    <t>New 20 Out</t>
  </si>
  <si>
    <t>New 20 In</t>
  </si>
  <si>
    <t>New 10 Out</t>
  </si>
  <si>
    <t>New 10 In</t>
  </si>
  <si>
    <t>LED Size</t>
  </si>
  <si>
    <t>Target Ring Radius</t>
  </si>
  <si>
    <t>LED Center Radius</t>
  </si>
  <si>
    <t>OriginX</t>
  </si>
  <si>
    <t>OriginY</t>
  </si>
  <si>
    <t>LED Name</t>
  </si>
  <si>
    <t>LED Angle</t>
  </si>
  <si>
    <t>LED SEP</t>
  </si>
  <si>
    <t>LED X</t>
  </si>
  <si>
    <t>LED Y</t>
  </si>
  <si>
    <t>Constants</t>
  </si>
  <si>
    <t>Contant</t>
  </si>
  <si>
    <t>Value</t>
  </si>
  <si>
    <t>LED Size Buffer</t>
  </si>
  <si>
    <t>LED Rotation</t>
  </si>
  <si>
    <t>LED</t>
  </si>
  <si>
    <t>C/R</t>
  </si>
  <si>
    <t>20 Radius</t>
  </si>
  <si>
    <t>15 Radius</t>
  </si>
  <si>
    <t>Actual 20 pixel Inner</t>
  </si>
  <si>
    <t>Actual 20 pixel Outer</t>
  </si>
  <si>
    <t>Column1</t>
  </si>
  <si>
    <t>Python</t>
  </si>
  <si>
    <t>SEP</t>
  </si>
  <si>
    <t>Y2</t>
  </si>
  <si>
    <t>X2</t>
  </si>
  <si>
    <t>Name</t>
  </si>
  <si>
    <t>Orient</t>
  </si>
  <si>
    <t>30 Ring Cap ring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</si>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</sst>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/>
    </xf>
    <xf numFmtId="2" fontId="1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top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2" xfId="0" applyBorder="1"/>
    <xf numFmtId="0" fontId="3" fillId="0" borderId="5" xfId="0" applyFont="1" applyBorder="1" applyAlignment="1">
      <alignment horizontal="right"/>
    </xf>
    <xf numFmtId="0" fontId="0" fillId="0" borderId="6" xfId="0" applyBorder="1"/>
    <xf numFmtId="2" fontId="0" fillId="0" borderId="6" xfId="0" applyNumberFormat="1" applyBorder="1"/>
    <xf numFmtId="0" fontId="3" fillId="0" borderId="3" xfId="0" applyFont="1" applyBorder="1" applyAlignment="1">
      <alignment horizontal="right"/>
    </xf>
    <xf numFmtId="2" fontId="0" fillId="0" borderId="4" xfId="0" applyNumberFormat="1" applyBorder="1"/>
    <xf numFmtId="0" fontId="0" fillId="5" borderId="0" xfId="0" applyFill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64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numFmt numFmtId="2" formatCode="0.0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numFmt numFmtId="1" formatCode="0"/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alignment horizontal="left" vertical="top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382735251379505E-3"/>
          <c:y val="5.3015186555014733E-3"/>
          <c:w val="0.99506172647486202"/>
          <c:h val="0.989396962688997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'Polar to Cartesian Coords'!$F$2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'Polar to Cartesian Coords'!$E$3:$E$17</c:f>
              <c:numCache>
                <c:formatCode>0.00</c:formatCode>
                <c:ptCount val="15"/>
                <c:pt idx="0">
                  <c:v>17.5</c:v>
                </c:pt>
                <c:pt idx="1">
                  <c:v>15.987044230931733</c:v>
                </c:pt>
                <c:pt idx="2">
                  <c:v>11.709780941916298</c:v>
                </c:pt>
                <c:pt idx="3">
                  <c:v>5.4077884379753884</c:v>
                </c:pt>
                <c:pt idx="4">
                  <c:v>-1.8292606048381519</c:v>
                </c:pt>
                <c:pt idx="5">
                  <c:v>-8.7500136036266447</c:v>
                </c:pt>
                <c:pt idx="6">
                  <c:v>-14.157808481154253</c:v>
                </c:pt>
                <c:pt idx="7">
                  <c:v>-17.11758758509032</c:v>
                </c:pt>
                <c:pt idx="8">
                  <c:v>-17.117577787381389</c:v>
                </c:pt>
                <c:pt idx="9">
                  <c:v>-14.157780782141774</c:v>
                </c:pt>
                <c:pt idx="10">
                  <c:v>-8.7499727927255595</c:v>
                </c:pt>
                <c:pt idx="11">
                  <c:v>-1.8292137386299723</c:v>
                </c:pt>
                <c:pt idx="12">
                  <c:v>5.4078332558906608</c:v>
                </c:pt>
                <c:pt idx="13">
                  <c:v>11.709815962107408</c:v>
                </c:pt>
                <c:pt idx="14">
                  <c:v>15.987063398084373</c:v>
                </c:pt>
              </c:numCache>
            </c:numRef>
          </c:xVal>
          <c:yVal>
            <c:numRef>
              <c:f>'Polar to Cartesian Coords'!$F$3:$F$17</c:f>
              <c:numCache>
                <c:formatCode>0.00</c:formatCode>
                <c:ptCount val="15"/>
                <c:pt idx="0">
                  <c:v>0</c:v>
                </c:pt>
                <c:pt idx="1">
                  <c:v>7.1178941238425555</c:v>
                </c:pt>
                <c:pt idx="2">
                  <c:v>13.005038650166858</c:v>
                </c:pt>
                <c:pt idx="3">
                  <c:v>16.643491947608222</c:v>
                </c:pt>
                <c:pt idx="4">
                  <c:v>17.404131855383859</c:v>
                </c:pt>
                <c:pt idx="5">
                  <c:v>15.155436712162031</c:v>
                </c:pt>
                <c:pt idx="6">
                  <c:v>10.286226665349968</c:v>
                </c:pt>
                <c:pt idx="7">
                  <c:v>3.638433078505324</c:v>
                </c:pt>
                <c:pt idx="8">
                  <c:v>-3.6384791730814197</c:v>
                </c:pt>
                <c:pt idx="9">
                  <c:v>-10.286264789748367</c:v>
                </c:pt>
                <c:pt idx="10">
                  <c:v>-15.155460274322337</c:v>
                </c:pt>
                <c:pt idx="11">
                  <c:v>-17.404136781191056</c:v>
                </c:pt>
                <c:pt idx="12">
                  <c:v>-16.643477385344777</c:v>
                </c:pt>
                <c:pt idx="13">
                  <c:v>-13.005007117782542</c:v>
                </c:pt>
                <c:pt idx="14">
                  <c:v>-7.117851073577679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68384"/>
        <c:axId val="199169920"/>
      </c:scatterChart>
      <c:valAx>
        <c:axId val="199168384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99169920"/>
        <c:crosses val="autoZero"/>
        <c:crossBetween val="midCat"/>
      </c:valAx>
      <c:valAx>
        <c:axId val="199169920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199168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382735251379505E-3"/>
          <c:y val="5.3015186555014733E-3"/>
          <c:w val="0.99506172647486202"/>
          <c:h val="0.989396962688997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'30 Pixel Layout'!$F$2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'30 Pixel Layout'!$E$3:$E$32</c:f>
              <c:numCache>
                <c:formatCode>0.00</c:formatCode>
                <c:ptCount val="30"/>
                <c:pt idx="0">
                  <c:v>35.5</c:v>
                </c:pt>
                <c:pt idx="1">
                  <c:v>34.724239163538492</c:v>
                </c:pt>
                <c:pt idx="2">
                  <c:v>32.430861154175801</c:v>
                </c:pt>
                <c:pt idx="3">
                  <c:v>28.720097681369143</c:v>
                </c:pt>
                <c:pt idx="4">
                  <c:v>23.754127053601636</c:v>
                </c:pt>
                <c:pt idx="5">
                  <c:v>17.749986202030467</c:v>
                </c:pt>
                <c:pt idx="6">
                  <c:v>10.970085117035788</c:v>
                </c:pt>
                <c:pt idx="7">
                  <c:v>3.7107382626638894</c:v>
                </c:pt>
                <c:pt idx="8">
                  <c:v>-3.7107857983859653</c:v>
                </c:pt>
                <c:pt idx="9">
                  <c:v>-10.970130575216933</c:v>
                </c:pt>
                <c:pt idx="10">
                  <c:v>-17.750027595928337</c:v>
                </c:pt>
                <c:pt idx="11">
                  <c:v>-23.754162574102718</c:v>
                </c:pt>
                <c:pt idx="12">
                  <c:v>-28.72012577605577</c:v>
                </c:pt>
                <c:pt idx="13">
                  <c:v>-32.430880595174301</c:v>
                </c:pt>
                <c:pt idx="14">
                  <c:v>-34.724249101183219</c:v>
                </c:pt>
                <c:pt idx="15">
                  <c:v>-35.499999999967827</c:v>
                </c:pt>
                <c:pt idx="16">
                  <c:v>-34.724229225830818</c:v>
                </c:pt>
                <c:pt idx="17">
                  <c:v>-32.430841713118511</c:v>
                </c:pt>
                <c:pt idx="18">
                  <c:v>-28.720069586630459</c:v>
                </c:pt>
                <c:pt idx="19">
                  <c:v>-23.754091533057494</c:v>
                </c:pt>
                <c:pt idx="20">
                  <c:v>-17.749944808100423</c:v>
                </c:pt>
                <c:pt idx="21">
                  <c:v>-10.97003965883474</c:v>
                </c:pt>
                <c:pt idx="22">
                  <c:v>-3.7106907269350868</c:v>
                </c:pt>
                <c:pt idx="23">
                  <c:v>3.7108333341013062</c:v>
                </c:pt>
                <c:pt idx="24">
                  <c:v>10.970176033378198</c:v>
                </c:pt>
                <c:pt idx="25">
                  <c:v>17.75006898979402</c:v>
                </c:pt>
                <c:pt idx="26">
                  <c:v>23.754198094560742</c:v>
                </c:pt>
                <c:pt idx="27">
                  <c:v>28.720153870690325</c:v>
                </c:pt>
                <c:pt idx="28">
                  <c:v>32.430900036114011</c:v>
                </c:pt>
                <c:pt idx="29">
                  <c:v>34.724259038764998</c:v>
                </c:pt>
              </c:numCache>
            </c:numRef>
          </c:xVal>
          <c:yVal>
            <c:numRef>
              <c:f>'30 Pixel Layout'!$F$3:$F$32</c:f>
              <c:numCache>
                <c:formatCode>0.00</c:formatCode>
                <c:ptCount val="30"/>
                <c:pt idx="0">
                  <c:v>0</c:v>
                </c:pt>
                <c:pt idx="1">
                  <c:v>7.3808681409018222</c:v>
                </c:pt>
                <c:pt idx="2">
                  <c:v>14.439156651223469</c:v>
                </c:pt>
                <c:pt idx="3">
                  <c:v>20.866384190190086</c:v>
                </c:pt>
                <c:pt idx="4">
                  <c:v>26.381649833195624</c:v>
                </c:pt>
                <c:pt idx="5">
                  <c:v>30.743909800604865</c:v>
                </c:pt>
                <c:pt idx="6">
                  <c:v>33.762512236576683</c:v>
                </c:pt>
                <c:pt idx="7">
                  <c:v>35.305529617129416</c:v>
                </c:pt>
                <c:pt idx="8">
                  <c:v>35.305524620921538</c:v>
                </c:pt>
                <c:pt idx="9">
                  <c:v>33.762497466311501</c:v>
                </c:pt>
                <c:pt idx="10">
                  <c:v>30.743885901814405</c:v>
                </c:pt>
                <c:pt idx="11">
                  <c:v>26.381617850372592</c:v>
                </c:pt>
                <c:pt idx="12">
                  <c:v>20.866345521138506</c:v>
                </c:pt>
                <c:pt idx="13">
                  <c:v>14.439112985967899</c:v>
                </c:pt>
                <c:pt idx="14">
                  <c:v>7.3808213878250859</c:v>
                </c:pt>
                <c:pt idx="15">
                  <c:v>-4.7797562355699777E-5</c:v>
                </c:pt>
                <c:pt idx="16">
                  <c:v>-7.3809148939651656</c:v>
                </c:pt>
                <c:pt idx="17">
                  <c:v>-14.439200316452856</c:v>
                </c:pt>
                <c:pt idx="18">
                  <c:v>-20.866422859203833</c:v>
                </c:pt>
                <c:pt idx="19">
                  <c:v>-26.38168181597084</c:v>
                </c:pt>
                <c:pt idx="20">
                  <c:v>-30.743933699339596</c:v>
                </c:pt>
                <c:pt idx="21">
                  <c:v>-33.762527006780651</c:v>
                </c:pt>
                <c:pt idx="22">
                  <c:v>-35.305534613273281</c:v>
                </c:pt>
                <c:pt idx="23">
                  <c:v>-35.305519624649662</c:v>
                </c:pt>
                <c:pt idx="24">
                  <c:v>-33.762482695985121</c:v>
                </c:pt>
                <c:pt idx="25">
                  <c:v>-30.743862002968211</c:v>
                </c:pt>
                <c:pt idx="26">
                  <c:v>-26.381585867501727</c:v>
                </c:pt>
                <c:pt idx="27">
                  <c:v>-20.86630685204911</c:v>
                </c:pt>
                <c:pt idx="28">
                  <c:v>-14.43906932068615</c:v>
                </c:pt>
                <c:pt idx="29">
                  <c:v>-7.3807746347349843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11008"/>
        <c:axId val="46812544"/>
      </c:scatterChart>
      <c:valAx>
        <c:axId val="46811008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46812544"/>
        <c:crosses val="autoZero"/>
        <c:crossBetween val="midCat"/>
      </c:valAx>
      <c:valAx>
        <c:axId val="46812544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46811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382735251379505E-3"/>
          <c:y val="5.3015186555014733E-3"/>
          <c:w val="0.99506172647486202"/>
          <c:h val="0.989396962688997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 Pixel Layout'!$F$2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'20 Pixel Layout'!$E$3:$E$22</c:f>
              <c:numCache>
                <c:formatCode>0.00</c:formatCode>
                <c:ptCount val="20"/>
                <c:pt idx="0">
                  <c:v>16.25</c:v>
                </c:pt>
                <c:pt idx="1">
                  <c:v>15.454667713692698</c:v>
                </c:pt>
                <c:pt idx="2">
                  <c:v>13.146523586542214</c:v>
                </c:pt>
                <c:pt idx="3">
                  <c:v>9.5515050395668073</c:v>
                </c:pt>
                <c:pt idx="4">
                  <c:v>5.0215178352628609</c:v>
                </c:pt>
                <c:pt idx="5">
                  <c:v>-1.0939582933525315E-5</c:v>
                </c:pt>
                <c:pt idx="6">
                  <c:v>-5.0215386435852158</c:v>
                </c:pt>
                <c:pt idx="7">
                  <c:v>-9.5515227401803529</c:v>
                </c:pt>
                <c:pt idx="8">
                  <c:v>-13.146536446786092</c:v>
                </c:pt>
                <c:pt idx="9">
                  <c:v>-15.454674474715567</c:v>
                </c:pt>
                <c:pt idx="10">
                  <c:v>-16.24999999998527</c:v>
                </c:pt>
                <c:pt idx="11">
                  <c:v>-15.454660952641813</c:v>
                </c:pt>
                <c:pt idx="12">
                  <c:v>-13.146510726274505</c:v>
                </c:pt>
                <c:pt idx="13">
                  <c:v>-9.5514873389359458</c:v>
                </c:pt>
                <c:pt idx="14">
                  <c:v>-5.021497026931395</c:v>
                </c:pt>
                <c:pt idx="15">
                  <c:v>3.281874879333966E-5</c:v>
                </c:pt>
                <c:pt idx="16">
                  <c:v>5.0215594518984714</c:v>
                </c:pt>
                <c:pt idx="17">
                  <c:v>9.5515404407765843</c:v>
                </c:pt>
                <c:pt idx="18">
                  <c:v>13.146549307006135</c:v>
                </c:pt>
                <c:pt idx="19">
                  <c:v>15.454681235710417</c:v>
                </c:pt>
              </c:numCache>
            </c:numRef>
          </c:xVal>
          <c:yVal>
            <c:numRef>
              <c:f>'20 Pixel Layout'!$F$3:$F$22</c:f>
              <c:numCache>
                <c:formatCode>0.00</c:formatCode>
                <c:ptCount val="20"/>
                <c:pt idx="0">
                  <c:v>0</c:v>
                </c:pt>
                <c:pt idx="1">
                  <c:v>5.0215282394251775</c:v>
                </c:pt>
                <c:pt idx="2">
                  <c:v>9.5515138898757446</c:v>
                </c:pt>
                <c:pt idx="3">
                  <c:v>13.14653001666713</c:v>
                </c:pt>
                <c:pt idx="4">
                  <c:v>15.454671094207635</c:v>
                </c:pt>
                <c:pt idx="5">
                  <c:v>16.249999999996319</c:v>
                </c:pt>
                <c:pt idx="6">
                  <c:v>15.454664333170758</c:v>
                </c:pt>
                <c:pt idx="7">
                  <c:v>13.146517156411335</c:v>
                </c:pt>
                <c:pt idx="8">
                  <c:v>9.551496189253541</c:v>
                </c:pt>
                <c:pt idx="9">
                  <c:v>5.0215074310982715</c:v>
                </c:pt>
                <c:pt idx="10">
                  <c:v>-2.1879165867045672E-5</c:v>
                </c:pt>
                <c:pt idx="11">
                  <c:v>-5.0215490477429814</c:v>
                </c:pt>
                <c:pt idx="12">
                  <c:v>-9.5515315904806268</c:v>
                </c:pt>
                <c:pt idx="13">
                  <c:v>-13.146542876899096</c:v>
                </c:pt>
                <c:pt idx="14">
                  <c:v>-15.454677855216497</c:v>
                </c:pt>
                <c:pt idx="15">
                  <c:v>-16.24999999996686</c:v>
                </c:pt>
                <c:pt idx="16">
                  <c:v>-15.454657572105864</c:v>
                </c:pt>
                <c:pt idx="17">
                  <c:v>-13.146504296131708</c:v>
                </c:pt>
                <c:pt idx="18">
                  <c:v>-9.5514784886140287</c:v>
                </c:pt>
                <c:pt idx="19">
                  <c:v>-5.0214866227622581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45920"/>
        <c:axId val="199747456"/>
      </c:scatterChart>
      <c:valAx>
        <c:axId val="199745920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99747456"/>
        <c:crosses val="autoZero"/>
        <c:crossBetween val="midCat"/>
      </c:valAx>
      <c:valAx>
        <c:axId val="199747456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199745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382735251379505E-3"/>
          <c:y val="5.3015186555014733E-3"/>
          <c:w val="0.99506172647486202"/>
          <c:h val="0.989396962688997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'30 Cap Layout'!$F$2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'30 Cap Layout'!$E$3:$E$32</c:f>
              <c:numCache>
                <c:formatCode>0.00</c:formatCode>
                <c:ptCount val="30"/>
                <c:pt idx="0">
                  <c:v>34.9</c:v>
                </c:pt>
                <c:pt idx="1">
                  <c:v>34.708813984627277</c:v>
                </c:pt>
                <c:pt idx="2">
                  <c:v>33.191870966638469</c:v>
                </c:pt>
                <c:pt idx="3">
                  <c:v>30.224282676266458</c:v>
                </c:pt>
                <c:pt idx="4">
                  <c:v>25.93574707263307</c:v>
                </c:pt>
                <c:pt idx="5">
                  <c:v>20.51369390036194</c:v>
                </c:pt>
                <c:pt idx="6">
                  <c:v>14.195093103355031</c:v>
                </c:pt>
                <c:pt idx="7">
                  <c:v>7.2560980922913503</c:v>
                </c:pt>
                <c:pt idx="8">
                  <c:v>-2.349485811569437E-5</c:v>
                </c:pt>
                <c:pt idx="9">
                  <c:v>-7.2561440551686571</c:v>
                </c:pt>
                <c:pt idx="10">
                  <c:v>-14.195136030593412</c:v>
                </c:pt>
                <c:pt idx="11">
                  <c:v>-20.513731915833496</c:v>
                </c:pt>
                <c:pt idx="12">
                  <c:v>-25.935778514877843</c:v>
                </c:pt>
                <c:pt idx="13">
                  <c:v>-30.22430617110631</c:v>
                </c:pt>
                <c:pt idx="14">
                  <c:v>-33.191885487235275</c:v>
                </c:pt>
                <c:pt idx="15">
                  <c:v>-34.708818896360739</c:v>
                </c:pt>
                <c:pt idx="16">
                  <c:v>-34.708809072830888</c:v>
                </c:pt>
                <c:pt idx="17">
                  <c:v>-33.191856445981493</c:v>
                </c:pt>
                <c:pt idx="18">
                  <c:v>-30.224259181371821</c:v>
                </c:pt>
                <c:pt idx="19">
                  <c:v>-25.935715630341281</c:v>
                </c:pt>
                <c:pt idx="20">
                  <c:v>-20.5136558848532</c:v>
                </c:pt>
                <c:pt idx="21">
                  <c:v>-14.195050176090925</c:v>
                </c:pt>
                <c:pt idx="22">
                  <c:v>-7.2560521294008824</c:v>
                </c:pt>
                <c:pt idx="23">
                  <c:v>7.0484574331541796E-5</c:v>
                </c:pt>
                <c:pt idx="24">
                  <c:v>7.2561900180328243</c:v>
                </c:pt>
                <c:pt idx="25">
                  <c:v>14.195178957806059</c:v>
                </c:pt>
                <c:pt idx="26">
                  <c:v>20.513769931267863</c:v>
                </c:pt>
                <c:pt idx="27">
                  <c:v>25.935809957075598</c:v>
                </c:pt>
                <c:pt idx="28">
                  <c:v>30.224329665891361</c:v>
                </c:pt>
                <c:pt idx="29">
                  <c:v>33.191900007771913</c:v>
                </c:pt>
              </c:numCache>
            </c:numRef>
          </c:xVal>
          <c:yVal>
            <c:numRef>
              <c:f>'30 Cap Layout'!$F$3:$F$32</c:f>
              <c:numCache>
                <c:formatCode>0.00</c:formatCode>
                <c:ptCount val="30"/>
                <c:pt idx="0">
                  <c:v>0</c:v>
                </c:pt>
                <c:pt idx="1">
                  <c:v>3.64804492578449</c:v>
                </c:pt>
                <c:pt idx="2">
                  <c:v>10.784697572673149</c:v>
                </c:pt>
                <c:pt idx="3">
                  <c:v>17.450006782380889</c:v>
                </c:pt>
                <c:pt idx="4">
                  <c:v>23.352666309961375</c:v>
                </c:pt>
                <c:pt idx="5">
                  <c:v>28.234701389642023</c:v>
                </c:pt>
                <c:pt idx="6">
                  <c:v>31.882743479617343</c:v>
                </c:pt>
                <c:pt idx="7">
                  <c:v>34.137355499145592</c:v>
                </c:pt>
                <c:pt idx="8">
                  <c:v>34.89999999999209</c:v>
                </c:pt>
                <c:pt idx="9">
                  <c:v>34.137345729430116</c:v>
                </c:pt>
                <c:pt idx="10">
                  <c:v>31.882724367170201</c:v>
                </c:pt>
                <c:pt idx="11">
                  <c:v>28.234673769769572</c:v>
                </c:pt>
                <c:pt idx="12">
                  <c:v>23.352631389785625</c:v>
                </c:pt>
                <c:pt idx="13">
                  <c:v>17.44996608808238</c:v>
                </c:pt>
                <c:pt idx="14">
                  <c:v>10.784652882789517</c:v>
                </c:pt>
                <c:pt idx="15">
                  <c:v>3.6479981934797632</c:v>
                </c:pt>
                <c:pt idx="16">
                  <c:v>-3.6480916580826057</c:v>
                </c:pt>
                <c:pt idx="17">
                  <c:v>-10.784742262537234</c:v>
                </c:pt>
                <c:pt idx="18">
                  <c:v>-17.450047476647768</c:v>
                </c:pt>
                <c:pt idx="19">
                  <c:v>-23.352701230094794</c:v>
                </c:pt>
                <c:pt idx="20">
                  <c:v>-28.234729009463287</c:v>
                </c:pt>
                <c:pt idx="21">
                  <c:v>-31.882762592006685</c:v>
                </c:pt>
                <c:pt idx="22">
                  <c:v>-34.137365268799186</c:v>
                </c:pt>
                <c:pt idx="23">
                  <c:v>-34.899999999928824</c:v>
                </c:pt>
                <c:pt idx="24">
                  <c:v>-34.137335959652752</c:v>
                </c:pt>
                <c:pt idx="25">
                  <c:v>-31.882705254665265</c:v>
                </c:pt>
                <c:pt idx="26">
                  <c:v>-28.234646149845943</c:v>
                </c:pt>
                <c:pt idx="27">
                  <c:v>-23.352596469567533</c:v>
                </c:pt>
                <c:pt idx="28">
                  <c:v>-17.449925393752242</c:v>
                </c:pt>
                <c:pt idx="29">
                  <c:v>-10.784608192886326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2656"/>
        <c:axId val="51144192"/>
      </c:scatterChart>
      <c:valAx>
        <c:axId val="51142656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51144192"/>
        <c:crosses val="autoZero"/>
        <c:crossBetween val="midCat"/>
      </c:valAx>
      <c:valAx>
        <c:axId val="51144192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5114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</xdr:colOff>
      <xdr:row>11</xdr:row>
      <xdr:rowOff>4760</xdr:rowOff>
    </xdr:from>
    <xdr:to>
      <xdr:col>13</xdr:col>
      <xdr:colOff>723900</xdr:colOff>
      <xdr:row>21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</xdr:colOff>
      <xdr:row>13</xdr:row>
      <xdr:rowOff>4760</xdr:rowOff>
    </xdr:from>
    <xdr:to>
      <xdr:col>14</xdr:col>
      <xdr:colOff>723900</xdr:colOff>
      <xdr:row>20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</xdr:colOff>
      <xdr:row>13</xdr:row>
      <xdr:rowOff>4760</xdr:rowOff>
    </xdr:from>
    <xdr:to>
      <xdr:col>13</xdr:col>
      <xdr:colOff>723900</xdr:colOff>
      <xdr:row>20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</xdr:colOff>
      <xdr:row>13</xdr:row>
      <xdr:rowOff>4760</xdr:rowOff>
    </xdr:from>
    <xdr:to>
      <xdr:col>14</xdr:col>
      <xdr:colOff>723900</xdr:colOff>
      <xdr:row>20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J23" totalsRowShown="0">
  <autoFilter ref="B3:J23"/>
  <tableColumns count="9">
    <tableColumn id="1" name="KiCAD Circle Equations"/>
    <tableColumn id="2" name="CenterX"/>
    <tableColumn id="3" name="CenterY"/>
    <tableColumn id="4" name="PointOnCurveX"/>
    <tableColumn id="5" name="PointOnCurveY"/>
    <tableColumn id="6" name="Radius" dataDxfId="63">
      <calculatedColumnFormula>SQRT(POWER(Table1[[#This Row],[PointOnCurveX]]-Table1[[#This Row],[CenterX]],2) + POWER(Table1[[#This Row],[PointOnCurveY]]-Table1[[#This Row],[CenterY]],2))</calculatedColumnFormula>
    </tableColumn>
    <tableColumn id="7" name="R Diff" dataDxfId="62">
      <calculatedColumnFormula>G3-Table1[[#This Row],[Radius]]</calculatedColumnFormula>
    </tableColumn>
    <tableColumn id="8" name="Diameter" dataDxfId="61">
      <calculatedColumnFormula>Table1[[#This Row],[Radius]]*2</calculatedColumnFormula>
    </tableColumn>
    <tableColumn id="9" name="D Diff" dataDxfId="60">
      <calculatedColumnFormula>I3-Table1[[#This Row],[Diameter]]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3:G7" totalsRowShown="0">
  <autoFilter ref="B3:G7"/>
  <tableColumns count="6">
    <tableColumn id="1" name="KiCAD Circle Equations"/>
    <tableColumn id="2" name="CenterX"/>
    <tableColumn id="3" name="CenterY"/>
    <tableColumn id="8" name="Radius"/>
    <tableColumn id="4" name="PointOnCurveX" dataDxfId="59">
      <calculatedColumnFormula>Table14[[#This Row],[CenterX]]</calculatedColumnFormula>
    </tableColumn>
    <tableColumn id="5" name="PointOnCurveY" dataDxfId="58">
      <calculatedColumnFormula>Table14[[#This Row],[CenterY]]+Table14[[#This Row],[Radius]]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B2:K17" totalsRowShown="0" headerRowDxfId="57">
  <autoFilter ref="B2:K17"/>
  <tableColumns count="10">
    <tableColumn id="1" name="LED #"/>
    <tableColumn id="3" name="Angle" dataDxfId="56">
      <calculatedColumnFormula>360/LEDCount * (Table13[[#This Row],[LED '#]]-1)</calculatedColumnFormula>
    </tableColumn>
    <tableColumn id="6" name="Radians" dataDxfId="55">
      <calculatedColumnFormula>Table13[[#This Row],[Angle]]*RadiansInDegree</calculatedColumnFormula>
    </tableColumn>
    <tableColumn id="4" name="x" dataDxfId="54">
      <calculatedColumnFormula>Radius*COS(Table13[[#This Row],[Radians]])</calculatedColumnFormula>
    </tableColumn>
    <tableColumn id="5" name="y" dataDxfId="53">
      <calculatedColumnFormula>Radius*SIN(Table13[[#This Row],[Radians]])</calculatedColumnFormula>
    </tableColumn>
    <tableColumn id="9" name="LED Name" dataDxfId="52"/>
    <tableColumn id="2" name="LED Angle" dataDxfId="51">
      <calculatedColumnFormula>Table13[[#This Row],[Angle]]*10</calculatedColumnFormula>
    </tableColumn>
    <tableColumn id="7" name="LED X" dataDxfId="50">
      <calculatedColumnFormula>Xo-Table13[[#This Row],[y]]</calculatedColumnFormula>
    </tableColumn>
    <tableColumn id="8" name="LED Y" dataDxfId="49">
      <calculatedColumnFormula>Yo-Table13[[#This Row],[x]]</calculatedColumnFormula>
    </tableColumn>
    <tableColumn id="10" name="LED SEP" dataDxfId="48">
      <calculatedColumnFormula>SQRT(POWER((Table13[[#This Row],[LED X]]-I4),2) + POWER((Table13[[#This Row],[LED Y]]-J4),2)) - LEDSize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M3:N10" totalsRowShown="0" headerRowDxfId="47" headerRowBorderDxfId="46">
  <autoFilter ref="M3:N10"/>
  <tableColumns count="2">
    <tableColumn id="1" name="Contant" dataDxfId="45"/>
    <tableColumn id="2" name="Value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136810" displayName="Table136810" ref="B2:L32" totalsRowShown="0" headerRowDxfId="29">
  <autoFilter ref="B2:L32"/>
  <tableColumns count="11">
    <tableColumn id="1" name="LED #"/>
    <tableColumn id="3" name="Angle" dataDxfId="28">
      <calculatedColumnFormula>360/LEDCount * (Table136810[[#This Row],[LED '#]]-1)</calculatedColumnFormula>
    </tableColumn>
    <tableColumn id="6" name="Radians" dataDxfId="27">
      <calculatedColumnFormula>Table136810[[#This Row],[Angle]]*RadiansInDegree</calculatedColumnFormula>
    </tableColumn>
    <tableColumn id="4" name="x" dataDxfId="26">
      <calculatedColumnFormula>Radius*COS(Table136810[[#This Row],[Radians]])</calculatedColumnFormula>
    </tableColumn>
    <tableColumn id="5" name="y" dataDxfId="25">
      <calculatedColumnFormula>Radius*SIN(Table136810[[#This Row],[Radians]])</calculatedColumnFormula>
    </tableColumn>
    <tableColumn id="9" name="LED Name" dataDxfId="24"/>
    <tableColumn id="2" name="LED Angle" dataDxfId="23">
      <calculatedColumnFormula>(Table136810[[#This Row],[Angle]] + LEDRotation)*10</calculatedColumnFormula>
    </tableColumn>
    <tableColumn id="7" name="LED X" dataDxfId="22">
      <calculatedColumnFormula>Xo-Table136810[[#This Row],[y]]</calculatedColumnFormula>
    </tableColumn>
    <tableColumn id="8" name="LED Y" dataDxfId="21">
      <calculatedColumnFormula>Yo-Table136810[[#This Row],[x]]</calculatedColumnFormula>
    </tableColumn>
    <tableColumn id="10" name="LED SEP" dataDxfId="20">
      <calculatedColumnFormula>SQRT(POWER((Table136810[[#This Row],[LED X]]-I4),2) + POWER((Table136810[[#This Row],[LED Y]]-J4),2)) - LEDSize</calculatedColumnFormula>
    </tableColumn>
    <tableColumn id="11" name="Column1" dataDxfId="15">
      <calculatedColumnFormula>CONCATENATE("'",Table136810[LED Name],"':[",Table136810[LED Angle],", ",Table136810[LED X],", ",Table136810[LED Y],"], 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47911" displayName="Table47911" ref="N3:O12" totalsRowShown="0" headerRowDxfId="19" headerRowBorderDxfId="18">
  <autoFilter ref="N3:O12"/>
  <tableColumns count="2">
    <tableColumn id="1" name="Contant" dataDxfId="17"/>
    <tableColumn id="2" name="Value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368" displayName="Table1368" ref="B2:K22" totalsRowShown="0" headerRowDxfId="43">
  <autoFilter ref="B2:K22"/>
  <tableColumns count="10">
    <tableColumn id="1" name="LED #"/>
    <tableColumn id="3" name="Angle" dataDxfId="31">
      <calculatedColumnFormula>360/LEDCount * (Table1368[[#This Row],[LED '#]]-1)</calculatedColumnFormula>
    </tableColumn>
    <tableColumn id="6" name="Radians" dataDxfId="42">
      <calculatedColumnFormula>Table1368[[#This Row],[Angle]]*RadiansInDegree</calculatedColumnFormula>
    </tableColumn>
    <tableColumn id="4" name="x" dataDxfId="41">
      <calculatedColumnFormula>Radius*COS(Table1368[[#This Row],[Radians]])</calculatedColumnFormula>
    </tableColumn>
    <tableColumn id="5" name="y" dataDxfId="40">
      <calculatedColumnFormula>Radius*SIN(Table1368[[#This Row],[Radians]])</calculatedColumnFormula>
    </tableColumn>
    <tableColumn id="9" name="LED Name" dataDxfId="39"/>
    <tableColumn id="2" name="LED Angle" dataDxfId="30">
      <calculatedColumnFormula>(Table1368[[#This Row],[Angle]] + LEDRotation)*10</calculatedColumnFormula>
    </tableColumn>
    <tableColumn id="7" name="LED X" dataDxfId="38">
      <calculatedColumnFormula>Xo-Table1368[[#This Row],[y]]</calculatedColumnFormula>
    </tableColumn>
    <tableColumn id="8" name="LED Y" dataDxfId="37">
      <calculatedColumnFormula>Yo-Table1368[[#This Row],[x]]</calculatedColumnFormula>
    </tableColumn>
    <tableColumn id="10" name="LED SEP" dataDxfId="36">
      <calculatedColumnFormula>SQRT(POWER((Table1368[[#This Row],[LED X]]-I4),2) + POWER((Table1368[[#This Row],[LED Y]]-J4),2)) - LEDSize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479" displayName="Table479" ref="M3:N12" totalsRowShown="0" headerRowDxfId="35" headerRowBorderDxfId="34">
  <autoFilter ref="M3:N12"/>
  <tableColumns count="2">
    <tableColumn id="1" name="Contant" dataDxfId="33"/>
    <tableColumn id="2" name="Value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13681012" displayName="Table13681012" ref="B2:L32" totalsRowShown="0" headerRowDxfId="14">
  <autoFilter ref="B2:L32"/>
  <tableColumns count="11">
    <tableColumn id="1" name="LED #"/>
    <tableColumn id="3" name="Angle" dataDxfId="13">
      <calculatedColumnFormula>360/LEDCount * (Table13681012[[#This Row],[LED '#]]-1)</calculatedColumnFormula>
    </tableColumn>
    <tableColumn id="6" name="Radians" dataDxfId="12">
      <calculatedColumnFormula>Table13681012[[#This Row],[Angle]]*RadiansInDegree</calculatedColumnFormula>
    </tableColumn>
    <tableColumn id="4" name="x" dataDxfId="11">
      <calculatedColumnFormula>Radius*COS(Table13681012[[#This Row],[Radians]])</calculatedColumnFormula>
    </tableColumn>
    <tableColumn id="5" name="y" dataDxfId="10">
      <calculatedColumnFormula>Radius*SIN(Table13681012[[#This Row],[Radians]])</calculatedColumnFormula>
    </tableColumn>
    <tableColumn id="9" name="Name" dataDxfId="9"/>
    <tableColumn id="2" name="Orient" dataDxfId="8">
      <calculatedColumnFormula>(Table13681012[[#This Row],[Angle]] + LEDRotation)*10</calculatedColumnFormula>
    </tableColumn>
    <tableColumn id="7" name="X2" dataDxfId="7">
      <calculatedColumnFormula>Xo-Table13681012[[#This Row],[y]]</calculatedColumnFormula>
    </tableColumn>
    <tableColumn id="8" name="Y2" dataDxfId="6">
      <calculatedColumnFormula>Yo-Table13681012[[#This Row],[x]]</calculatedColumnFormula>
    </tableColumn>
    <tableColumn id="10" name="SEP" dataDxfId="5">
      <calculatedColumnFormula>SQRT(POWER((Table13681012[[#This Row],[X2]]-I4),2) + POWER((Table13681012[[#This Row],[Y2]]-J4),2)) - LEDSize</calculatedColumnFormula>
    </tableColumn>
    <tableColumn id="11" name="Python" dataDxfId="4">
      <calculatedColumnFormula>CONCATENATE("'",Table13681012[Name],"':[",Table13681012[Orient],", ",Table13681012[X2],", ",Table13681012[Y2],"], 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4791113" displayName="Table4791113" ref="N3:O12" totalsRowShown="0" headerRowDxfId="3" headerRowBorderDxfId="2">
  <autoFilter ref="N3:O12"/>
  <tableColumns count="2">
    <tableColumn id="1" name="Contant" dataDxfId="1"/>
    <tableColumn id="2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workbookViewId="0">
      <selection activeCell="G20" sqref="G20"/>
    </sheetView>
  </sheetViews>
  <sheetFormatPr defaultRowHeight="15" x14ac:dyDescent="0.25"/>
  <cols>
    <col min="1" max="1" width="3.5703125" customWidth="1"/>
    <col min="2" max="2" width="23.140625" customWidth="1"/>
    <col min="3" max="3" width="10.42578125" bestFit="1" customWidth="1"/>
    <col min="4" max="4" width="10.28515625" customWidth="1"/>
    <col min="5" max="6" width="16.7109375" customWidth="1"/>
    <col min="7" max="7" width="9.140625" bestFit="1" customWidth="1"/>
    <col min="8" max="8" width="8.42578125" bestFit="1" customWidth="1"/>
    <col min="9" max="9" width="11.5703125" bestFit="1" customWidth="1"/>
    <col min="10" max="10" width="8.42578125" bestFit="1" customWidth="1"/>
  </cols>
  <sheetData>
    <row r="3" spans="2:10" x14ac:dyDescent="0.25">
      <c r="B3" t="s">
        <v>9</v>
      </c>
      <c r="C3" s="20" t="s">
        <v>0</v>
      </c>
      <c r="D3" s="20" t="s">
        <v>1</v>
      </c>
      <c r="E3" s="20" t="s">
        <v>2</v>
      </c>
      <c r="F3" s="20" t="s">
        <v>3</v>
      </c>
      <c r="G3" s="21" t="s">
        <v>4</v>
      </c>
      <c r="H3" s="21" t="s">
        <v>50</v>
      </c>
      <c r="I3" s="21" t="s">
        <v>48</v>
      </c>
      <c r="J3" s="21" t="s">
        <v>49</v>
      </c>
    </row>
    <row r="4" spans="2:10" x14ac:dyDescent="0.25">
      <c r="B4" t="s">
        <v>6</v>
      </c>
      <c r="C4">
        <v>178.13</v>
      </c>
      <c r="D4">
        <v>75.400000000000006</v>
      </c>
      <c r="E4">
        <v>216.13</v>
      </c>
      <c r="F4">
        <v>53.66</v>
      </c>
      <c r="G4" s="1">
        <f>SQRT(POWER(Table1[[#This Row],[PointOnCurveX]]-Table1[[#This Row],[CenterX]],2) + POWER(Table1[[#This Row],[PointOnCurveY]]-Table1[[#This Row],[CenterY]],2))</f>
        <v>43.77930561349735</v>
      </c>
      <c r="H4" s="1" t="e">
        <f>G3-Table1[[#This Row],[Radius]]</f>
        <v>#VALUE!</v>
      </c>
      <c r="I4" s="1">
        <f>Table1[[#This Row],[Radius]]*2</f>
        <v>87.558611226994699</v>
      </c>
      <c r="J4" s="1" t="e">
        <f>I3-Table1[[#This Row],[Diameter]]</f>
        <v>#VALUE!</v>
      </c>
    </row>
    <row r="5" spans="2:10" x14ac:dyDescent="0.25">
      <c r="B5" t="s">
        <v>5</v>
      </c>
      <c r="C5">
        <v>178.13</v>
      </c>
      <c r="D5">
        <v>75.400000000000006</v>
      </c>
      <c r="E5">
        <v>208.93</v>
      </c>
      <c r="F5">
        <v>60.48</v>
      </c>
      <c r="G5" s="1">
        <f>SQRT(POWER(Table1[[#This Row],[PointOnCurveX]]-Table1[[#This Row],[CenterX]],2) + POWER(Table1[[#This Row],[PointOnCurveY]]-Table1[[#This Row],[CenterY]],2))</f>
        <v>34.223477321861978</v>
      </c>
      <c r="H5" s="1">
        <f>G4-Table1[[#This Row],[Radius]]</f>
        <v>9.5558282916353718</v>
      </c>
      <c r="I5" s="1">
        <f>Table1[[#This Row],[Radius]]*2</f>
        <v>68.446954643723956</v>
      </c>
      <c r="J5" s="1">
        <f>I4-Table1[[#This Row],[Diameter]]</f>
        <v>19.111656583270744</v>
      </c>
    </row>
    <row r="6" spans="2:10" x14ac:dyDescent="0.25">
      <c r="B6" t="s">
        <v>7</v>
      </c>
      <c r="C6">
        <v>144.09</v>
      </c>
      <c r="D6">
        <v>99.59</v>
      </c>
      <c r="E6">
        <v>163.38999999999999</v>
      </c>
      <c r="F6">
        <v>74.19</v>
      </c>
      <c r="G6" s="1">
        <f>SQRT(POWER(Table1[[#This Row],[PointOnCurveX]]-Table1[[#This Row],[CenterX]],2) + POWER(Table1[[#This Row],[PointOnCurveY]]-Table1[[#This Row],[CenterY]],2))</f>
        <v>31.900626953086668</v>
      </c>
      <c r="H6" s="1">
        <f>G5-Table1[[#This Row],[Radius]]</f>
        <v>2.3228503687753097</v>
      </c>
      <c r="I6" s="1">
        <f>Table1[[#This Row],[Radius]]*2</f>
        <v>63.801253906173336</v>
      </c>
      <c r="J6" s="1">
        <f>I5-Table1[[#This Row],[Diameter]]</f>
        <v>4.6457007375506194</v>
      </c>
    </row>
    <row r="7" spans="2:10" x14ac:dyDescent="0.25">
      <c r="B7" t="s">
        <v>8</v>
      </c>
      <c r="C7">
        <v>144.09</v>
      </c>
      <c r="D7">
        <v>99.57</v>
      </c>
      <c r="E7">
        <v>161.09</v>
      </c>
      <c r="F7">
        <v>114.33</v>
      </c>
      <c r="G7" s="1">
        <f>SQRT(POWER(Table1[[#This Row],[PointOnCurveX]]-Table1[[#This Row],[CenterX]],2) + POWER(Table1[[#This Row],[PointOnCurveY]]-Table1[[#This Row],[CenterY]],2))</f>
        <v>22.513498173318162</v>
      </c>
      <c r="H7" s="1">
        <f>G6-Table1[[#This Row],[Radius]]</f>
        <v>9.3871287797685063</v>
      </c>
      <c r="I7" s="1">
        <f>Table1[[#This Row],[Radius]]*2</f>
        <v>45.026996346636324</v>
      </c>
      <c r="J7" s="1">
        <f>I6-Table1[[#This Row],[Diameter]]</f>
        <v>18.774257559537013</v>
      </c>
    </row>
    <row r="8" spans="2:10" x14ac:dyDescent="0.25">
      <c r="B8" t="s">
        <v>47</v>
      </c>
      <c r="C8">
        <v>178.13</v>
      </c>
      <c r="D8">
        <v>75.400000000000006</v>
      </c>
      <c r="E8">
        <v>178.13</v>
      </c>
      <c r="F8">
        <v>115.4</v>
      </c>
      <c r="G8" s="1">
        <f>SQRT(POWER(Table1[[#This Row],[PointOnCurveX]]-Table1[[#This Row],[CenterX]],2) + POWER(Table1[[#This Row],[PointOnCurveY]]-Table1[[#This Row],[CenterY]],2))</f>
        <v>40</v>
      </c>
      <c r="H8" s="1">
        <f>G7-Table1[[#This Row],[Radius]]</f>
        <v>-17.486501826681838</v>
      </c>
      <c r="I8" s="1">
        <f>Table1[[#This Row],[Radius]]*2</f>
        <v>80</v>
      </c>
      <c r="J8" s="1">
        <f>I7-Table1[[#This Row],[Diameter]]</f>
        <v>-34.973003653363676</v>
      </c>
    </row>
    <row r="9" spans="2:10" x14ac:dyDescent="0.25">
      <c r="G9" s="1">
        <f>SQRT(POWER(Table1[[#This Row],[PointOnCurveX]]-Table1[[#This Row],[CenterX]],2) + POWER(Table1[[#This Row],[PointOnCurveY]]-Table1[[#This Row],[CenterY]],2))</f>
        <v>0</v>
      </c>
      <c r="H9" s="1">
        <f>G8-Table1[[#This Row],[Radius]]</f>
        <v>40</v>
      </c>
      <c r="I9" s="1">
        <f>Table1[[#This Row],[Radius]]*2</f>
        <v>0</v>
      </c>
      <c r="J9" s="1">
        <f>I8-Table1[[#This Row],[Diameter]]</f>
        <v>80</v>
      </c>
    </row>
    <row r="10" spans="2:10" x14ac:dyDescent="0.25">
      <c r="B10" t="s">
        <v>52</v>
      </c>
      <c r="C10">
        <v>178</v>
      </c>
      <c r="D10">
        <v>75</v>
      </c>
      <c r="E10">
        <v>178</v>
      </c>
      <c r="F10">
        <v>115</v>
      </c>
      <c r="G10" s="1">
        <f>SQRT(POWER(Table1[[#This Row],[PointOnCurveX]]-Table1[[#This Row],[CenterX]],2) + POWER(Table1[[#This Row],[PointOnCurveY]]-Table1[[#This Row],[CenterY]],2))</f>
        <v>40</v>
      </c>
      <c r="H10" s="1">
        <f>G9-Table1[[#This Row],[Radius]]</f>
        <v>-40</v>
      </c>
      <c r="I10" s="1">
        <f>Table1[[#This Row],[Radius]]*2</f>
        <v>80</v>
      </c>
      <c r="J10" s="1">
        <f>I9-Table1[[#This Row],[Diameter]]</f>
        <v>-80</v>
      </c>
    </row>
    <row r="11" spans="2:10" x14ac:dyDescent="0.25">
      <c r="B11" t="s">
        <v>51</v>
      </c>
      <c r="C11">
        <v>178</v>
      </c>
      <c r="D11">
        <v>75</v>
      </c>
      <c r="E11">
        <v>178</v>
      </c>
      <c r="F11">
        <v>105</v>
      </c>
      <c r="G11" s="1">
        <f>SQRT(POWER(Table1[[#This Row],[PointOnCurveX]]-Table1[[#This Row],[CenterX]],2) + POWER(Table1[[#This Row],[PointOnCurveY]]-Table1[[#This Row],[CenterY]],2))</f>
        <v>30</v>
      </c>
      <c r="H11" s="1">
        <f>G10-Table1[[#This Row],[Radius]]</f>
        <v>10</v>
      </c>
      <c r="I11" s="1">
        <f>Table1[[#This Row],[Radius]]*2</f>
        <v>60</v>
      </c>
      <c r="J11" s="1">
        <f>I10-Table1[[#This Row],[Diameter]]</f>
        <v>20</v>
      </c>
    </row>
    <row r="12" spans="2:10" x14ac:dyDescent="0.25">
      <c r="B12" t="s">
        <v>53</v>
      </c>
      <c r="C12">
        <v>178</v>
      </c>
      <c r="D12">
        <v>75</v>
      </c>
      <c r="E12">
        <v>178</v>
      </c>
      <c r="F12">
        <v>100</v>
      </c>
      <c r="G12" s="1">
        <f>SQRT(POWER(Table1[[#This Row],[PointOnCurveX]]-Table1[[#This Row],[CenterX]],2) + POWER(Table1[[#This Row],[PointOnCurveY]]-Table1[[#This Row],[CenterY]],2))</f>
        <v>25</v>
      </c>
      <c r="H12" s="1">
        <f>G11-Table1[[#This Row],[Radius]]</f>
        <v>5</v>
      </c>
      <c r="I12" s="1">
        <f>Table1[[#This Row],[Radius]]*2</f>
        <v>50</v>
      </c>
      <c r="J12" s="1">
        <f>I11-Table1[[#This Row],[Diameter]]</f>
        <v>10</v>
      </c>
    </row>
    <row r="13" spans="2:10" x14ac:dyDescent="0.25">
      <c r="B13" t="s">
        <v>54</v>
      </c>
      <c r="C13">
        <v>178</v>
      </c>
      <c r="D13">
        <v>75</v>
      </c>
      <c r="E13">
        <v>178</v>
      </c>
      <c r="F13">
        <v>90</v>
      </c>
      <c r="G13" s="1">
        <f>SQRT(POWER(Table1[[#This Row],[PointOnCurveX]]-Table1[[#This Row],[CenterX]],2) + POWER(Table1[[#This Row],[PointOnCurveY]]-Table1[[#This Row],[CenterY]],2))</f>
        <v>15</v>
      </c>
      <c r="H13" s="1">
        <f>G12-Table1[[#This Row],[Radius]]</f>
        <v>10</v>
      </c>
      <c r="I13" s="1">
        <f>Table1[[#This Row],[Radius]]*2</f>
        <v>30</v>
      </c>
      <c r="J13" s="1">
        <f>I12-Table1[[#This Row],[Diameter]]</f>
        <v>20</v>
      </c>
    </row>
    <row r="14" spans="2:10" x14ac:dyDescent="0.25">
      <c r="B14" t="s">
        <v>55</v>
      </c>
      <c r="C14">
        <v>178</v>
      </c>
      <c r="D14">
        <v>75</v>
      </c>
      <c r="E14">
        <v>178</v>
      </c>
      <c r="F14">
        <v>85</v>
      </c>
      <c r="G14" s="1">
        <f>SQRT(POWER(Table1[[#This Row],[PointOnCurveX]]-Table1[[#This Row],[CenterX]],2) + POWER(Table1[[#This Row],[PointOnCurveY]]-Table1[[#This Row],[CenterY]],2))</f>
        <v>10</v>
      </c>
      <c r="H14" s="1">
        <f>G13-Table1[[#This Row],[Radius]]</f>
        <v>5</v>
      </c>
      <c r="I14" s="1">
        <f>Table1[[#This Row],[Radius]]*2</f>
        <v>20</v>
      </c>
      <c r="J14" s="1">
        <f>I13-Table1[[#This Row],[Diameter]]</f>
        <v>10</v>
      </c>
    </row>
    <row r="15" spans="2:10" x14ac:dyDescent="0.25">
      <c r="B15" t="s">
        <v>56</v>
      </c>
      <c r="C15">
        <v>178</v>
      </c>
      <c r="D15">
        <v>75</v>
      </c>
      <c r="E15">
        <v>178</v>
      </c>
      <c r="F15">
        <v>75</v>
      </c>
      <c r="G15" s="1">
        <f>SQRT(POWER(Table1[[#This Row],[PointOnCurveX]]-Table1[[#This Row],[CenterX]],2) + POWER(Table1[[#This Row],[PointOnCurveY]]-Table1[[#This Row],[CenterY]],2))</f>
        <v>0</v>
      </c>
      <c r="H15" s="1">
        <f>G14-Table1[[#This Row],[Radius]]</f>
        <v>10</v>
      </c>
      <c r="I15" s="1">
        <f>Table1[[#This Row],[Radius]]*2</f>
        <v>0</v>
      </c>
      <c r="J15" s="1">
        <f>I14-Table1[[#This Row],[Diameter]]</f>
        <v>20</v>
      </c>
    </row>
    <row r="16" spans="2:10" x14ac:dyDescent="0.25">
      <c r="G16" s="1">
        <f>SQRT(POWER(Table1[[#This Row],[PointOnCurveX]]-Table1[[#This Row],[CenterX]],2) + POWER(Table1[[#This Row],[PointOnCurveY]]-Table1[[#This Row],[CenterY]],2))</f>
        <v>0</v>
      </c>
      <c r="H16" s="1">
        <f>G15-Table1[[#This Row],[Radius]]</f>
        <v>0</v>
      </c>
      <c r="I16" s="1">
        <f>Table1[[#This Row],[Radius]]*2</f>
        <v>0</v>
      </c>
      <c r="J16" s="1">
        <f>I15-Table1[[#This Row],[Diameter]]</f>
        <v>0</v>
      </c>
    </row>
    <row r="17" spans="2:10" x14ac:dyDescent="0.25">
      <c r="B17" t="s">
        <v>77</v>
      </c>
      <c r="C17">
        <v>178</v>
      </c>
      <c r="D17">
        <v>75</v>
      </c>
      <c r="E17">
        <v>178</v>
      </c>
      <c r="F17">
        <v>100</v>
      </c>
      <c r="G17" s="1">
        <f>SQRT(POWER(Table1[[#This Row],[PointOnCurveX]]-Table1[[#This Row],[CenterX]],2) + POWER(Table1[[#This Row],[PointOnCurveY]]-Table1[[#This Row],[CenterY]],2))</f>
        <v>25</v>
      </c>
      <c r="H17" s="1">
        <f>G16-Table1[[#This Row],[Radius]]</f>
        <v>-25</v>
      </c>
      <c r="I17" s="1">
        <f>Table1[[#This Row],[Radius]]*2</f>
        <v>50</v>
      </c>
      <c r="J17" s="1">
        <f>I16-Table1[[#This Row],[Diameter]]</f>
        <v>-50</v>
      </c>
    </row>
    <row r="18" spans="2:10" x14ac:dyDescent="0.25">
      <c r="B18" t="s">
        <v>76</v>
      </c>
      <c r="C18">
        <v>178</v>
      </c>
      <c r="D18">
        <v>75</v>
      </c>
      <c r="E18">
        <v>178</v>
      </c>
      <c r="F18">
        <v>89.5</v>
      </c>
      <c r="G18" s="1">
        <f>SQRT(POWER(Table1[[#This Row],[PointOnCurveX]]-Table1[[#This Row],[CenterX]],2) + POWER(Table1[[#This Row],[PointOnCurveY]]-Table1[[#This Row],[CenterY]],2))</f>
        <v>14.5</v>
      </c>
      <c r="H18" s="1">
        <f>G16-Table1[[#This Row],[Radius]]</f>
        <v>-14.5</v>
      </c>
      <c r="I18" s="1">
        <f>Table1[[#This Row],[Radius]]*2</f>
        <v>29</v>
      </c>
      <c r="J18" s="1">
        <f>I16-Table1[[#This Row],[Diameter]]</f>
        <v>-29</v>
      </c>
    </row>
    <row r="19" spans="2:10" x14ac:dyDescent="0.25">
      <c r="G19" s="1">
        <f>SQRT(POWER(Table1[[#This Row],[PointOnCurveX]]-Table1[[#This Row],[CenterX]],2) + POWER(Table1[[#This Row],[PointOnCurveY]]-Table1[[#This Row],[CenterY]],2))</f>
        <v>0</v>
      </c>
      <c r="H19" s="1">
        <f>G18-Table1[[#This Row],[Radius]]</f>
        <v>14.5</v>
      </c>
      <c r="I19" s="1">
        <f>Table1[[#This Row],[Radius]]*2</f>
        <v>0</v>
      </c>
      <c r="J19" s="1">
        <f>I18-Table1[[#This Row],[Diameter]]</f>
        <v>29</v>
      </c>
    </row>
    <row r="20" spans="2:10" x14ac:dyDescent="0.25">
      <c r="B20" t="s">
        <v>85</v>
      </c>
      <c r="C20">
        <v>178</v>
      </c>
      <c r="D20">
        <v>75</v>
      </c>
      <c r="E20">
        <v>178</v>
      </c>
      <c r="F20">
        <v>43</v>
      </c>
      <c r="G20" s="1">
        <f>SQRT(POWER(Table1[[#This Row],[PointOnCurveX]]-Table1[[#This Row],[CenterX]],2) + POWER(Table1[[#This Row],[PointOnCurveY]]-Table1[[#This Row],[CenterY]],2))</f>
        <v>32</v>
      </c>
      <c r="H20" s="1">
        <f>G19-Table1[[#This Row],[Radius]]</f>
        <v>-32</v>
      </c>
      <c r="I20" s="1">
        <f>Table1[[#This Row],[Radius]]*2</f>
        <v>64</v>
      </c>
      <c r="J20" s="1">
        <f>I19-Table1[[#This Row],[Diameter]]</f>
        <v>-64</v>
      </c>
    </row>
    <row r="21" spans="2:10" x14ac:dyDescent="0.25">
      <c r="G21" s="1">
        <f>SQRT(POWER(Table1[[#This Row],[PointOnCurveX]]-Table1[[#This Row],[CenterX]],2) + POWER(Table1[[#This Row],[PointOnCurveY]]-Table1[[#This Row],[CenterY]],2))</f>
        <v>0</v>
      </c>
      <c r="H21" s="1">
        <f>G20-Table1[[#This Row],[Radius]]</f>
        <v>32</v>
      </c>
      <c r="I21" s="1">
        <f>Table1[[#This Row],[Radius]]*2</f>
        <v>0</v>
      </c>
      <c r="J21" s="1">
        <f>I20-Table1[[#This Row],[Diameter]]</f>
        <v>64</v>
      </c>
    </row>
    <row r="22" spans="2:10" x14ac:dyDescent="0.25">
      <c r="G22" s="1">
        <f>SQRT(POWER(Table1[[#This Row],[PointOnCurveX]]-Table1[[#This Row],[CenterX]],2) + POWER(Table1[[#This Row],[PointOnCurveY]]-Table1[[#This Row],[CenterY]],2))</f>
        <v>0</v>
      </c>
      <c r="H22" s="1">
        <f>G21-Table1[[#This Row],[Radius]]</f>
        <v>0</v>
      </c>
      <c r="I22" s="1">
        <f>Table1[[#This Row],[Radius]]*2</f>
        <v>0</v>
      </c>
      <c r="J22" s="1">
        <f>I21-Table1[[#This Row],[Diameter]]</f>
        <v>0</v>
      </c>
    </row>
    <row r="23" spans="2:10" x14ac:dyDescent="0.25">
      <c r="G23" s="1">
        <f>SQRT(POWER(Table1[[#This Row],[PointOnCurveX]]-Table1[[#This Row],[CenterX]],2) + POWER(Table1[[#This Row],[PointOnCurveY]]-Table1[[#This Row],[CenterY]],2))</f>
        <v>0</v>
      </c>
      <c r="H23" s="1">
        <f>G22-Table1[[#This Row],[Radius]]</f>
        <v>0</v>
      </c>
      <c r="I23" s="1">
        <f>Table1[[#This Row],[Radius]]*2</f>
        <v>0</v>
      </c>
      <c r="J23" s="1">
        <f>I22-Table1[[#This Row],[Diameter]]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10" sqref="B10"/>
    </sheetView>
  </sheetViews>
  <sheetFormatPr defaultRowHeight="15" x14ac:dyDescent="0.25"/>
  <cols>
    <col min="2" max="2" width="23.7109375" bestFit="1" customWidth="1"/>
    <col min="3" max="4" width="10.42578125" bestFit="1" customWidth="1"/>
    <col min="5" max="5" width="10.42578125" customWidth="1"/>
    <col min="6" max="7" width="17" bestFit="1" customWidth="1"/>
  </cols>
  <sheetData>
    <row r="3" spans="2:7" x14ac:dyDescent="0.25">
      <c r="B3" t="s">
        <v>9</v>
      </c>
      <c r="C3" t="s">
        <v>0</v>
      </c>
      <c r="D3" t="s">
        <v>1</v>
      </c>
      <c r="E3" t="s">
        <v>4</v>
      </c>
      <c r="F3" t="s">
        <v>2</v>
      </c>
      <c r="G3" t="s">
        <v>3</v>
      </c>
    </row>
    <row r="4" spans="2:7" x14ac:dyDescent="0.25">
      <c r="B4" t="s">
        <v>47</v>
      </c>
      <c r="C4">
        <v>178</v>
      </c>
      <c r="D4">
        <v>75</v>
      </c>
      <c r="E4">
        <v>40</v>
      </c>
      <c r="F4">
        <f>Table14[[#This Row],[CenterX]]</f>
        <v>178</v>
      </c>
      <c r="G4">
        <f>Table14[[#This Row],[CenterY]]+Table14[[#This Row],[Radius]]</f>
        <v>115</v>
      </c>
    </row>
    <row r="5" spans="2:7" x14ac:dyDescent="0.25">
      <c r="B5" t="s">
        <v>74</v>
      </c>
      <c r="C5">
        <v>178</v>
      </c>
      <c r="D5">
        <v>75</v>
      </c>
      <c r="E5">
        <v>20</v>
      </c>
      <c r="F5">
        <f>Table14[[#This Row],[CenterX]]</f>
        <v>178</v>
      </c>
      <c r="G5">
        <f>Table14[[#This Row],[CenterY]]+Table14[[#This Row],[Radius]]</f>
        <v>95</v>
      </c>
    </row>
    <row r="6" spans="2:7" x14ac:dyDescent="0.25">
      <c r="B6" t="s">
        <v>75</v>
      </c>
      <c r="C6">
        <v>178</v>
      </c>
      <c r="D6">
        <v>75</v>
      </c>
      <c r="E6">
        <v>15</v>
      </c>
      <c r="F6">
        <f>Table14[[#This Row],[CenterX]]</f>
        <v>178</v>
      </c>
      <c r="G6">
        <f>Table14[[#This Row],[CenterY]]+Table14[[#This Row],[Radius]]</f>
        <v>90</v>
      </c>
    </row>
    <row r="7" spans="2:7" x14ac:dyDescent="0.25">
      <c r="F7">
        <f>Table14[[#This Row],[CenterX]]</f>
        <v>0</v>
      </c>
      <c r="G7">
        <f>Table14[[#This Row],[CenterY]]+Table14[[#This Row],[Radius]]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workbookViewId="0">
      <selection activeCell="J25" sqref="J25"/>
    </sheetView>
  </sheetViews>
  <sheetFormatPr defaultRowHeight="15" x14ac:dyDescent="0.25"/>
  <cols>
    <col min="1" max="1" width="3.140625" customWidth="1"/>
    <col min="4" max="4" width="10.140625" bestFit="1" customWidth="1"/>
    <col min="7" max="7" width="12.140625" bestFit="1" customWidth="1"/>
    <col min="8" max="8" width="12" bestFit="1" customWidth="1"/>
    <col min="11" max="11" width="10" bestFit="1" customWidth="1"/>
    <col min="12" max="12" width="3.7109375" customWidth="1"/>
    <col min="13" max="13" width="17.42578125" bestFit="1" customWidth="1"/>
    <col min="14" max="14" width="11" customWidth="1"/>
    <col min="15" max="15" width="5.5703125" bestFit="1" customWidth="1"/>
    <col min="16" max="16" width="6.28515625" bestFit="1" customWidth="1"/>
    <col min="17" max="17" width="8.42578125" bestFit="1" customWidth="1"/>
    <col min="18" max="18" width="6.5703125" bestFit="1" customWidth="1"/>
  </cols>
  <sheetData>
    <row r="2" spans="2:18" x14ac:dyDescent="0.2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7" t="s">
        <v>62</v>
      </c>
      <c r="H2" s="7" t="s">
        <v>63</v>
      </c>
      <c r="I2" s="7" t="s">
        <v>65</v>
      </c>
      <c r="J2" s="7" t="s">
        <v>66</v>
      </c>
      <c r="K2" s="17" t="s">
        <v>64</v>
      </c>
      <c r="M2" s="18" t="s">
        <v>67</v>
      </c>
      <c r="N2" s="19"/>
    </row>
    <row r="3" spans="2:18" x14ac:dyDescent="0.25">
      <c r="B3">
        <v>1</v>
      </c>
      <c r="C3">
        <f>360/LEDCount * (Table13[[#This Row],[LED '#]]-1)</f>
        <v>0</v>
      </c>
      <c r="D3">
        <f>Table13[[#This Row],[Angle]]*RadiansInDegree</f>
        <v>0</v>
      </c>
      <c r="E3" s="2">
        <f>Radius*COS(Table13[[#This Row],[Radians]])</f>
        <v>17.5</v>
      </c>
      <c r="F3" s="2">
        <f>Radius*SIN(Table13[[#This Row],[Radians]])</f>
        <v>0</v>
      </c>
      <c r="G3" s="6" t="s">
        <v>17</v>
      </c>
      <c r="H3" s="5">
        <f>Table13[[#This Row],[Angle]]*10</f>
        <v>0</v>
      </c>
      <c r="I3" s="4">
        <f>Xo-Table13[[#This Row],[y]]</f>
        <v>178</v>
      </c>
      <c r="J3" s="4">
        <f>Yo-Table13[[#This Row],[x]]</f>
        <v>57.5</v>
      </c>
      <c r="K3" s="4">
        <f>SQRT(POWER((Table13[[#This Row],[LED X]]-I4),2) + POWER((Table13[[#This Row],[LED Y]]-J4),2)) - LEDSize</f>
        <v>2.2769122515933375</v>
      </c>
      <c r="M3" s="8" t="s">
        <v>68</v>
      </c>
      <c r="N3" s="9" t="s">
        <v>69</v>
      </c>
    </row>
    <row r="4" spans="2:18" x14ac:dyDescent="0.25">
      <c r="B4">
        <v>2</v>
      </c>
      <c r="C4">
        <f>360/LEDCount * (Table13[[#This Row],[LED '#]]-1)</f>
        <v>24</v>
      </c>
      <c r="D4">
        <f>Table13[[#This Row],[Angle]]*RadiansInDegree</f>
        <v>0.41887920000000001</v>
      </c>
      <c r="E4" s="2">
        <f>Radius*COS(Table13[[#This Row],[Radians]])</f>
        <v>15.987044230931733</v>
      </c>
      <c r="F4" s="2">
        <f>Radius*SIN(Table13[[#This Row],[Radians]])</f>
        <v>7.1178941238425555</v>
      </c>
      <c r="G4" s="6" t="s">
        <v>33</v>
      </c>
      <c r="H4" s="5">
        <f>Table13[[#This Row],[Angle]]*10</f>
        <v>240</v>
      </c>
      <c r="I4" s="4">
        <f>Xo-Table13[[#This Row],[y]]</f>
        <v>170.88210587615745</v>
      </c>
      <c r="J4" s="4">
        <f>Yo-Table13[[#This Row],[x]]</f>
        <v>59.01295576906827</v>
      </c>
      <c r="K4" s="4">
        <f>SQRT(POWER((Table13[[#This Row],[LED X]]-I5),2) + POWER((Table13[[#This Row],[LED Y]]-J5),2)) - LEDSize</f>
        <v>2.2769122515933455</v>
      </c>
      <c r="M4" s="10" t="s">
        <v>10</v>
      </c>
      <c r="N4" s="11">
        <v>1.7453300000000001E-2</v>
      </c>
      <c r="Q4" s="2"/>
      <c r="R4" s="2"/>
    </row>
    <row r="5" spans="2:18" x14ac:dyDescent="0.25">
      <c r="B5">
        <v>3</v>
      </c>
      <c r="C5">
        <f>360/LEDCount * (Table13[[#This Row],[LED '#]]-1)</f>
        <v>48</v>
      </c>
      <c r="D5">
        <f>Table13[[#This Row],[Angle]]*RadiansInDegree</f>
        <v>0.83775840000000001</v>
      </c>
      <c r="E5" s="2">
        <f>Radius*COS(Table13[[#This Row],[Radians]])</f>
        <v>11.709780941916298</v>
      </c>
      <c r="F5" s="2">
        <f>Radius*SIN(Table13[[#This Row],[Radians]])</f>
        <v>13.005038650166858</v>
      </c>
      <c r="G5" s="6" t="s">
        <v>34</v>
      </c>
      <c r="H5" s="5">
        <f>Table13[[#This Row],[Angle]]*10</f>
        <v>480</v>
      </c>
      <c r="I5" s="4">
        <f>Xo-Table13[[#This Row],[y]]</f>
        <v>164.99496134983315</v>
      </c>
      <c r="J5" s="4">
        <f>Yo-Table13[[#This Row],[x]]</f>
        <v>63.2902190580837</v>
      </c>
      <c r="K5" s="4">
        <f>SQRT(POWER((Table13[[#This Row],[LED X]]-I6),2) + POWER((Table13[[#This Row],[LED Y]]-J6),2)) - LEDSize</f>
        <v>2.2769122515933571</v>
      </c>
      <c r="M5" s="12" t="s">
        <v>58</v>
      </c>
      <c r="N5" s="13">
        <v>20</v>
      </c>
    </row>
    <row r="6" spans="2:18" x14ac:dyDescent="0.25">
      <c r="B6">
        <v>4</v>
      </c>
      <c r="C6">
        <f>360/LEDCount * (Table13[[#This Row],[LED '#]]-1)</f>
        <v>72</v>
      </c>
      <c r="D6">
        <f>Table13[[#This Row],[Angle]]*RadiansInDegree</f>
        <v>1.2566376000000001</v>
      </c>
      <c r="E6" s="2">
        <f>Radius*COS(Table13[[#This Row],[Radians]])</f>
        <v>5.4077884379753884</v>
      </c>
      <c r="F6" s="2">
        <f>Radius*SIN(Table13[[#This Row],[Radians]])</f>
        <v>16.643491947608222</v>
      </c>
      <c r="G6" s="6" t="s">
        <v>35</v>
      </c>
      <c r="H6" s="5">
        <f>Table13[[#This Row],[Angle]]*10</f>
        <v>720</v>
      </c>
      <c r="I6" s="4">
        <f>Xo-Table13[[#This Row],[y]]</f>
        <v>161.35650805239177</v>
      </c>
      <c r="J6" s="4">
        <f>Yo-Table13[[#This Row],[x]]</f>
        <v>69.592211562024616</v>
      </c>
      <c r="K6" s="4">
        <f>SQRT(POWER((Table13[[#This Row],[LED X]]-I7),2) + POWER((Table13[[#This Row],[LED Y]]-J7),2)) - LEDSize</f>
        <v>2.276912251593342</v>
      </c>
      <c r="M6" s="12" t="s">
        <v>59</v>
      </c>
      <c r="N6" s="13">
        <f>RingRadius-LEDSize/2</f>
        <v>17.5</v>
      </c>
    </row>
    <row r="7" spans="2:18" x14ac:dyDescent="0.25">
      <c r="B7">
        <v>5</v>
      </c>
      <c r="C7">
        <f>360/LEDCount * (Table13[[#This Row],[LED '#]]-1)</f>
        <v>96</v>
      </c>
      <c r="D7">
        <f>Table13[[#This Row],[Angle]]*RadiansInDegree</f>
        <v>1.6755168</v>
      </c>
      <c r="E7" s="2">
        <f>Radius*COS(Table13[[#This Row],[Radians]])</f>
        <v>-1.8292606048381519</v>
      </c>
      <c r="F7" s="2">
        <f>Radius*SIN(Table13[[#This Row],[Radians]])</f>
        <v>17.404131855383859</v>
      </c>
      <c r="G7" s="6" t="s">
        <v>36</v>
      </c>
      <c r="H7" s="5">
        <f>Table13[[#This Row],[Angle]]*10</f>
        <v>960</v>
      </c>
      <c r="I7" s="2">
        <f>Xo-Table13[[#This Row],[y]]</f>
        <v>160.59586814461613</v>
      </c>
      <c r="J7" s="2">
        <f>Yo-Table13[[#This Row],[x]]</f>
        <v>76.829260604838154</v>
      </c>
      <c r="K7" s="2">
        <f>SQRT(POWER((Table13[[#This Row],[LED X]]-I8),2) + POWER((Table13[[#This Row],[LED Y]]-J8),2)) - LEDSize</f>
        <v>2.2769122515933402</v>
      </c>
      <c r="M7" s="12" t="s">
        <v>11</v>
      </c>
      <c r="N7" s="13">
        <v>15</v>
      </c>
    </row>
    <row r="8" spans="2:18" x14ac:dyDescent="0.25">
      <c r="B8">
        <v>6</v>
      </c>
      <c r="C8">
        <f>360/LEDCount * (Table13[[#This Row],[LED '#]]-1)</f>
        <v>120</v>
      </c>
      <c r="D8">
        <f>Table13[[#This Row],[Angle]]*RadiansInDegree</f>
        <v>2.0943960000000001</v>
      </c>
      <c r="E8" s="2">
        <f>Radius*COS(Table13[[#This Row],[Radians]])</f>
        <v>-8.7500136036266447</v>
      </c>
      <c r="F8" s="2">
        <f>Radius*SIN(Table13[[#This Row],[Radians]])</f>
        <v>15.155436712162031</v>
      </c>
      <c r="G8" s="6" t="s">
        <v>37</v>
      </c>
      <c r="H8" s="5">
        <f>Table13[[#This Row],[Angle]]*10</f>
        <v>1200</v>
      </c>
      <c r="I8" s="2">
        <f>Xo-Table13[[#This Row],[y]]</f>
        <v>162.84456328783796</v>
      </c>
      <c r="J8" s="2">
        <f>Yo-Table13[[#This Row],[x]]</f>
        <v>83.750013603626641</v>
      </c>
      <c r="K8" s="2">
        <f>SQRT(POWER((Table13[[#This Row],[LED X]]-I9),2) + POWER((Table13[[#This Row],[LED Y]]-J9),2)) - LEDSize</f>
        <v>2.2769122515933535</v>
      </c>
      <c r="M8" s="12" t="s">
        <v>57</v>
      </c>
      <c r="N8" s="13">
        <v>5</v>
      </c>
    </row>
    <row r="9" spans="2:18" x14ac:dyDescent="0.25">
      <c r="B9">
        <v>7</v>
      </c>
      <c r="C9">
        <f>360/LEDCount * (Table13[[#This Row],[LED '#]]-1)</f>
        <v>144</v>
      </c>
      <c r="D9">
        <f>Table13[[#This Row],[Angle]]*RadiansInDegree</f>
        <v>2.5132752000000003</v>
      </c>
      <c r="E9" s="2">
        <f>Radius*COS(Table13[[#This Row],[Radians]])</f>
        <v>-14.157808481154253</v>
      </c>
      <c r="F9" s="2">
        <f>Radius*SIN(Table13[[#This Row],[Radians]])</f>
        <v>10.286226665349968</v>
      </c>
      <c r="G9" s="6" t="s">
        <v>38</v>
      </c>
      <c r="H9" s="5">
        <f>Table13[[#This Row],[Angle]]*10</f>
        <v>1440</v>
      </c>
      <c r="I9" s="2">
        <f>Xo-Table13[[#This Row],[y]]</f>
        <v>167.71377333465003</v>
      </c>
      <c r="J9" s="2">
        <f>Yo-Table13[[#This Row],[x]]</f>
        <v>89.157808481154248</v>
      </c>
      <c r="K9" s="2">
        <f>SQRT(POWER((Table13[[#This Row],[LED X]]-I10),2) + POWER((Table13[[#This Row],[LED Y]]-J10),2)) - LEDSize</f>
        <v>2.2769122515933473</v>
      </c>
      <c r="M9" s="12" t="s">
        <v>60</v>
      </c>
      <c r="N9" s="14">
        <v>178</v>
      </c>
    </row>
    <row r="10" spans="2:18" x14ac:dyDescent="0.25">
      <c r="B10">
        <v>8</v>
      </c>
      <c r="C10">
        <f>360/LEDCount * (Table13[[#This Row],[LED '#]]-1)</f>
        <v>168</v>
      </c>
      <c r="D10">
        <f>Table13[[#This Row],[Angle]]*RadiansInDegree</f>
        <v>2.9321544000000004</v>
      </c>
      <c r="E10" s="2">
        <f>Radius*COS(Table13[[#This Row],[Radians]])</f>
        <v>-17.11758758509032</v>
      </c>
      <c r="F10" s="2">
        <f>Radius*SIN(Table13[[#This Row],[Radians]])</f>
        <v>3.638433078505324</v>
      </c>
      <c r="G10" s="6" t="s">
        <v>39</v>
      </c>
      <c r="H10" s="5">
        <f>Table13[[#This Row],[Angle]]*10</f>
        <v>1680</v>
      </c>
      <c r="I10" s="2">
        <f>Xo-Table13[[#This Row],[y]]</f>
        <v>174.36156692149467</v>
      </c>
      <c r="J10" s="2">
        <f>Yo-Table13[[#This Row],[x]]</f>
        <v>92.11758758509032</v>
      </c>
      <c r="K10" s="2">
        <f>SQRT(POWER((Table13[[#This Row],[LED X]]-I11),2) + POWER((Table13[[#This Row],[LED Y]]-J11),2)) - LEDSize</f>
        <v>2.2769122515933322</v>
      </c>
      <c r="M10" s="15" t="s">
        <v>61</v>
      </c>
      <c r="N10" s="16">
        <v>75</v>
      </c>
    </row>
    <row r="11" spans="2:18" x14ac:dyDescent="0.25">
      <c r="B11">
        <v>9</v>
      </c>
      <c r="C11">
        <f>360/LEDCount * (Table13[[#This Row],[LED '#]]-1)</f>
        <v>192</v>
      </c>
      <c r="D11">
        <f>Table13[[#This Row],[Angle]]*RadiansInDegree</f>
        <v>3.3510336000000001</v>
      </c>
      <c r="E11" s="2">
        <f>Radius*COS(Table13[[#This Row],[Radians]])</f>
        <v>-17.117577787381389</v>
      </c>
      <c r="F11" s="2">
        <f>Radius*SIN(Table13[[#This Row],[Radians]])</f>
        <v>-3.6384791730814197</v>
      </c>
      <c r="G11" s="6" t="s">
        <v>40</v>
      </c>
      <c r="H11" s="5">
        <f>Table13[[#This Row],[Angle]]*10</f>
        <v>1920</v>
      </c>
      <c r="I11" s="2">
        <f>Xo-Table13[[#This Row],[y]]</f>
        <v>181.63847917308141</v>
      </c>
      <c r="J11" s="2">
        <f>Yo-Table13[[#This Row],[x]]</f>
        <v>92.117577787381393</v>
      </c>
      <c r="K11" s="2">
        <f>SQRT(POWER((Table13[[#This Row],[LED X]]-I12),2) + POWER((Table13[[#This Row],[LED Y]]-J12),2)) - LEDSize</f>
        <v>2.2769122515933651</v>
      </c>
    </row>
    <row r="12" spans="2:18" x14ac:dyDescent="0.25">
      <c r="B12">
        <v>10</v>
      </c>
      <c r="C12">
        <f>360/LEDCount * (Table13[[#This Row],[LED '#]]-1)</f>
        <v>216</v>
      </c>
      <c r="D12">
        <f>Table13[[#This Row],[Angle]]*RadiansInDegree</f>
        <v>3.7699128000000002</v>
      </c>
      <c r="E12" s="2">
        <f>Radius*COS(Table13[[#This Row],[Radians]])</f>
        <v>-14.157780782141774</v>
      </c>
      <c r="F12" s="2">
        <f>Radius*SIN(Table13[[#This Row],[Radians]])</f>
        <v>-10.286264789748367</v>
      </c>
      <c r="G12" s="6" t="s">
        <v>41</v>
      </c>
      <c r="H12" s="5">
        <f>Table13[[#This Row],[Angle]]*10</f>
        <v>2160</v>
      </c>
      <c r="I12" s="2">
        <f>Xo-Table13[[#This Row],[y]]</f>
        <v>188.28626478974837</v>
      </c>
      <c r="J12" s="2">
        <f>Yo-Table13[[#This Row],[x]]</f>
        <v>89.157780782141771</v>
      </c>
      <c r="K12" s="2">
        <f>SQRT(POWER((Table13[[#This Row],[LED X]]-I13),2) + POWER((Table13[[#This Row],[LED Y]]-J13),2)) - LEDSize</f>
        <v>2.2769122515933438</v>
      </c>
    </row>
    <row r="13" spans="2:18" x14ac:dyDescent="0.25">
      <c r="B13">
        <v>11</v>
      </c>
      <c r="C13">
        <f>360/LEDCount * (Table13[[#This Row],[LED '#]]-1)</f>
        <v>240</v>
      </c>
      <c r="D13">
        <f>Table13[[#This Row],[Angle]]*RadiansInDegree</f>
        <v>4.1887920000000003</v>
      </c>
      <c r="E13" s="2">
        <f>Radius*COS(Table13[[#This Row],[Radians]])</f>
        <v>-8.7499727927255595</v>
      </c>
      <c r="F13" s="2">
        <f>Radius*SIN(Table13[[#This Row],[Radians]])</f>
        <v>-15.155460274322337</v>
      </c>
      <c r="G13" s="6" t="s">
        <v>42</v>
      </c>
      <c r="H13" s="5">
        <f>Table13[[#This Row],[Angle]]*10</f>
        <v>2400</v>
      </c>
      <c r="I13" s="2">
        <f>Xo-Table13[[#This Row],[y]]</f>
        <v>193.15546027432234</v>
      </c>
      <c r="J13" s="2">
        <f>Yo-Table13[[#This Row],[x]]</f>
        <v>83.749972792725558</v>
      </c>
      <c r="K13" s="2">
        <f>SQRT(POWER((Table13[[#This Row],[LED X]]-I14),2) + POWER((Table13[[#This Row],[LED Y]]-J14),2)) - LEDSize</f>
        <v>2.2769122515933429</v>
      </c>
    </row>
    <row r="14" spans="2:18" x14ac:dyDescent="0.25">
      <c r="B14">
        <v>12</v>
      </c>
      <c r="C14">
        <f>360/LEDCount * (Table13[[#This Row],[LED '#]]-1)</f>
        <v>264</v>
      </c>
      <c r="D14">
        <f>Table13[[#This Row],[Angle]]*RadiansInDegree</f>
        <v>4.6076712000000004</v>
      </c>
      <c r="E14" s="2">
        <f>Radius*COS(Table13[[#This Row],[Radians]])</f>
        <v>-1.8292137386299723</v>
      </c>
      <c r="F14" s="2">
        <f>Radius*SIN(Table13[[#This Row],[Radians]])</f>
        <v>-17.404136781191056</v>
      </c>
      <c r="G14" s="6" t="s">
        <v>43</v>
      </c>
      <c r="H14" s="5">
        <f>Table13[[#This Row],[Angle]]*10</f>
        <v>2640</v>
      </c>
      <c r="I14" s="2">
        <f>Xo-Table13[[#This Row],[y]]</f>
        <v>195.40413678119106</v>
      </c>
      <c r="J14" s="2">
        <f>Yo-Table13[[#This Row],[x]]</f>
        <v>76.829213738629974</v>
      </c>
      <c r="K14" s="2">
        <f>SQRT(POWER((Table13[[#This Row],[LED X]]-I15),2) + POWER((Table13[[#This Row],[LED Y]]-J15),2)) - LEDSize</f>
        <v>2.2769122515933544</v>
      </c>
    </row>
    <row r="15" spans="2:18" x14ac:dyDescent="0.25">
      <c r="B15">
        <v>13</v>
      </c>
      <c r="C15">
        <f>360/LEDCount * (Table13[[#This Row],[LED '#]]-1)</f>
        <v>288</v>
      </c>
      <c r="D15">
        <f>Table13[[#This Row],[Angle]]*RadiansInDegree</f>
        <v>5.0265504000000005</v>
      </c>
      <c r="E15" s="2">
        <f>Radius*COS(Table13[[#This Row],[Radians]])</f>
        <v>5.4078332558906608</v>
      </c>
      <c r="F15" s="2">
        <f>Radius*SIN(Table13[[#This Row],[Radians]])</f>
        <v>-16.643477385344777</v>
      </c>
      <c r="G15" s="6" t="s">
        <v>44</v>
      </c>
      <c r="H15" s="5">
        <f>Table13[[#This Row],[Angle]]*10</f>
        <v>2880</v>
      </c>
      <c r="I15" s="2">
        <f>Xo-Table13[[#This Row],[y]]</f>
        <v>194.64347738534477</v>
      </c>
      <c r="J15" s="2">
        <f>Yo-Table13[[#This Row],[x]]</f>
        <v>69.592166744109335</v>
      </c>
      <c r="K15" s="2">
        <f>SQRT(POWER((Table13[[#This Row],[LED X]]-I16),2) + POWER((Table13[[#This Row],[LED Y]]-J16),2)) - LEDSize</f>
        <v>2.2769122515933304</v>
      </c>
    </row>
    <row r="16" spans="2:18" x14ac:dyDescent="0.25">
      <c r="B16">
        <v>14</v>
      </c>
      <c r="C16">
        <f>360/LEDCount * (Table13[[#This Row],[LED '#]]-1)</f>
        <v>312</v>
      </c>
      <c r="D16">
        <f>Table13[[#This Row],[Angle]]*RadiansInDegree</f>
        <v>5.4454296000000006</v>
      </c>
      <c r="E16" s="2">
        <f>Radius*COS(Table13[[#This Row],[Radians]])</f>
        <v>11.709815962107408</v>
      </c>
      <c r="F16" s="2">
        <f>Radius*SIN(Table13[[#This Row],[Radians]])</f>
        <v>-13.005007117782542</v>
      </c>
      <c r="G16" s="6" t="s">
        <v>45</v>
      </c>
      <c r="H16" s="5">
        <f>Table13[[#This Row],[Angle]]*10</f>
        <v>3120</v>
      </c>
      <c r="I16" s="2">
        <f>Xo-Table13[[#This Row],[y]]</f>
        <v>191.00500711778255</v>
      </c>
      <c r="J16" s="2">
        <f>Yo-Table13[[#This Row],[x]]</f>
        <v>63.290184037892594</v>
      </c>
      <c r="K16" s="2">
        <f>SQRT(POWER((Table13[[#This Row],[LED X]]-I17),2) + POWER((Table13[[#This Row],[LED Y]]-J17),2)) - LEDSize</f>
        <v>2.2769122515933686</v>
      </c>
    </row>
    <row r="17" spans="2:11" x14ac:dyDescent="0.25">
      <c r="B17">
        <v>15</v>
      </c>
      <c r="C17">
        <f>360/LEDCount * (Table13[[#This Row],[LED '#]]-1)</f>
        <v>336</v>
      </c>
      <c r="D17">
        <f>Table13[[#This Row],[Angle]]*RadiansInDegree</f>
        <v>5.8643088000000008</v>
      </c>
      <c r="E17" s="2">
        <f>Radius*COS(Table13[[#This Row],[Radians]])</f>
        <v>15.987063398084373</v>
      </c>
      <c r="F17" s="2">
        <f>Radius*SIN(Table13[[#This Row],[Radians]])</f>
        <v>-7.117851073577679</v>
      </c>
      <c r="G17" s="6" t="s">
        <v>46</v>
      </c>
      <c r="H17" s="5">
        <f>Table13[[#This Row],[Angle]]*10</f>
        <v>3360</v>
      </c>
      <c r="I17" s="2">
        <f>Xo-Table13[[#This Row],[y]]</f>
        <v>185.11785107357767</v>
      </c>
      <c r="J17" s="2">
        <f>Yo-Table13[[#This Row],[x]]</f>
        <v>59.012936601915627</v>
      </c>
      <c r="K17" s="2">
        <f>SQRT(POWER((Table13[[#This Row],[LED X]]-I18),2) + POWER((Table13[[#This Row],[LED Y]]-J18),2)) - LEDSize</f>
        <v>189.29654004248505</v>
      </c>
    </row>
    <row r="18" spans="2:11" x14ac:dyDescent="0.25">
      <c r="E18" s="2"/>
      <c r="F18" s="2"/>
      <c r="G18" s="6"/>
      <c r="H18" s="5"/>
      <c r="I18" s="2"/>
      <c r="J18" s="2"/>
      <c r="K18" s="2"/>
    </row>
    <row r="19" spans="2:11" x14ac:dyDescent="0.25">
      <c r="E19" s="2"/>
      <c r="F19" s="2"/>
      <c r="G19" s="6"/>
      <c r="H19" s="5"/>
      <c r="I19" s="2"/>
      <c r="J19" s="2"/>
      <c r="K19" s="2"/>
    </row>
    <row r="20" spans="2:11" x14ac:dyDescent="0.25">
      <c r="E20" s="2"/>
      <c r="F20" s="2"/>
      <c r="G20" s="6"/>
      <c r="H20" s="5"/>
      <c r="I20" s="2"/>
      <c r="J20" s="2"/>
      <c r="K20" s="2"/>
    </row>
    <row r="21" spans="2:11" x14ac:dyDescent="0.25">
      <c r="E21" s="2"/>
      <c r="F21" s="2"/>
      <c r="G21" s="6"/>
      <c r="H21" s="5"/>
      <c r="I21" s="2"/>
      <c r="J21" s="2"/>
      <c r="K21" s="2"/>
    </row>
    <row r="22" spans="2:11" x14ac:dyDescent="0.25">
      <c r="E22" s="2"/>
      <c r="F22" s="2"/>
      <c r="G22" s="6"/>
      <c r="H22" s="5"/>
      <c r="I22" s="2"/>
      <c r="J22" s="2"/>
      <c r="K22" s="2"/>
    </row>
    <row r="23" spans="2:11" x14ac:dyDescent="0.25">
      <c r="E23" s="2"/>
      <c r="F23" s="2"/>
      <c r="G23" s="6"/>
      <c r="H23" s="5"/>
      <c r="I23" s="2"/>
      <c r="J23" s="2"/>
      <c r="K23" s="2"/>
    </row>
    <row r="24" spans="2:11" x14ac:dyDescent="0.25">
      <c r="E24" s="2"/>
      <c r="F24" s="2"/>
      <c r="G24" s="6"/>
      <c r="H24" s="5"/>
      <c r="I24" s="2"/>
      <c r="J24" s="2"/>
      <c r="K24" s="2"/>
    </row>
    <row r="25" spans="2:11" x14ac:dyDescent="0.25">
      <c r="E25" s="2"/>
      <c r="F25" s="2"/>
      <c r="G25" s="6"/>
      <c r="H25" s="5"/>
      <c r="I25" s="2"/>
      <c r="J25" s="2"/>
      <c r="K25" s="2"/>
    </row>
    <row r="26" spans="2:11" x14ac:dyDescent="0.25">
      <c r="E26" s="2"/>
      <c r="F26" s="2"/>
      <c r="G26" s="6"/>
      <c r="H26" s="5"/>
      <c r="I26" s="2"/>
      <c r="J26" s="2"/>
      <c r="K26" s="2"/>
    </row>
    <row r="27" spans="2:11" x14ac:dyDescent="0.25">
      <c r="E27" s="2"/>
      <c r="F27" s="2"/>
      <c r="G27" s="6"/>
      <c r="H27" s="5"/>
      <c r="I27" s="2"/>
      <c r="J27" s="2"/>
      <c r="K27" s="2"/>
    </row>
    <row r="28" spans="2:11" x14ac:dyDescent="0.25">
      <c r="E28" s="2"/>
      <c r="F28" s="2"/>
      <c r="G28" s="6"/>
      <c r="H28" s="5"/>
      <c r="I28" s="2"/>
      <c r="J28" s="2"/>
      <c r="K28" s="2"/>
    </row>
    <row r="29" spans="2:11" x14ac:dyDescent="0.25">
      <c r="E29" s="2"/>
      <c r="F29" s="2"/>
      <c r="G29" s="6"/>
      <c r="H29" s="5"/>
      <c r="I29" s="2"/>
      <c r="J29" s="2"/>
      <c r="K29" s="2"/>
    </row>
    <row r="30" spans="2:11" x14ac:dyDescent="0.25">
      <c r="E30" s="2"/>
      <c r="F30" s="2"/>
      <c r="G30" s="6"/>
      <c r="H30" s="5"/>
      <c r="I30" s="2"/>
      <c r="J30" s="2"/>
      <c r="K30" s="2"/>
    </row>
    <row r="31" spans="2:11" x14ac:dyDescent="0.25">
      <c r="E31" s="2"/>
      <c r="F31" s="2"/>
      <c r="G31" s="6"/>
      <c r="H31" s="5"/>
      <c r="I31" s="2"/>
      <c r="J31" s="2"/>
      <c r="K31" s="2"/>
    </row>
    <row r="32" spans="2:11" x14ac:dyDescent="0.25">
      <c r="E32" s="2"/>
      <c r="F32" s="2"/>
      <c r="G32" s="6"/>
      <c r="H32" s="5"/>
      <c r="I32" s="2"/>
      <c r="J32" s="2"/>
      <c r="K32" s="2"/>
    </row>
  </sheetData>
  <mergeCells count="1">
    <mergeCell ref="M2:N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topLeftCell="E1" workbookViewId="0">
      <selection activeCell="N24" sqref="N24"/>
    </sheetView>
  </sheetViews>
  <sheetFormatPr defaultRowHeight="15" x14ac:dyDescent="0.25"/>
  <cols>
    <col min="1" max="1" width="3.140625" customWidth="1"/>
    <col min="4" max="4" width="10.140625" bestFit="1" customWidth="1"/>
    <col min="7" max="7" width="12.140625" bestFit="1" customWidth="1"/>
    <col min="8" max="8" width="12" bestFit="1" customWidth="1"/>
    <col min="11" max="11" width="10" bestFit="1" customWidth="1"/>
    <col min="12" max="12" width="46" bestFit="1" customWidth="1"/>
    <col min="13" max="13" width="3.7109375" customWidth="1"/>
    <col min="14" max="14" width="17.42578125" bestFit="1" customWidth="1"/>
    <col min="15" max="15" width="11" customWidth="1"/>
    <col min="16" max="16" width="5.5703125" bestFit="1" customWidth="1"/>
    <col min="17" max="17" width="5" bestFit="1" customWidth="1"/>
    <col min="18" max="18" width="4.140625" bestFit="1" customWidth="1"/>
    <col min="19" max="19" width="6.5703125" bestFit="1" customWidth="1"/>
    <col min="20" max="20" width="23.140625" customWidth="1"/>
  </cols>
  <sheetData>
    <row r="2" spans="2:20" x14ac:dyDescent="0.2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7" t="s">
        <v>62</v>
      </c>
      <c r="H2" s="7" t="s">
        <v>63</v>
      </c>
      <c r="I2" s="7" t="s">
        <v>65</v>
      </c>
      <c r="J2" s="7" t="s">
        <v>66</v>
      </c>
      <c r="K2" s="17" t="s">
        <v>64</v>
      </c>
      <c r="L2" s="17" t="s">
        <v>78</v>
      </c>
      <c r="N2" s="18" t="s">
        <v>67</v>
      </c>
      <c r="O2" s="19"/>
    </row>
    <row r="3" spans="2:20" x14ac:dyDescent="0.25">
      <c r="B3">
        <v>1</v>
      </c>
      <c r="C3">
        <f>360/LEDCount * (Table136810[[#This Row],[LED '#]]-1)</f>
        <v>0</v>
      </c>
      <c r="D3">
        <f>Table136810[[#This Row],[Angle]]*RadiansInDegree</f>
        <v>0</v>
      </c>
      <c r="E3" s="2">
        <f>Radius*COS(Table136810[[#This Row],[Radians]])</f>
        <v>35.5</v>
      </c>
      <c r="F3" s="2">
        <f>Radius*SIN(Table136810[[#This Row],[Radians]])</f>
        <v>0</v>
      </c>
      <c r="G3" s="6" t="s">
        <v>17</v>
      </c>
      <c r="H3" s="5">
        <f>(Table136810[[#This Row],[Angle]] + LEDRotation)*10</f>
        <v>900</v>
      </c>
      <c r="I3" s="4">
        <f>Xo-Table136810[[#This Row],[y]]</f>
        <v>178</v>
      </c>
      <c r="J3" s="4">
        <f>Yo-Table136810[[#This Row],[x]]</f>
        <v>39.5</v>
      </c>
      <c r="K3" s="4">
        <f>SQRT(POWER((Table136810[[#This Row],[LED X]]-I4),2) + POWER((Table136810[[#This Row],[LED Y]]-J4),2)) - LEDSize</f>
        <v>2.4215240610515307</v>
      </c>
      <c r="L3" s="4" t="str">
        <f>CONCATENATE("'",Table136810[LED Name],"':[",Table136810[LED Angle],", ",Table136810[LED X],", ",Table136810[LED Y],"], ")</f>
        <v xml:space="preserve">'L1':[900, 178, 39.5], </v>
      </c>
      <c r="N3" s="8" t="s">
        <v>68</v>
      </c>
      <c r="O3" s="9" t="s">
        <v>69</v>
      </c>
      <c r="Q3" t="s">
        <v>72</v>
      </c>
      <c r="R3" t="s">
        <v>73</v>
      </c>
      <c r="T3" t="str">
        <f>CONCATENATE("'",Table136810[[#This Row],[LED Name]],"':[",Table136810[[#This Row],[LED Angle]],", ",Table136810[[#This Row],[LED X]],", ",Table136810[[#This Row],[LED Y]],"], ")</f>
        <v xml:space="preserve">'L1':[900, 178, 39.5], </v>
      </c>
    </row>
    <row r="4" spans="2:20" x14ac:dyDescent="0.25">
      <c r="B4">
        <v>2</v>
      </c>
      <c r="C4">
        <f>360/LEDCount * (Table136810[[#This Row],[LED '#]]-1)</f>
        <v>12</v>
      </c>
      <c r="D4">
        <f>Table136810[[#This Row],[Angle]]*RadiansInDegree</f>
        <v>0.2094396</v>
      </c>
      <c r="E4" s="2">
        <f>Radius*COS(Table136810[[#This Row],[Radians]])</f>
        <v>34.724239163538492</v>
      </c>
      <c r="F4" s="2">
        <f>Radius*SIN(Table136810[[#This Row],[Radians]])</f>
        <v>7.3808681409018222</v>
      </c>
      <c r="G4" s="23" t="s">
        <v>18</v>
      </c>
      <c r="H4" s="5">
        <f>(Table136810[[#This Row],[Angle]] + LEDRotation)*10</f>
        <v>1020</v>
      </c>
      <c r="I4" s="4">
        <f>Xo-Table136810[[#This Row],[y]]</f>
        <v>170.61913185909819</v>
      </c>
      <c r="J4" s="4">
        <f>Yo-Table136810[[#This Row],[x]]</f>
        <v>40.275760836461508</v>
      </c>
      <c r="K4" s="4">
        <f>SQRT(POWER((Table136810[[#This Row],[LED X]]-I5),2) + POWER((Table136810[[#This Row],[LED Y]]-J5),2)) - LEDSize</f>
        <v>2.4215240610515529</v>
      </c>
      <c r="L4" s="4" t="str">
        <f>CONCATENATE("'",Table136810[LED Name],"':[",Table136810[LED Angle],", ",Table136810[LED X],", ",Table136810[LED Y],"], ")</f>
        <v xml:space="preserve">'L30':[1020, 170.619131859098, 40.2757608364615], </v>
      </c>
      <c r="N4" s="10" t="s">
        <v>10</v>
      </c>
      <c r="O4" s="11">
        <v>1.7453300000000001E-2</v>
      </c>
      <c r="R4" s="2"/>
      <c r="S4" s="2"/>
    </row>
    <row r="5" spans="2:20" x14ac:dyDescent="0.25">
      <c r="B5">
        <v>3</v>
      </c>
      <c r="C5">
        <f>360/LEDCount * (Table136810[[#This Row],[LED '#]]-1)</f>
        <v>24</v>
      </c>
      <c r="D5">
        <f>Table136810[[#This Row],[Angle]]*RadiansInDegree</f>
        <v>0.41887920000000001</v>
      </c>
      <c r="E5" s="2">
        <f>Radius*COS(Table136810[[#This Row],[Radians]])</f>
        <v>32.430861154175801</v>
      </c>
      <c r="F5" s="2">
        <f>Radius*SIN(Table136810[[#This Row],[Radians]])</f>
        <v>14.439156651223469</v>
      </c>
      <c r="G5" s="23" t="s">
        <v>19</v>
      </c>
      <c r="H5" s="5">
        <f>(Table136810[[#This Row],[Angle]] + LEDRotation)*10</f>
        <v>1140</v>
      </c>
      <c r="I5" s="4">
        <f>Xo-Table136810[[#This Row],[y]]</f>
        <v>163.56084334877653</v>
      </c>
      <c r="J5" s="4">
        <f>Yo-Table136810[[#This Row],[x]]</f>
        <v>42.569138845824199</v>
      </c>
      <c r="K5" s="4">
        <f>SQRT(POWER((Table136810[[#This Row],[LED X]]-I6),2) + POWER((Table136810[[#This Row],[LED Y]]-J6),2)) - LEDSize</f>
        <v>2.4215240610515361</v>
      </c>
      <c r="L5" s="4" t="str">
        <f>CONCATENATE("'",Table136810[LED Name],"':[",Table136810[LED Angle],", ",Table136810[LED X],", ",Table136810[LED Y],"], ")</f>
        <v xml:space="preserve">'L29':[1140, 163.560843348777, 42.5691388458242], </v>
      </c>
      <c r="N5" s="12" t="s">
        <v>58</v>
      </c>
      <c r="O5" s="13">
        <v>40</v>
      </c>
      <c r="Q5">
        <v>40</v>
      </c>
    </row>
    <row r="6" spans="2:20" x14ac:dyDescent="0.25">
      <c r="B6">
        <v>4</v>
      </c>
      <c r="C6">
        <f>360/LEDCount * (Table136810[[#This Row],[LED '#]]-1)</f>
        <v>36</v>
      </c>
      <c r="D6">
        <f>Table136810[[#This Row],[Angle]]*RadiansInDegree</f>
        <v>0.62831880000000007</v>
      </c>
      <c r="E6" s="2">
        <f>Radius*COS(Table136810[[#This Row],[Radians]])</f>
        <v>28.720097681369143</v>
      </c>
      <c r="F6" s="2">
        <f>Radius*SIN(Table136810[[#This Row],[Radians]])</f>
        <v>20.866384190190086</v>
      </c>
      <c r="G6" s="23" t="s">
        <v>20</v>
      </c>
      <c r="H6" s="5">
        <f>(Table136810[[#This Row],[Angle]] + LEDRotation)*10</f>
        <v>1260</v>
      </c>
      <c r="I6" s="4">
        <f>Xo-Table136810[[#This Row],[y]]</f>
        <v>157.13361580980992</v>
      </c>
      <c r="J6" s="4">
        <f>Yo-Table136810[[#This Row],[x]]</f>
        <v>46.27990231863086</v>
      </c>
      <c r="K6" s="4">
        <f>SQRT(POWER((Table136810[[#This Row],[LED X]]-I7),2) + POWER((Table136810[[#This Row],[LED Y]]-J7),2)) - LEDSize</f>
        <v>2.4215240610515538</v>
      </c>
      <c r="L6" s="4" t="str">
        <f>CONCATENATE("'",Table136810[LED Name],"':[",Table136810[LED Angle],", ",Table136810[LED X],", ",Table136810[LED Y],"], ")</f>
        <v xml:space="preserve">'L28':[1260, 157.13361580981, 46.2799023186309], </v>
      </c>
      <c r="N6" s="12" t="s">
        <v>59</v>
      </c>
      <c r="O6" s="13">
        <f>RingRadius-LEDSize/2 - LEDSizeBuffer</f>
        <v>35.5</v>
      </c>
    </row>
    <row r="7" spans="2:20" x14ac:dyDescent="0.25">
      <c r="B7">
        <v>5</v>
      </c>
      <c r="C7">
        <f>360/LEDCount * (Table136810[[#This Row],[LED '#]]-1)</f>
        <v>48</v>
      </c>
      <c r="D7">
        <f>Table136810[[#This Row],[Angle]]*RadiansInDegree</f>
        <v>0.83775840000000001</v>
      </c>
      <c r="E7" s="2">
        <f>Radius*COS(Table136810[[#This Row],[Radians]])</f>
        <v>23.754127053601636</v>
      </c>
      <c r="F7" s="2">
        <f>Radius*SIN(Table136810[[#This Row],[Radians]])</f>
        <v>26.381649833195624</v>
      </c>
      <c r="G7" s="23" t="s">
        <v>21</v>
      </c>
      <c r="H7" s="5">
        <f>(Table136810[[#This Row],[Angle]] + LEDRotation)*10</f>
        <v>1380</v>
      </c>
      <c r="I7" s="2">
        <f>Xo-Table136810[[#This Row],[y]]</f>
        <v>151.61835016680436</v>
      </c>
      <c r="J7" s="2">
        <f>Yo-Table136810[[#This Row],[x]]</f>
        <v>51.245872946398364</v>
      </c>
      <c r="K7" s="2">
        <f>SQRT(POWER((Table136810[[#This Row],[LED X]]-I8),2) + POWER((Table136810[[#This Row],[LED Y]]-J8),2)) - LEDSize</f>
        <v>2.4215240610515281</v>
      </c>
      <c r="L7" s="2" t="str">
        <f>CONCATENATE("'",Table136810[LED Name],"':[",Table136810[LED Angle],", ",Table136810[LED X],", ",Table136810[LED Y],"], ")</f>
        <v xml:space="preserve">'L27':[1380, 151.618350166804, 51.2458729463984], </v>
      </c>
      <c r="N7" s="12" t="s">
        <v>11</v>
      </c>
      <c r="O7" s="13">
        <v>30</v>
      </c>
    </row>
    <row r="8" spans="2:20" x14ac:dyDescent="0.25">
      <c r="B8">
        <v>6</v>
      </c>
      <c r="C8">
        <f>360/LEDCount * (Table136810[[#This Row],[LED '#]]-1)</f>
        <v>60</v>
      </c>
      <c r="D8">
        <f>Table136810[[#This Row],[Angle]]*RadiansInDegree</f>
        <v>1.0471980000000001</v>
      </c>
      <c r="E8" s="2">
        <f>Radius*COS(Table136810[[#This Row],[Radians]])</f>
        <v>17.749986202030467</v>
      </c>
      <c r="F8" s="2">
        <f>Radius*SIN(Table136810[[#This Row],[Radians]])</f>
        <v>30.743909800604865</v>
      </c>
      <c r="G8" s="23" t="s">
        <v>22</v>
      </c>
      <c r="H8" s="5">
        <f>(Table136810[[#This Row],[Angle]] + LEDRotation)*10</f>
        <v>1500</v>
      </c>
      <c r="I8" s="2">
        <f>Xo-Table136810[[#This Row],[y]]</f>
        <v>147.25609019939515</v>
      </c>
      <c r="J8" s="2">
        <f>Yo-Table136810[[#This Row],[x]]</f>
        <v>57.25001379796953</v>
      </c>
      <c r="K8" s="2">
        <f>SQRT(POWER((Table136810[[#This Row],[LED X]]-I9),2) + POWER((Table136810[[#This Row],[LED Y]]-J9),2)) - LEDSize</f>
        <v>2.4215240610515538</v>
      </c>
      <c r="L8" s="2" t="str">
        <f>CONCATENATE("'",Table136810[LED Name],"':[",Table136810[LED Angle],", ",Table136810[LED X],", ",Table136810[LED Y],"], ")</f>
        <v xml:space="preserve">'L26':[1500, 147.256090199395, 57.2500137979695], </v>
      </c>
      <c r="N8" s="12" t="s">
        <v>57</v>
      </c>
      <c r="O8" s="13">
        <v>5</v>
      </c>
      <c r="Q8">
        <v>5</v>
      </c>
      <c r="R8">
        <v>1</v>
      </c>
    </row>
    <row r="9" spans="2:20" x14ac:dyDescent="0.25">
      <c r="B9">
        <v>7</v>
      </c>
      <c r="C9">
        <f>360/LEDCount * (Table136810[[#This Row],[LED '#]]-1)</f>
        <v>72</v>
      </c>
      <c r="D9">
        <f>Table136810[[#This Row],[Angle]]*RadiansInDegree</f>
        <v>1.2566376000000001</v>
      </c>
      <c r="E9" s="2">
        <f>Radius*COS(Table136810[[#This Row],[Radians]])</f>
        <v>10.970085117035788</v>
      </c>
      <c r="F9" s="2">
        <f>Radius*SIN(Table136810[[#This Row],[Radians]])</f>
        <v>33.762512236576683</v>
      </c>
      <c r="G9" s="23" t="s">
        <v>23</v>
      </c>
      <c r="H9" s="5">
        <f>(Table136810[[#This Row],[Angle]] + LEDRotation)*10</f>
        <v>1620</v>
      </c>
      <c r="I9" s="2">
        <f>Xo-Table136810[[#This Row],[y]]</f>
        <v>144.2374877634233</v>
      </c>
      <c r="J9" s="2">
        <f>Yo-Table136810[[#This Row],[x]]</f>
        <v>64.029914882964206</v>
      </c>
      <c r="K9" s="2">
        <f>SQRT(POWER((Table136810[[#This Row],[LED X]]-I10),2) + POWER((Table136810[[#This Row],[LED Y]]-J10),2)) - LEDSize</f>
        <v>2.4215240610515423</v>
      </c>
      <c r="L9" s="2" t="str">
        <f>CONCATENATE("'",Table136810[LED Name],"':[",Table136810[LED Angle],", ",Table136810[LED X],", ",Table136810[LED Y],"], ")</f>
        <v xml:space="preserve">'L25':[1620, 144.237487763423, 64.0299148829642], </v>
      </c>
      <c r="N9" s="12" t="s">
        <v>70</v>
      </c>
      <c r="O9" s="13">
        <v>2</v>
      </c>
      <c r="Q9">
        <v>2</v>
      </c>
      <c r="R9">
        <v>0</v>
      </c>
    </row>
    <row r="10" spans="2:20" x14ac:dyDescent="0.25">
      <c r="B10">
        <v>8</v>
      </c>
      <c r="C10">
        <f>360/LEDCount * (Table136810[[#This Row],[LED '#]]-1)</f>
        <v>84</v>
      </c>
      <c r="D10">
        <f>Table136810[[#This Row],[Angle]]*RadiansInDegree</f>
        <v>1.4660772000000002</v>
      </c>
      <c r="E10" s="2">
        <f>Radius*COS(Table136810[[#This Row],[Radians]])</f>
        <v>3.7107382626638894</v>
      </c>
      <c r="F10" s="2">
        <f>Radius*SIN(Table136810[[#This Row],[Radians]])</f>
        <v>35.305529617129416</v>
      </c>
      <c r="G10" s="23" t="s">
        <v>24</v>
      </c>
      <c r="H10" s="5">
        <f>(Table136810[[#This Row],[Angle]] + LEDRotation)*10</f>
        <v>1740</v>
      </c>
      <c r="I10" s="2">
        <f>Xo-Table136810[[#This Row],[y]]</f>
        <v>142.69447038287058</v>
      </c>
      <c r="J10" s="2">
        <f>Yo-Table136810[[#This Row],[x]]</f>
        <v>71.289261737336105</v>
      </c>
      <c r="K10" s="2">
        <f>SQRT(POWER((Table136810[[#This Row],[LED X]]-I11),2) + POWER((Table136810[[#This Row],[LED Y]]-J11),2)) - LEDSize</f>
        <v>2.4215240610515467</v>
      </c>
      <c r="L10" s="2" t="str">
        <f>CONCATENATE("'",Table136810[LED Name],"':[",Table136810[LED Angle],", ",Table136810[LED X],", ",Table136810[LED Y],"], ")</f>
        <v xml:space="preserve">'L24':[1740, 142.694470382871, 71.2892617373361], </v>
      </c>
      <c r="N10" s="12" t="s">
        <v>71</v>
      </c>
      <c r="O10" s="13">
        <v>90</v>
      </c>
      <c r="Q10">
        <v>90</v>
      </c>
      <c r="R10">
        <v>0</v>
      </c>
    </row>
    <row r="11" spans="2:20" x14ac:dyDescent="0.25">
      <c r="B11">
        <v>9</v>
      </c>
      <c r="C11">
        <f>360/LEDCount * (Table136810[[#This Row],[LED '#]]-1)</f>
        <v>96</v>
      </c>
      <c r="D11">
        <f>Table136810[[#This Row],[Angle]]*RadiansInDegree</f>
        <v>1.6755168</v>
      </c>
      <c r="E11" s="2">
        <f>Radius*COS(Table136810[[#This Row],[Radians]])</f>
        <v>-3.7107857983859653</v>
      </c>
      <c r="F11" s="2">
        <f>Radius*SIN(Table136810[[#This Row],[Radians]])</f>
        <v>35.305524620921538</v>
      </c>
      <c r="G11" s="23" t="s">
        <v>25</v>
      </c>
      <c r="H11" s="5">
        <f>(Table136810[[#This Row],[Angle]] + LEDRotation)*10</f>
        <v>1860</v>
      </c>
      <c r="I11" s="2">
        <f>Xo-Table136810[[#This Row],[y]]</f>
        <v>142.69447537907845</v>
      </c>
      <c r="J11" s="2">
        <f>Yo-Table136810[[#This Row],[x]]</f>
        <v>78.71078579838597</v>
      </c>
      <c r="K11" s="2">
        <f>SQRT(POWER((Table136810[[#This Row],[LED X]]-I12),2) + POWER((Table136810[[#This Row],[LED Y]]-J12),2)) - LEDSize</f>
        <v>2.4215240610515325</v>
      </c>
      <c r="L11" s="2" t="str">
        <f>CONCATENATE("'",Table136810[LED Name],"':[",Table136810[LED Angle],", ",Table136810[LED X],", ",Table136810[LED Y],"], ")</f>
        <v xml:space="preserve">'L23':[1860, 142.694475379078, 78.710785798386], </v>
      </c>
      <c r="N11" s="12" t="s">
        <v>60</v>
      </c>
      <c r="O11" s="14">
        <v>178</v>
      </c>
    </row>
    <row r="12" spans="2:20" x14ac:dyDescent="0.25">
      <c r="B12">
        <v>10</v>
      </c>
      <c r="C12">
        <f>360/LEDCount * (Table136810[[#This Row],[LED '#]]-1)</f>
        <v>108</v>
      </c>
      <c r="D12">
        <f>Table136810[[#This Row],[Angle]]*RadiansInDegree</f>
        <v>1.8849564000000001</v>
      </c>
      <c r="E12" s="2">
        <f>Radius*COS(Table136810[[#This Row],[Radians]])</f>
        <v>-10.970130575216933</v>
      </c>
      <c r="F12" s="2">
        <f>Radius*SIN(Table136810[[#This Row],[Radians]])</f>
        <v>33.762497466311501</v>
      </c>
      <c r="G12" s="23" t="s">
        <v>26</v>
      </c>
      <c r="H12" s="5">
        <f>(Table136810[[#This Row],[Angle]] + LEDRotation)*10</f>
        <v>1980</v>
      </c>
      <c r="I12" s="2">
        <f>Xo-Table136810[[#This Row],[y]]</f>
        <v>144.23750253368848</v>
      </c>
      <c r="J12" s="2">
        <f>Yo-Table136810[[#This Row],[x]]</f>
        <v>85.970130575216928</v>
      </c>
      <c r="K12" s="2">
        <f>SQRT(POWER((Table136810[[#This Row],[LED X]]-I13),2) + POWER((Table136810[[#This Row],[LED Y]]-J13),2)) - LEDSize</f>
        <v>2.4215240610515645</v>
      </c>
      <c r="L12" s="2" t="str">
        <f>CONCATENATE("'",Table136810[LED Name],"':[",Table136810[LED Angle],", ",Table136810[LED X],", ",Table136810[LED Y],"], ")</f>
        <v xml:space="preserve">'L22':[1980, 144.237502533688, 85.9701305752169], </v>
      </c>
      <c r="N12" s="15" t="s">
        <v>61</v>
      </c>
      <c r="O12" s="16">
        <v>75</v>
      </c>
    </row>
    <row r="13" spans="2:20" x14ac:dyDescent="0.25">
      <c r="B13">
        <v>11</v>
      </c>
      <c r="C13">
        <f>360/LEDCount * (Table136810[[#This Row],[LED '#]]-1)</f>
        <v>120</v>
      </c>
      <c r="D13">
        <f>Table136810[[#This Row],[Angle]]*RadiansInDegree</f>
        <v>2.0943960000000001</v>
      </c>
      <c r="E13" s="2">
        <f>Radius*COS(Table136810[[#This Row],[Radians]])</f>
        <v>-17.750027595928337</v>
      </c>
      <c r="F13" s="2">
        <f>Radius*SIN(Table136810[[#This Row],[Radians]])</f>
        <v>30.743885901814405</v>
      </c>
      <c r="G13" s="23" t="s">
        <v>27</v>
      </c>
      <c r="H13" s="5">
        <f>(Table136810[[#This Row],[Angle]] + LEDRotation)*10</f>
        <v>2100</v>
      </c>
      <c r="I13" s="2">
        <f>Xo-Table136810[[#This Row],[y]]</f>
        <v>147.25611409818561</v>
      </c>
      <c r="J13" s="2">
        <f>Yo-Table136810[[#This Row],[x]]</f>
        <v>92.750027595928344</v>
      </c>
      <c r="K13" s="2">
        <f>SQRT(POWER((Table136810[[#This Row],[LED X]]-I14),2) + POWER((Table136810[[#This Row],[LED Y]]-J14),2)) - LEDSize</f>
        <v>2.4215240610515281</v>
      </c>
      <c r="L13" s="2" t="str">
        <f>CONCATENATE("'",Table136810[LED Name],"':[",Table136810[LED Angle],", ",Table136810[LED X],", ",Table136810[LED Y],"], ")</f>
        <v xml:space="preserve">'L21':[2100, 147.256114098186, 92.7500275959283], </v>
      </c>
    </row>
    <row r="14" spans="2:20" x14ac:dyDescent="0.25">
      <c r="B14">
        <v>12</v>
      </c>
      <c r="C14">
        <f>360/LEDCount * (Table136810[[#This Row],[LED '#]]-1)</f>
        <v>132</v>
      </c>
      <c r="D14">
        <f>Table136810[[#This Row],[Angle]]*RadiansInDegree</f>
        <v>2.3038356000000002</v>
      </c>
      <c r="E14" s="2">
        <f>Radius*COS(Table136810[[#This Row],[Radians]])</f>
        <v>-23.754162574102718</v>
      </c>
      <c r="F14" s="2">
        <f>Radius*SIN(Table136810[[#This Row],[Radians]])</f>
        <v>26.381617850372592</v>
      </c>
      <c r="G14" s="23" t="s">
        <v>28</v>
      </c>
      <c r="H14" s="5">
        <f>(Table136810[[#This Row],[Angle]] + LEDRotation)*10</f>
        <v>2220</v>
      </c>
      <c r="I14" s="2">
        <f>Xo-Table136810[[#This Row],[y]]</f>
        <v>151.61838214962739</v>
      </c>
      <c r="J14" s="2">
        <f>Yo-Table136810[[#This Row],[x]]</f>
        <v>98.754162574102722</v>
      </c>
      <c r="K14" s="2">
        <f>SQRT(POWER((Table136810[[#This Row],[LED X]]-I15),2) + POWER((Table136810[[#This Row],[LED Y]]-J15),2)) - LEDSize</f>
        <v>2.4215240610515547</v>
      </c>
      <c r="L14" s="2" t="str">
        <f>CONCATENATE("'",Table136810[LED Name],"':[",Table136810[LED Angle],", ",Table136810[LED X],", ",Table136810[LED Y],"], ")</f>
        <v xml:space="preserve">'L20':[2220, 151.618382149627, 98.7541625741027], </v>
      </c>
    </row>
    <row r="15" spans="2:20" x14ac:dyDescent="0.25">
      <c r="B15">
        <v>13</v>
      </c>
      <c r="C15">
        <f>360/LEDCount * (Table136810[[#This Row],[LED '#]]-1)</f>
        <v>144</v>
      </c>
      <c r="D15">
        <f>Table136810[[#This Row],[Angle]]*RadiansInDegree</f>
        <v>2.5132752000000003</v>
      </c>
      <c r="E15" s="2">
        <f>Radius*COS(Table136810[[#This Row],[Radians]])</f>
        <v>-28.72012577605577</v>
      </c>
      <c r="F15" s="2">
        <f>Radius*SIN(Table136810[[#This Row],[Radians]])</f>
        <v>20.866345521138506</v>
      </c>
      <c r="G15" s="23" t="s">
        <v>29</v>
      </c>
      <c r="H15" s="5">
        <f>(Table136810[[#This Row],[Angle]] + LEDRotation)*10</f>
        <v>2340</v>
      </c>
      <c r="I15" s="2">
        <f>Xo-Table136810[[#This Row],[y]]</f>
        <v>157.1336544788615</v>
      </c>
      <c r="J15" s="2">
        <f>Yo-Table136810[[#This Row],[x]]</f>
        <v>103.72012577605577</v>
      </c>
      <c r="K15" s="2">
        <f>SQRT(POWER((Table136810[[#This Row],[LED X]]-I16),2) + POWER((Table136810[[#This Row],[LED Y]]-J16),2)) - LEDSize</f>
        <v>2.421524061051529</v>
      </c>
      <c r="L15" s="2" t="str">
        <f>CONCATENATE("'",Table136810[LED Name],"':[",Table136810[LED Angle],", ",Table136810[LED X],", ",Table136810[LED Y],"], ")</f>
        <v xml:space="preserve">'L19':[2340, 157.133654478862, 103.720125776056], </v>
      </c>
    </row>
    <row r="16" spans="2:20" x14ac:dyDescent="0.25">
      <c r="B16">
        <v>14</v>
      </c>
      <c r="C16">
        <f>360/LEDCount * (Table136810[[#This Row],[LED '#]]-1)</f>
        <v>156</v>
      </c>
      <c r="D16">
        <f>Table136810[[#This Row],[Angle]]*RadiansInDegree</f>
        <v>2.7227148000000003</v>
      </c>
      <c r="E16" s="2">
        <f>Radius*COS(Table136810[[#This Row],[Radians]])</f>
        <v>-32.430880595174301</v>
      </c>
      <c r="F16" s="2">
        <f>Radius*SIN(Table136810[[#This Row],[Radians]])</f>
        <v>14.439112985967899</v>
      </c>
      <c r="G16" s="23" t="s">
        <v>30</v>
      </c>
      <c r="H16" s="5">
        <f>(Table136810[[#This Row],[Angle]] + LEDRotation)*10</f>
        <v>2460</v>
      </c>
      <c r="I16" s="2">
        <f>Xo-Table136810[[#This Row],[y]]</f>
        <v>163.56088701403209</v>
      </c>
      <c r="J16" s="2">
        <f>Yo-Table136810[[#This Row],[x]]</f>
        <v>107.4308805951743</v>
      </c>
      <c r="K16" s="2">
        <f>SQRT(POWER((Table136810[[#This Row],[LED X]]-I17),2) + POWER((Table136810[[#This Row],[LED Y]]-J17),2)) - LEDSize</f>
        <v>2.42152406105156</v>
      </c>
      <c r="L16" s="2" t="str">
        <f>CONCATENATE("'",Table136810[LED Name],"':[",Table136810[LED Angle],", ",Table136810[LED X],", ",Table136810[LED Y],"], ")</f>
        <v xml:space="preserve">'L18':[2460, 163.560887014032, 107.430880595174], </v>
      </c>
    </row>
    <row r="17" spans="2:12" x14ac:dyDescent="0.25">
      <c r="B17">
        <v>15</v>
      </c>
      <c r="C17">
        <f>360/LEDCount * (Table136810[[#This Row],[LED '#]]-1)</f>
        <v>168</v>
      </c>
      <c r="D17">
        <f>Table136810[[#This Row],[Angle]]*RadiansInDegree</f>
        <v>2.9321544000000004</v>
      </c>
      <c r="E17" s="2">
        <f>Radius*COS(Table136810[[#This Row],[Radians]])</f>
        <v>-34.724249101183219</v>
      </c>
      <c r="F17" s="2">
        <f>Radius*SIN(Table136810[[#This Row],[Radians]])</f>
        <v>7.3808213878250859</v>
      </c>
      <c r="G17" s="23" t="s">
        <v>31</v>
      </c>
      <c r="H17" s="5">
        <f>(Table136810[[#This Row],[Angle]] + LEDRotation)*10</f>
        <v>2580</v>
      </c>
      <c r="I17" s="2">
        <f>Xo-Table136810[[#This Row],[y]]</f>
        <v>170.61917861217492</v>
      </c>
      <c r="J17" s="2">
        <f>Yo-Table136810[[#This Row],[x]]</f>
        <v>109.72424910118322</v>
      </c>
      <c r="K17" s="2">
        <f>SQRT(POWER((Table136810[[#This Row],[LED X]]-I18),2) + POWER((Table136810[[#This Row],[LED Y]]-J18),2)) - LEDSize</f>
        <v>2.4215240610515423</v>
      </c>
      <c r="L17" s="2" t="str">
        <f>CONCATENATE("'",Table136810[LED Name],"':[",Table136810[LED Angle],", ",Table136810[LED X],", ",Table136810[LED Y],"], ")</f>
        <v xml:space="preserve">'L17':[2580, 170.619178612175, 109.724249101183], </v>
      </c>
    </row>
    <row r="18" spans="2:12" x14ac:dyDescent="0.25">
      <c r="B18">
        <v>16</v>
      </c>
      <c r="C18">
        <f>360/LEDCount * (Table136810[[#This Row],[LED '#]]-1)</f>
        <v>180</v>
      </c>
      <c r="D18">
        <f>Table136810[[#This Row],[Angle]]*RadiansInDegree</f>
        <v>3.1415940000000004</v>
      </c>
      <c r="E18" s="2">
        <f>Radius*COS(Table136810[[#This Row],[Radians]])</f>
        <v>-35.499999999967827</v>
      </c>
      <c r="F18" s="2">
        <f>Radius*SIN(Table136810[[#This Row],[Radians]])</f>
        <v>-4.7797562355699777E-5</v>
      </c>
      <c r="G18" s="23" t="s">
        <v>32</v>
      </c>
      <c r="H18" s="5">
        <f>(Table136810[[#This Row],[Angle]] + LEDRotation)*10</f>
        <v>2700</v>
      </c>
      <c r="I18" s="2">
        <f>Xo-Table136810[[#This Row],[y]]</f>
        <v>178.00004779756236</v>
      </c>
      <c r="J18" s="2">
        <f>Yo-Table136810[[#This Row],[x]]</f>
        <v>110.49999999996783</v>
      </c>
      <c r="K18" s="2">
        <f>SQRT(POWER((Table136810[[#This Row],[LED X]]-I19),2) + POWER((Table136810[[#This Row],[LED Y]]-J19),2)) - LEDSize</f>
        <v>2.4215240610515156</v>
      </c>
      <c r="L18" s="2" t="str">
        <f>CONCATENATE("'",Table136810[LED Name],"':[",Table136810[LED Angle],", ",Table136810[LED X],", ",Table136810[LED Y],"], ")</f>
        <v xml:space="preserve">'L16':[2700, 178.000047797562, 110.499999999968], </v>
      </c>
    </row>
    <row r="19" spans="2:12" x14ac:dyDescent="0.25">
      <c r="B19">
        <v>17</v>
      </c>
      <c r="C19">
        <f>360/LEDCount * (Table136810[[#This Row],[LED '#]]-1)</f>
        <v>192</v>
      </c>
      <c r="D19">
        <f>Table136810[[#This Row],[Angle]]*RadiansInDegree</f>
        <v>3.3510336000000001</v>
      </c>
      <c r="E19" s="2">
        <f>Radius*COS(Table136810[[#This Row],[Radians]])</f>
        <v>-34.724229225830818</v>
      </c>
      <c r="F19" s="2">
        <f>Radius*SIN(Table136810[[#This Row],[Radians]])</f>
        <v>-7.3809148939651656</v>
      </c>
      <c r="G19" s="23" t="s">
        <v>33</v>
      </c>
      <c r="H19" s="5">
        <f>(Table136810[[#This Row],[Angle]] + LEDRotation)*10</f>
        <v>2820</v>
      </c>
      <c r="I19" s="2">
        <f>Xo-Table136810[[#This Row],[y]]</f>
        <v>185.38091489396515</v>
      </c>
      <c r="J19" s="2">
        <f>Yo-Table136810[[#This Row],[x]]</f>
        <v>109.72422922583081</v>
      </c>
      <c r="K19" s="2">
        <f>SQRT(POWER((Table136810[[#This Row],[LED X]]-I20),2) + POWER((Table136810[[#This Row],[LED Y]]-J20),2)) - LEDSize</f>
        <v>2.4215240610515494</v>
      </c>
      <c r="L19" s="2" t="str">
        <f>CONCATENATE("'",Table136810[LED Name],"':[",Table136810[LED Angle],", ",Table136810[LED X],", ",Table136810[LED Y],"], ")</f>
        <v xml:space="preserve">'L15':[2820, 185.380914893965, 109.724229225831], </v>
      </c>
    </row>
    <row r="20" spans="2:12" x14ac:dyDescent="0.25">
      <c r="B20">
        <v>18</v>
      </c>
      <c r="C20">
        <f>360/LEDCount * (Table136810[[#This Row],[LED '#]]-1)</f>
        <v>204</v>
      </c>
      <c r="D20">
        <f>Table136810[[#This Row],[Angle]]*RadiansInDegree</f>
        <v>3.5604732000000001</v>
      </c>
      <c r="E20" s="2">
        <f>Radius*COS(Table136810[[#This Row],[Radians]])</f>
        <v>-32.430841713118511</v>
      </c>
      <c r="F20" s="2">
        <f>Radius*SIN(Table136810[[#This Row],[Radians]])</f>
        <v>-14.439200316452856</v>
      </c>
      <c r="G20" s="23" t="s">
        <v>34</v>
      </c>
      <c r="H20" s="5">
        <f>(Table136810[[#This Row],[Angle]] + LEDRotation)*10</f>
        <v>2940</v>
      </c>
      <c r="I20" s="2">
        <f>Xo-Table136810[[#This Row],[y]]</f>
        <v>192.43920031645285</v>
      </c>
      <c r="J20" s="2">
        <f>Yo-Table136810[[#This Row],[x]]</f>
        <v>107.43084171311851</v>
      </c>
      <c r="K20" s="2">
        <f>SQRT(POWER((Table136810[[#This Row],[LED X]]-I21),2) + POWER((Table136810[[#This Row],[LED Y]]-J21),2)) - LEDSize</f>
        <v>2.4215240610515361</v>
      </c>
      <c r="L20" s="2" t="str">
        <f>CONCATENATE("'",Table136810[LED Name],"':[",Table136810[LED Angle],", ",Table136810[LED X],", ",Table136810[LED Y],"], ")</f>
        <v xml:space="preserve">'L14':[2940, 192.439200316453, 107.430841713119], </v>
      </c>
    </row>
    <row r="21" spans="2:12" x14ac:dyDescent="0.25">
      <c r="B21">
        <v>19</v>
      </c>
      <c r="C21">
        <f>360/LEDCount * (Table136810[[#This Row],[LED '#]]-1)</f>
        <v>216</v>
      </c>
      <c r="D21">
        <f>Table136810[[#This Row],[Angle]]*RadiansInDegree</f>
        <v>3.7699128000000002</v>
      </c>
      <c r="E21" s="2">
        <f>Radius*COS(Table136810[[#This Row],[Radians]])</f>
        <v>-28.720069586630459</v>
      </c>
      <c r="F21" s="2">
        <f>Radius*SIN(Table136810[[#This Row],[Radians]])</f>
        <v>-20.866422859203833</v>
      </c>
      <c r="G21" s="23" t="s">
        <v>35</v>
      </c>
      <c r="H21" s="5">
        <f>(Table136810[[#This Row],[Angle]] + LEDRotation)*10</f>
        <v>3060</v>
      </c>
      <c r="I21" s="2">
        <f>Xo-Table136810[[#This Row],[y]]</f>
        <v>198.86642285920382</v>
      </c>
      <c r="J21" s="2">
        <f>Yo-Table136810[[#This Row],[x]]</f>
        <v>103.72006958663046</v>
      </c>
      <c r="K21" s="2">
        <f>SQRT(POWER((Table136810[[#This Row],[LED X]]-I22),2) + POWER((Table136810[[#This Row],[LED Y]]-J22),2)) - LEDSize</f>
        <v>2.4215240610515529</v>
      </c>
      <c r="L21" s="2" t="str">
        <f>CONCATENATE("'",Table136810[LED Name],"':[",Table136810[LED Angle],", ",Table136810[LED X],", ",Table136810[LED Y],"], ")</f>
        <v xml:space="preserve">'L13':[3060, 198.866422859204, 103.72006958663], </v>
      </c>
    </row>
    <row r="22" spans="2:12" x14ac:dyDescent="0.25">
      <c r="B22">
        <v>20</v>
      </c>
      <c r="C22">
        <f>360/LEDCount * (Table136810[[#This Row],[LED '#]]-1)</f>
        <v>228</v>
      </c>
      <c r="D22">
        <f>Table136810[[#This Row],[Angle]]*RadiansInDegree</f>
        <v>3.9793524000000002</v>
      </c>
      <c r="E22" s="2">
        <f>Radius*COS(Table136810[[#This Row],[Radians]])</f>
        <v>-23.754091533057494</v>
      </c>
      <c r="F22" s="2">
        <f>Radius*SIN(Table136810[[#This Row],[Radians]])</f>
        <v>-26.38168181597084</v>
      </c>
      <c r="G22" s="23" t="s">
        <v>36</v>
      </c>
      <c r="H22" s="5">
        <f>(Table136810[[#This Row],[Angle]] + LEDRotation)*10</f>
        <v>3180</v>
      </c>
      <c r="I22" s="2">
        <f>Xo-Table136810[[#This Row],[y]]</f>
        <v>204.38168181597084</v>
      </c>
      <c r="J22" s="2">
        <f>Yo-Table136810[[#This Row],[x]]</f>
        <v>98.75409153305749</v>
      </c>
      <c r="K22" s="2">
        <f>SQRT(POWER((Table136810[[#This Row],[LED X]]-I23),2) + POWER((Table136810[[#This Row],[LED Y]]-J23),2)) - LEDSize</f>
        <v>2.4215240610515485</v>
      </c>
      <c r="L22" s="2" t="str">
        <f>CONCATENATE("'",Table136810[LED Name],"':[",Table136810[LED Angle],", ",Table136810[LED X],", ",Table136810[LED Y],"], ")</f>
        <v xml:space="preserve">'L12':[3180, 204.381681815971, 98.7540915330575], </v>
      </c>
    </row>
    <row r="23" spans="2:12" x14ac:dyDescent="0.25">
      <c r="B23">
        <v>21</v>
      </c>
      <c r="C23" s="22">
        <f>360/LEDCount * (Table136810[[#This Row],[LED '#]]-1)</f>
        <v>240</v>
      </c>
      <c r="D23" s="22">
        <f>Table136810[[#This Row],[Angle]]*RadiansInDegree</f>
        <v>4.1887920000000003</v>
      </c>
      <c r="E23" s="2">
        <f>Radius*COS(Table136810[[#This Row],[Radians]])</f>
        <v>-17.749944808100423</v>
      </c>
      <c r="F23" s="2">
        <f>Radius*SIN(Table136810[[#This Row],[Radians]])</f>
        <v>-30.743933699339596</v>
      </c>
      <c r="G23" s="6" t="s">
        <v>37</v>
      </c>
      <c r="H23" s="5">
        <f>(Table136810[[#This Row],[Angle]] + LEDRotation)*10</f>
        <v>3300</v>
      </c>
      <c r="I23" s="2">
        <f>Xo-Table136810[[#This Row],[y]]</f>
        <v>208.74393369933961</v>
      </c>
      <c r="J23" s="2">
        <f>Yo-Table136810[[#This Row],[x]]</f>
        <v>92.749944808100423</v>
      </c>
      <c r="K23" s="2">
        <f>SQRT(POWER((Table136810[[#This Row],[LED X]]-I24),2) + POWER((Table136810[[#This Row],[LED Y]]-J24),2)) - LEDSize</f>
        <v>2.4215240610515627</v>
      </c>
      <c r="L23" s="2" t="str">
        <f>CONCATENATE("'",Table136810[LED Name],"':[",Table136810[LED Angle],", ",Table136810[LED X],", ",Table136810[LED Y],"], ")</f>
        <v xml:space="preserve">'L11':[3300, 208.74393369934, 92.7499448081004], </v>
      </c>
    </row>
    <row r="24" spans="2:12" x14ac:dyDescent="0.25">
      <c r="B24">
        <v>22</v>
      </c>
      <c r="C24" s="22">
        <f>360/LEDCount * (Table136810[[#This Row],[LED '#]]-1)</f>
        <v>252</v>
      </c>
      <c r="D24" s="22">
        <f>Table136810[[#This Row],[Angle]]*RadiansInDegree</f>
        <v>4.3982316000000008</v>
      </c>
      <c r="E24" s="2">
        <f>Radius*COS(Table136810[[#This Row],[Radians]])</f>
        <v>-10.97003965883474</v>
      </c>
      <c r="F24" s="2">
        <f>Radius*SIN(Table136810[[#This Row],[Radians]])</f>
        <v>-33.762527006780651</v>
      </c>
      <c r="G24" s="6" t="s">
        <v>38</v>
      </c>
      <c r="H24" s="5">
        <f>(Table136810[[#This Row],[Angle]] + LEDRotation)*10</f>
        <v>3420</v>
      </c>
      <c r="I24" s="2">
        <f>Xo-Table136810[[#This Row],[y]]</f>
        <v>211.76252700678066</v>
      </c>
      <c r="J24" s="2">
        <f>Yo-Table136810[[#This Row],[x]]</f>
        <v>85.970039658834736</v>
      </c>
      <c r="K24" s="2">
        <f>SQRT(POWER((Table136810[[#This Row],[LED X]]-I25),2) + POWER((Table136810[[#This Row],[LED Y]]-J25),2)) - LEDSize</f>
        <v>2.421524061051521</v>
      </c>
      <c r="L24" s="2" t="str">
        <f>CONCATENATE("'",Table136810[LED Name],"':[",Table136810[LED Angle],", ",Table136810[LED X],", ",Table136810[LED Y],"], ")</f>
        <v xml:space="preserve">'L10':[3420, 211.762527006781, 85.9700396588347], </v>
      </c>
    </row>
    <row r="25" spans="2:12" x14ac:dyDescent="0.25">
      <c r="B25">
        <v>23</v>
      </c>
      <c r="C25" s="22">
        <f>360/LEDCount * (Table136810[[#This Row],[LED '#]]-1)</f>
        <v>264</v>
      </c>
      <c r="D25" s="22">
        <f>Table136810[[#This Row],[Angle]]*RadiansInDegree</f>
        <v>4.6076712000000004</v>
      </c>
      <c r="E25" s="2">
        <f>Radius*COS(Table136810[[#This Row],[Radians]])</f>
        <v>-3.7106907269350868</v>
      </c>
      <c r="F25" s="2">
        <f>Radius*SIN(Table136810[[#This Row],[Radians]])</f>
        <v>-35.305534613273281</v>
      </c>
      <c r="G25" s="6" t="s">
        <v>39</v>
      </c>
      <c r="H25" s="5">
        <f>(Table136810[[#This Row],[Angle]] + LEDRotation)*10</f>
        <v>3540</v>
      </c>
      <c r="I25" s="2">
        <f>Xo-Table136810[[#This Row],[y]]</f>
        <v>213.30553461327327</v>
      </c>
      <c r="J25" s="2">
        <f>Yo-Table136810[[#This Row],[x]]</f>
        <v>78.710690726935084</v>
      </c>
      <c r="K25" s="2">
        <f>SQRT(POWER((Table136810[[#This Row],[LED X]]-I26),2) + POWER((Table136810[[#This Row],[LED Y]]-J26),2)) - LEDSize</f>
        <v>2.421524061051529</v>
      </c>
      <c r="L25" s="2" t="str">
        <f>CONCATENATE("'",Table136810[LED Name],"':[",Table136810[LED Angle],", ",Table136810[LED X],", ",Table136810[LED Y],"], ")</f>
        <v xml:space="preserve">'L9':[3540, 213.305534613273, 78.7106907269351], </v>
      </c>
    </row>
    <row r="26" spans="2:12" x14ac:dyDescent="0.25">
      <c r="B26">
        <v>24</v>
      </c>
      <c r="C26" s="22">
        <f>360/LEDCount * (Table136810[[#This Row],[LED '#]]-1)</f>
        <v>276</v>
      </c>
      <c r="D26" s="22">
        <f>Table136810[[#This Row],[Angle]]*RadiansInDegree</f>
        <v>4.8171108</v>
      </c>
      <c r="E26" s="2">
        <f>Radius*COS(Table136810[[#This Row],[Radians]])</f>
        <v>3.7108333341013062</v>
      </c>
      <c r="F26" s="2">
        <f>Radius*SIN(Table136810[[#This Row],[Radians]])</f>
        <v>-35.305519624649662</v>
      </c>
      <c r="G26" s="6" t="s">
        <v>40</v>
      </c>
      <c r="H26" s="5">
        <f>(Table136810[[#This Row],[Angle]] + LEDRotation)*10</f>
        <v>3660</v>
      </c>
      <c r="I26" s="2">
        <f>Xo-Table136810[[#This Row],[y]]</f>
        <v>213.30551962464966</v>
      </c>
      <c r="J26" s="2">
        <f>Yo-Table136810[[#This Row],[x]]</f>
        <v>71.289166665898691</v>
      </c>
      <c r="K26" s="2">
        <f>SQRT(POWER((Table136810[[#This Row],[LED X]]-I27),2) + POWER((Table136810[[#This Row],[LED Y]]-J27),2)) - LEDSize</f>
        <v>2.4215240610515538</v>
      </c>
      <c r="L26" s="2" t="str">
        <f>CONCATENATE("'",Table136810[LED Name],"':[",Table136810[LED Angle],", ",Table136810[LED X],", ",Table136810[LED Y],"], ")</f>
        <v xml:space="preserve">'L8':[3660, 213.30551962465, 71.2891666658987], </v>
      </c>
    </row>
    <row r="27" spans="2:12" x14ac:dyDescent="0.25">
      <c r="B27">
        <v>25</v>
      </c>
      <c r="C27" s="22">
        <f>360/LEDCount * (Table136810[[#This Row],[LED '#]]-1)</f>
        <v>288</v>
      </c>
      <c r="D27" s="22">
        <f>Table136810[[#This Row],[Angle]]*RadiansInDegree</f>
        <v>5.0265504000000005</v>
      </c>
      <c r="E27" s="2">
        <f>Radius*COS(Table136810[[#This Row],[Radians]])</f>
        <v>10.970176033378198</v>
      </c>
      <c r="F27" s="2">
        <f>Radius*SIN(Table136810[[#This Row],[Radians]])</f>
        <v>-33.762482695985121</v>
      </c>
      <c r="G27" s="6" t="s">
        <v>41</v>
      </c>
      <c r="H27" s="5">
        <f>(Table136810[[#This Row],[Angle]] + LEDRotation)*10</f>
        <v>3780</v>
      </c>
      <c r="I27" s="2">
        <f>Xo-Table136810[[#This Row],[y]]</f>
        <v>211.76248269598511</v>
      </c>
      <c r="J27" s="2">
        <f>Yo-Table136810[[#This Row],[x]]</f>
        <v>64.029823966621805</v>
      </c>
      <c r="K27" s="2">
        <f>SQRT(POWER((Table136810[[#This Row],[LED X]]-I28),2) + POWER((Table136810[[#This Row],[LED Y]]-J28),2)) - LEDSize</f>
        <v>2.421524061051529</v>
      </c>
      <c r="L27" s="2" t="str">
        <f>CONCATENATE("'",Table136810[LED Name],"':[",Table136810[LED Angle],", ",Table136810[LED X],", ",Table136810[LED Y],"], ")</f>
        <v xml:space="preserve">'L7':[3780, 211.762482695985, 64.0298239666218], </v>
      </c>
    </row>
    <row r="28" spans="2:12" x14ac:dyDescent="0.25">
      <c r="B28">
        <v>26</v>
      </c>
      <c r="C28" s="22">
        <f>360/LEDCount * (Table136810[[#This Row],[LED '#]]-1)</f>
        <v>300</v>
      </c>
      <c r="D28" s="22">
        <f>Table136810[[#This Row],[Angle]]*RadiansInDegree</f>
        <v>5.2359900000000001</v>
      </c>
      <c r="E28" s="2">
        <f>Radius*COS(Table136810[[#This Row],[Radians]])</f>
        <v>17.75006898979402</v>
      </c>
      <c r="F28" s="2">
        <f>Radius*SIN(Table136810[[#This Row],[Radians]])</f>
        <v>-30.743862002968211</v>
      </c>
      <c r="G28" s="6" t="s">
        <v>42</v>
      </c>
      <c r="H28" s="5">
        <f>(Table136810[[#This Row],[Angle]] + LEDRotation)*10</f>
        <v>3900</v>
      </c>
      <c r="I28" s="2">
        <f>Xo-Table136810[[#This Row],[y]]</f>
        <v>208.7438620029682</v>
      </c>
      <c r="J28" s="2">
        <f>Yo-Table136810[[#This Row],[x]]</f>
        <v>57.249931010205984</v>
      </c>
      <c r="K28" s="2">
        <f>SQRT(POWER((Table136810[[#This Row],[LED X]]-I29),2) + POWER((Table136810[[#This Row],[LED Y]]-J29),2)) - LEDSize</f>
        <v>2.4215240610515654</v>
      </c>
      <c r="L28" s="2" t="str">
        <f>CONCATENATE("'",Table136810[LED Name],"':[",Table136810[LED Angle],", ",Table136810[LED X],", ",Table136810[LED Y],"], ")</f>
        <v xml:space="preserve">'L6':[3900, 208.743862002968, 57.249931010206], </v>
      </c>
    </row>
    <row r="29" spans="2:12" x14ac:dyDescent="0.25">
      <c r="B29">
        <v>27</v>
      </c>
      <c r="C29" s="22">
        <f>360/LEDCount * (Table136810[[#This Row],[LED '#]]-1)</f>
        <v>312</v>
      </c>
      <c r="D29" s="22">
        <f>Table136810[[#This Row],[Angle]]*RadiansInDegree</f>
        <v>5.4454296000000006</v>
      </c>
      <c r="E29" s="2">
        <f>Radius*COS(Table136810[[#This Row],[Radians]])</f>
        <v>23.754198094560742</v>
      </c>
      <c r="F29" s="2">
        <f>Radius*SIN(Table136810[[#This Row],[Radians]])</f>
        <v>-26.381585867501727</v>
      </c>
      <c r="G29" s="6" t="s">
        <v>43</v>
      </c>
      <c r="H29" s="5">
        <f>(Table136810[[#This Row],[Angle]] + LEDRotation)*10</f>
        <v>4020</v>
      </c>
      <c r="I29" s="2">
        <f>Xo-Table136810[[#This Row],[y]]</f>
        <v>204.38158586750171</v>
      </c>
      <c r="J29" s="2">
        <f>Yo-Table136810[[#This Row],[x]]</f>
        <v>51.245801905439258</v>
      </c>
      <c r="K29" s="2">
        <f>SQRT(POWER((Table136810[[#This Row],[LED X]]-I30),2) + POWER((Table136810[[#This Row],[LED Y]]-J30),2)) - LEDSize</f>
        <v>2.4215240610515085</v>
      </c>
      <c r="L29" s="2" t="str">
        <f>CONCATENATE("'",Table136810[LED Name],"':[",Table136810[LED Angle],", ",Table136810[LED X],", ",Table136810[LED Y],"], ")</f>
        <v xml:space="preserve">'L5':[4020, 204.381585867502, 51.2458019054393], </v>
      </c>
    </row>
    <row r="30" spans="2:12" x14ac:dyDescent="0.25">
      <c r="B30">
        <v>28</v>
      </c>
      <c r="C30" s="22">
        <f>360/LEDCount * (Table136810[[#This Row],[LED '#]]-1)</f>
        <v>324</v>
      </c>
      <c r="D30" s="22">
        <f>Table136810[[#This Row],[Angle]]*RadiansInDegree</f>
        <v>5.6548692000000003</v>
      </c>
      <c r="E30" s="2">
        <f>Radius*COS(Table136810[[#This Row],[Radians]])</f>
        <v>28.720153870690325</v>
      </c>
      <c r="F30" s="2">
        <f>Radius*SIN(Table136810[[#This Row],[Radians]])</f>
        <v>-20.86630685204911</v>
      </c>
      <c r="G30" s="6" t="s">
        <v>44</v>
      </c>
      <c r="H30" s="5">
        <f>(Table136810[[#This Row],[Angle]] + LEDRotation)*10</f>
        <v>4140</v>
      </c>
      <c r="I30" s="2">
        <f>Xo-Table136810[[#This Row],[y]]</f>
        <v>198.86630685204912</v>
      </c>
      <c r="J30" s="2">
        <f>Yo-Table136810[[#This Row],[x]]</f>
        <v>46.279846129309675</v>
      </c>
      <c r="K30" s="2">
        <f>SQRT(POWER((Table136810[[#This Row],[LED X]]-I31),2) + POWER((Table136810[[#This Row],[LED Y]]-J31),2)) - LEDSize</f>
        <v>2.4215240610515734</v>
      </c>
      <c r="L30" s="2" t="str">
        <f>CONCATENATE("'",Table136810[LED Name],"':[",Table136810[LED Angle],", ",Table136810[LED X],", ",Table136810[LED Y],"], ")</f>
        <v xml:space="preserve">'L4':[4140, 198.866306852049, 46.2798461293097], </v>
      </c>
    </row>
    <row r="31" spans="2:12" x14ac:dyDescent="0.25">
      <c r="B31">
        <v>29</v>
      </c>
      <c r="C31" s="22">
        <f>360/LEDCount * (Table136810[[#This Row],[LED '#]]-1)</f>
        <v>336</v>
      </c>
      <c r="D31" s="22">
        <f>Table136810[[#This Row],[Angle]]*RadiansInDegree</f>
        <v>5.8643088000000008</v>
      </c>
      <c r="E31" s="2">
        <f>Radius*COS(Table136810[[#This Row],[Radians]])</f>
        <v>32.430900036114011</v>
      </c>
      <c r="F31" s="2">
        <f>Radius*SIN(Table136810[[#This Row],[Radians]])</f>
        <v>-14.43906932068615</v>
      </c>
      <c r="G31" s="6" t="s">
        <v>45</v>
      </c>
      <c r="H31" s="5">
        <f>(Table136810[[#This Row],[Angle]] + LEDRotation)*10</f>
        <v>4260</v>
      </c>
      <c r="I31" s="2">
        <f>Xo-Table136810[[#This Row],[y]]</f>
        <v>192.43906932068614</v>
      </c>
      <c r="J31" s="2">
        <f>Yo-Table136810[[#This Row],[x]]</f>
        <v>42.569099963885989</v>
      </c>
      <c r="K31" s="2">
        <f>SQRT(POWER((Table136810[[#This Row],[LED X]]-I32),2) + POWER((Table136810[[#This Row],[LED Y]]-J32),2)) - LEDSize</f>
        <v>2.4215240610515192</v>
      </c>
      <c r="L31" s="2" t="str">
        <f>CONCATENATE("'",Table136810[LED Name],"':[",Table136810[LED Angle],", ",Table136810[LED X],", ",Table136810[LED Y],"], ")</f>
        <v xml:space="preserve">'L3':[4260, 192.439069320686, 42.569099963886], </v>
      </c>
    </row>
    <row r="32" spans="2:12" x14ac:dyDescent="0.25">
      <c r="B32">
        <v>30</v>
      </c>
      <c r="C32" s="22">
        <f>360/LEDCount * (Table136810[[#This Row],[LED '#]]-1)</f>
        <v>348</v>
      </c>
      <c r="D32" s="22">
        <f>Table136810[[#This Row],[Angle]]*RadiansInDegree</f>
        <v>6.0737484000000004</v>
      </c>
      <c r="E32" s="2">
        <f>Radius*COS(Table136810[[#This Row],[Radians]])</f>
        <v>34.724259038764998</v>
      </c>
      <c r="F32" s="2">
        <f>Radius*SIN(Table136810[[#This Row],[Radians]])</f>
        <v>-7.3807746347349843</v>
      </c>
      <c r="G32" s="6" t="s">
        <v>46</v>
      </c>
      <c r="H32" s="5">
        <f>(Table136810[[#This Row],[Angle]] + LEDRotation)*10</f>
        <v>4380</v>
      </c>
      <c r="I32" s="2">
        <f>Xo-Table136810[[#This Row],[y]]</f>
        <v>185.38077463473499</v>
      </c>
      <c r="J32" s="2">
        <f>Yo-Table136810[[#This Row],[x]]</f>
        <v>40.275740961235002</v>
      </c>
      <c r="K32" s="2">
        <f>SQRT(POWER((Table136810[[#This Row],[LED X]]-I33),2) + POWER((Table136810[[#This Row],[LED Y]]-J33),2)) - LEDSize</f>
        <v>184.70547412805701</v>
      </c>
      <c r="L32" s="2" t="str">
        <f>CONCATENATE("'",Table136810[LED Name],"':[",Table136810[LED Angle],", ",Table136810[LED X],", ",Table136810[LED Y],"], ")</f>
        <v xml:space="preserve">'L2':[4380, 185.380774634735, 40.275740961235], </v>
      </c>
    </row>
  </sheetData>
  <mergeCells count="1">
    <mergeCell ref="N2:O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workbookViewId="0">
      <selection activeCell="N9" sqref="N9"/>
    </sheetView>
  </sheetViews>
  <sheetFormatPr defaultRowHeight="15" x14ac:dyDescent="0.25"/>
  <cols>
    <col min="1" max="1" width="3.140625" customWidth="1"/>
    <col min="4" max="4" width="10.140625" bestFit="1" customWidth="1"/>
    <col min="7" max="7" width="12.140625" bestFit="1" customWidth="1"/>
    <col min="8" max="8" width="12" bestFit="1" customWidth="1"/>
    <col min="11" max="11" width="10" bestFit="1" customWidth="1"/>
    <col min="12" max="12" width="3.7109375" customWidth="1"/>
    <col min="13" max="13" width="17.42578125" bestFit="1" customWidth="1"/>
    <col min="14" max="14" width="11" customWidth="1"/>
    <col min="15" max="15" width="5.5703125" bestFit="1" customWidth="1"/>
    <col min="16" max="16" width="5" bestFit="1" customWidth="1"/>
    <col min="17" max="17" width="4.140625" bestFit="1" customWidth="1"/>
    <col min="18" max="18" width="6.5703125" bestFit="1" customWidth="1"/>
  </cols>
  <sheetData>
    <row r="2" spans="2:18" x14ac:dyDescent="0.2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7" t="s">
        <v>62</v>
      </c>
      <c r="H2" s="7" t="s">
        <v>63</v>
      </c>
      <c r="I2" s="7" t="s">
        <v>65</v>
      </c>
      <c r="J2" s="7" t="s">
        <v>66</v>
      </c>
      <c r="K2" s="17" t="s">
        <v>64</v>
      </c>
      <c r="M2" s="18" t="s">
        <v>67</v>
      </c>
      <c r="N2" s="19"/>
    </row>
    <row r="3" spans="2:18" x14ac:dyDescent="0.25">
      <c r="B3">
        <v>1</v>
      </c>
      <c r="C3">
        <f>360/LEDCount * (Table1368[[#This Row],[LED '#]]-1)</f>
        <v>0</v>
      </c>
      <c r="D3">
        <f>Table1368[[#This Row],[Angle]]*RadiansInDegree</f>
        <v>0</v>
      </c>
      <c r="E3" s="2">
        <f>Radius*COS(Table1368[[#This Row],[Radians]])</f>
        <v>16.25</v>
      </c>
      <c r="F3" s="2">
        <f>Radius*SIN(Table1368[[#This Row],[Radians]])</f>
        <v>0</v>
      </c>
      <c r="G3" s="6" t="s">
        <v>17</v>
      </c>
      <c r="H3" s="5">
        <f>(Table1368[[#This Row],[Angle]] + LEDRotation)*10</f>
        <v>0</v>
      </c>
      <c r="I3" s="4">
        <f>Xo-Table1368[[#This Row],[y]]</f>
        <v>178</v>
      </c>
      <c r="J3" s="4">
        <f>Yo-Table1368[[#This Row],[x]]</f>
        <v>58.75</v>
      </c>
      <c r="K3" s="4">
        <f>SQRT(POWER((Table1368[[#This Row],[LED X]]-I4),2) + POWER((Table1368[[#This Row],[LED Y]]-J4),2)) - LEDSize</f>
        <v>4.0841222747871972</v>
      </c>
      <c r="M3" s="8" t="s">
        <v>68</v>
      </c>
      <c r="N3" s="9" t="s">
        <v>69</v>
      </c>
      <c r="P3" t="s">
        <v>72</v>
      </c>
      <c r="Q3" t="s">
        <v>73</v>
      </c>
    </row>
    <row r="4" spans="2:18" x14ac:dyDescent="0.25">
      <c r="B4">
        <v>2</v>
      </c>
      <c r="C4">
        <f>360/LEDCount * (Table1368[[#This Row],[LED '#]]-1)</f>
        <v>18</v>
      </c>
      <c r="D4">
        <f>Table1368[[#This Row],[Angle]]*RadiansInDegree</f>
        <v>0.31415940000000003</v>
      </c>
      <c r="E4" s="2">
        <f>Radius*COS(Table1368[[#This Row],[Radians]])</f>
        <v>15.454667713692698</v>
      </c>
      <c r="F4" s="2">
        <f>Radius*SIN(Table1368[[#This Row],[Radians]])</f>
        <v>5.0215282394251775</v>
      </c>
      <c r="G4" s="6" t="s">
        <v>28</v>
      </c>
      <c r="H4" s="5">
        <f>(Table1368[[#This Row],[Angle]] + LEDRotation)*10</f>
        <v>180</v>
      </c>
      <c r="I4" s="4">
        <f>Xo-Table1368[[#This Row],[y]]</f>
        <v>172.97847176057482</v>
      </c>
      <c r="J4" s="4">
        <f>Yo-Table1368[[#This Row],[x]]</f>
        <v>59.5453322863073</v>
      </c>
      <c r="K4" s="4">
        <f>SQRT(POWER((Table1368[[#This Row],[LED X]]-I5),2) + POWER((Table1368[[#This Row],[LED Y]]-J5),2)) - LEDSize</f>
        <v>4.0841222747871848</v>
      </c>
      <c r="M4" s="10" t="s">
        <v>10</v>
      </c>
      <c r="N4" s="11">
        <v>1.7453300000000001E-2</v>
      </c>
      <c r="Q4" s="2"/>
      <c r="R4" s="2"/>
    </row>
    <row r="5" spans="2:18" x14ac:dyDescent="0.25">
      <c r="B5">
        <v>3</v>
      </c>
      <c r="C5">
        <f>360/LEDCount * (Table1368[[#This Row],[LED '#]]-1)</f>
        <v>36</v>
      </c>
      <c r="D5">
        <f>Table1368[[#This Row],[Angle]]*RadiansInDegree</f>
        <v>0.62831880000000007</v>
      </c>
      <c r="E5" s="2">
        <f>Radius*COS(Table1368[[#This Row],[Radians]])</f>
        <v>13.146523586542214</v>
      </c>
      <c r="F5" s="2">
        <f>Radius*SIN(Table1368[[#This Row],[Radians]])</f>
        <v>9.5515138898757446</v>
      </c>
      <c r="G5" s="6" t="s">
        <v>29</v>
      </c>
      <c r="H5" s="5">
        <f>(Table1368[[#This Row],[Angle]] + LEDRotation)*10</f>
        <v>360</v>
      </c>
      <c r="I5" s="4">
        <f>Xo-Table1368[[#This Row],[y]]</f>
        <v>168.44848611012426</v>
      </c>
      <c r="J5" s="4">
        <f>Yo-Table1368[[#This Row],[x]]</f>
        <v>61.853476413457784</v>
      </c>
      <c r="K5" s="4">
        <f>SQRT(POWER((Table1368[[#This Row],[LED X]]-I6),2) + POWER((Table1368[[#This Row],[LED Y]]-J6),2)) - LEDSize</f>
        <v>4.0841222747872008</v>
      </c>
      <c r="M5" s="12" t="s">
        <v>58</v>
      </c>
      <c r="N5" s="13">
        <v>16.75</v>
      </c>
      <c r="P5">
        <v>25</v>
      </c>
    </row>
    <row r="6" spans="2:18" x14ac:dyDescent="0.25">
      <c r="B6">
        <v>4</v>
      </c>
      <c r="C6">
        <f>360/LEDCount * (Table1368[[#This Row],[LED '#]]-1)</f>
        <v>54</v>
      </c>
      <c r="D6">
        <f>Table1368[[#This Row],[Angle]]*RadiansInDegree</f>
        <v>0.94247820000000004</v>
      </c>
      <c r="E6" s="2">
        <f>Radius*COS(Table1368[[#This Row],[Radians]])</f>
        <v>9.5515050395668073</v>
      </c>
      <c r="F6" s="2">
        <f>Radius*SIN(Table1368[[#This Row],[Radians]])</f>
        <v>13.14653001666713</v>
      </c>
      <c r="G6" s="6" t="s">
        <v>30</v>
      </c>
      <c r="H6" s="5">
        <f>(Table1368[[#This Row],[Angle]] + LEDRotation)*10</f>
        <v>540</v>
      </c>
      <c r="I6" s="4">
        <f>Xo-Table1368[[#This Row],[y]]</f>
        <v>164.85346998333287</v>
      </c>
      <c r="J6" s="4">
        <f>Yo-Table1368[[#This Row],[x]]</f>
        <v>65.448494960433194</v>
      </c>
      <c r="K6" s="4">
        <f>SQRT(POWER((Table1368[[#This Row],[LED X]]-I7),2) + POWER((Table1368[[#This Row],[LED Y]]-J7),2)) - LEDSize</f>
        <v>4.0841222747872017</v>
      </c>
      <c r="M6" s="12" t="s">
        <v>59</v>
      </c>
      <c r="N6" s="13">
        <f>RingRadius-LEDSize/2 - LEDSizeBuffer</f>
        <v>16.25</v>
      </c>
    </row>
    <row r="7" spans="2:18" x14ac:dyDescent="0.25">
      <c r="B7">
        <v>5</v>
      </c>
      <c r="C7">
        <f>360/LEDCount * (Table1368[[#This Row],[LED '#]]-1)</f>
        <v>72</v>
      </c>
      <c r="D7">
        <f>Table1368[[#This Row],[Angle]]*RadiansInDegree</f>
        <v>1.2566376000000001</v>
      </c>
      <c r="E7" s="2">
        <f>Radius*COS(Table1368[[#This Row],[Radians]])</f>
        <v>5.0215178352628609</v>
      </c>
      <c r="F7" s="2">
        <f>Radius*SIN(Table1368[[#This Row],[Radians]])</f>
        <v>15.454671094207635</v>
      </c>
      <c r="G7" s="6" t="s">
        <v>31</v>
      </c>
      <c r="H7" s="5">
        <f>(Table1368[[#This Row],[Angle]] + LEDRotation)*10</f>
        <v>720</v>
      </c>
      <c r="I7" s="2">
        <f>Xo-Table1368[[#This Row],[y]]</f>
        <v>162.54532890579236</v>
      </c>
      <c r="J7" s="2">
        <f>Yo-Table1368[[#This Row],[x]]</f>
        <v>69.978482164737144</v>
      </c>
      <c r="K7" s="2">
        <f>SQRT(POWER((Table1368[[#This Row],[LED X]]-I8),2) + POWER((Table1368[[#This Row],[LED Y]]-J8),2)) - LEDSize</f>
        <v>4.0841222747871893</v>
      </c>
      <c r="M7" s="12" t="s">
        <v>11</v>
      </c>
      <c r="N7" s="13">
        <v>20</v>
      </c>
    </row>
    <row r="8" spans="2:18" x14ac:dyDescent="0.25">
      <c r="B8">
        <v>6</v>
      </c>
      <c r="C8">
        <f>360/LEDCount * (Table1368[[#This Row],[LED '#]]-1)</f>
        <v>90</v>
      </c>
      <c r="D8">
        <f>Table1368[[#This Row],[Angle]]*RadiansInDegree</f>
        <v>1.5707970000000002</v>
      </c>
      <c r="E8" s="2">
        <f>Radius*COS(Table1368[[#This Row],[Radians]])</f>
        <v>-1.0939582933525315E-5</v>
      </c>
      <c r="F8" s="2">
        <f>Radius*SIN(Table1368[[#This Row],[Radians]])</f>
        <v>16.249999999996319</v>
      </c>
      <c r="G8" s="6" t="s">
        <v>32</v>
      </c>
      <c r="H8" s="5">
        <f>(Table1368[[#This Row],[Angle]] + LEDRotation)*10</f>
        <v>900</v>
      </c>
      <c r="I8" s="2">
        <f>Xo-Table1368[[#This Row],[y]]</f>
        <v>161.75000000000369</v>
      </c>
      <c r="J8" s="2">
        <f>Yo-Table1368[[#This Row],[x]]</f>
        <v>75.000010939582936</v>
      </c>
      <c r="K8" s="2">
        <f>SQRT(POWER((Table1368[[#This Row],[LED X]]-I9),2) + POWER((Table1368[[#This Row],[LED Y]]-J9),2)) - LEDSize</f>
        <v>4.0841222747871875</v>
      </c>
      <c r="M8" s="12" t="s">
        <v>57</v>
      </c>
      <c r="N8" s="13">
        <v>1</v>
      </c>
      <c r="P8">
        <v>5</v>
      </c>
      <c r="Q8">
        <v>1</v>
      </c>
    </row>
    <row r="9" spans="2:18" x14ac:dyDescent="0.25">
      <c r="B9">
        <v>7</v>
      </c>
      <c r="C9">
        <f>360/LEDCount * (Table1368[[#This Row],[LED '#]]-1)</f>
        <v>108</v>
      </c>
      <c r="D9">
        <f>Table1368[[#This Row],[Angle]]*RadiansInDegree</f>
        <v>1.8849564000000001</v>
      </c>
      <c r="E9" s="2">
        <f>Radius*COS(Table1368[[#This Row],[Radians]])</f>
        <v>-5.0215386435852158</v>
      </c>
      <c r="F9" s="2">
        <f>Radius*SIN(Table1368[[#This Row],[Radians]])</f>
        <v>15.454664333170758</v>
      </c>
      <c r="G9" s="6" t="s">
        <v>33</v>
      </c>
      <c r="H9" s="5">
        <f>(Table1368[[#This Row],[Angle]] + LEDRotation)*10</f>
        <v>1080</v>
      </c>
      <c r="I9" s="2">
        <f>Xo-Table1368[[#This Row],[y]]</f>
        <v>162.54533566682923</v>
      </c>
      <c r="J9" s="2">
        <f>Yo-Table1368[[#This Row],[x]]</f>
        <v>80.021538643585217</v>
      </c>
      <c r="K9" s="2">
        <f>SQRT(POWER((Table1368[[#This Row],[LED X]]-I10),2) + POWER((Table1368[[#This Row],[LED Y]]-J10),2)) - LEDSize</f>
        <v>4.0841222747872088</v>
      </c>
      <c r="M9" s="12" t="s">
        <v>70</v>
      </c>
      <c r="N9" s="13">
        <v>0</v>
      </c>
      <c r="P9">
        <v>2</v>
      </c>
      <c r="Q9">
        <v>0</v>
      </c>
    </row>
    <row r="10" spans="2:18" x14ac:dyDescent="0.25">
      <c r="B10">
        <v>8</v>
      </c>
      <c r="C10">
        <f>360/LEDCount * (Table1368[[#This Row],[LED '#]]-1)</f>
        <v>126</v>
      </c>
      <c r="D10">
        <f>Table1368[[#This Row],[Angle]]*RadiansInDegree</f>
        <v>2.1991158000000004</v>
      </c>
      <c r="E10" s="2">
        <f>Radius*COS(Table1368[[#This Row],[Radians]])</f>
        <v>-9.5515227401803529</v>
      </c>
      <c r="F10" s="2">
        <f>Radius*SIN(Table1368[[#This Row],[Radians]])</f>
        <v>13.146517156411335</v>
      </c>
      <c r="G10" s="6" t="s">
        <v>34</v>
      </c>
      <c r="H10" s="5">
        <f>(Table1368[[#This Row],[Angle]] + LEDRotation)*10</f>
        <v>1260</v>
      </c>
      <c r="I10" s="2">
        <f>Xo-Table1368[[#This Row],[y]]</f>
        <v>164.85348284358867</v>
      </c>
      <c r="J10" s="2">
        <f>Yo-Table1368[[#This Row],[x]]</f>
        <v>84.55152274018036</v>
      </c>
      <c r="K10" s="2">
        <f>SQRT(POWER((Table1368[[#This Row],[LED X]]-I11),2) + POWER((Table1368[[#This Row],[LED Y]]-J11),2)) - LEDSize</f>
        <v>4.0841222747871733</v>
      </c>
      <c r="M10" s="12" t="s">
        <v>71</v>
      </c>
      <c r="N10" s="13">
        <v>0</v>
      </c>
      <c r="P10">
        <v>90</v>
      </c>
      <c r="Q10">
        <v>0</v>
      </c>
    </row>
    <row r="11" spans="2:18" x14ac:dyDescent="0.25">
      <c r="B11">
        <v>9</v>
      </c>
      <c r="C11">
        <f>360/LEDCount * (Table1368[[#This Row],[LED '#]]-1)</f>
        <v>144</v>
      </c>
      <c r="D11">
        <f>Table1368[[#This Row],[Angle]]*RadiansInDegree</f>
        <v>2.5132752000000003</v>
      </c>
      <c r="E11" s="2">
        <f>Radius*COS(Table1368[[#This Row],[Radians]])</f>
        <v>-13.146536446786092</v>
      </c>
      <c r="F11" s="2">
        <f>Radius*SIN(Table1368[[#This Row],[Radians]])</f>
        <v>9.551496189253541</v>
      </c>
      <c r="G11" s="6" t="s">
        <v>35</v>
      </c>
      <c r="H11" s="5">
        <f>(Table1368[[#This Row],[Angle]] + LEDRotation)*10</f>
        <v>1440</v>
      </c>
      <c r="I11" s="2">
        <f>Xo-Table1368[[#This Row],[y]]</f>
        <v>168.44850381074644</v>
      </c>
      <c r="J11" s="2">
        <f>Yo-Table1368[[#This Row],[x]]</f>
        <v>88.146536446786087</v>
      </c>
      <c r="K11" s="2">
        <f>SQRT(POWER((Table1368[[#This Row],[LED X]]-I12),2) + POWER((Table1368[[#This Row],[LED Y]]-J12),2)) - LEDSize</f>
        <v>4.084122274787223</v>
      </c>
      <c r="M11" s="12" t="s">
        <v>60</v>
      </c>
      <c r="N11" s="14">
        <v>178</v>
      </c>
    </row>
    <row r="12" spans="2:18" x14ac:dyDescent="0.25">
      <c r="B12">
        <v>10</v>
      </c>
      <c r="C12">
        <f>360/LEDCount * (Table1368[[#This Row],[LED '#]]-1)</f>
        <v>162</v>
      </c>
      <c r="D12">
        <f>Table1368[[#This Row],[Angle]]*RadiansInDegree</f>
        <v>2.8274346000000001</v>
      </c>
      <c r="E12" s="2">
        <f>Radius*COS(Table1368[[#This Row],[Radians]])</f>
        <v>-15.454674474715567</v>
      </c>
      <c r="F12" s="2">
        <f>Radius*SIN(Table1368[[#This Row],[Radians]])</f>
        <v>5.0215074310982715</v>
      </c>
      <c r="G12" s="6" t="s">
        <v>36</v>
      </c>
      <c r="H12" s="5">
        <f>(Table1368[[#This Row],[Angle]] + LEDRotation)*10</f>
        <v>1620</v>
      </c>
      <c r="I12" s="2">
        <f>Xo-Table1368[[#This Row],[y]]</f>
        <v>172.97849256890174</v>
      </c>
      <c r="J12" s="2">
        <f>Yo-Table1368[[#This Row],[x]]</f>
        <v>90.454674474715574</v>
      </c>
      <c r="K12" s="2">
        <f>SQRT(POWER((Table1368[[#This Row],[LED X]]-I13),2) + POWER((Table1368[[#This Row],[LED Y]]-J13),2)) - LEDSize</f>
        <v>4.0841222747871893</v>
      </c>
      <c r="M12" s="15" t="s">
        <v>61</v>
      </c>
      <c r="N12" s="16">
        <v>75</v>
      </c>
    </row>
    <row r="13" spans="2:18" x14ac:dyDescent="0.25">
      <c r="B13">
        <v>11</v>
      </c>
      <c r="C13">
        <f>360/LEDCount * (Table1368[[#This Row],[LED '#]]-1)</f>
        <v>180</v>
      </c>
      <c r="D13">
        <f>Table1368[[#This Row],[Angle]]*RadiansInDegree</f>
        <v>3.1415940000000004</v>
      </c>
      <c r="E13" s="2">
        <f>Radius*COS(Table1368[[#This Row],[Radians]])</f>
        <v>-16.24999999998527</v>
      </c>
      <c r="F13" s="2">
        <f>Radius*SIN(Table1368[[#This Row],[Radians]])</f>
        <v>-2.1879165867045672E-5</v>
      </c>
      <c r="G13" s="6" t="s">
        <v>37</v>
      </c>
      <c r="H13" s="5">
        <f>(Table1368[[#This Row],[Angle]] + LEDRotation)*10</f>
        <v>1800</v>
      </c>
      <c r="I13" s="2">
        <f>Xo-Table1368[[#This Row],[y]]</f>
        <v>178.00002187916587</v>
      </c>
      <c r="J13" s="2">
        <f>Yo-Table1368[[#This Row],[x]]</f>
        <v>91.249999999985278</v>
      </c>
      <c r="K13" s="2">
        <f>SQRT(POWER((Table1368[[#This Row],[LED X]]-I14),2) + POWER((Table1368[[#This Row],[LED Y]]-J14),2)) - LEDSize</f>
        <v>4.0841222747871866</v>
      </c>
    </row>
    <row r="14" spans="2:18" x14ac:dyDescent="0.25">
      <c r="B14">
        <v>12</v>
      </c>
      <c r="C14">
        <f>360/LEDCount * (Table1368[[#This Row],[LED '#]]-1)</f>
        <v>198</v>
      </c>
      <c r="D14">
        <f>Table1368[[#This Row],[Angle]]*RadiansInDegree</f>
        <v>3.4557534000000003</v>
      </c>
      <c r="E14" s="2">
        <f>Radius*COS(Table1368[[#This Row],[Radians]])</f>
        <v>-15.454660952641813</v>
      </c>
      <c r="F14" s="2">
        <f>Radius*SIN(Table1368[[#This Row],[Radians]])</f>
        <v>-5.0215490477429814</v>
      </c>
      <c r="G14" s="6" t="s">
        <v>38</v>
      </c>
      <c r="H14" s="5">
        <f>(Table1368[[#This Row],[Angle]] + LEDRotation)*10</f>
        <v>1980</v>
      </c>
      <c r="I14" s="2">
        <f>Xo-Table1368[[#This Row],[y]]</f>
        <v>183.02154904774298</v>
      </c>
      <c r="J14" s="2">
        <f>Yo-Table1368[[#This Row],[x]]</f>
        <v>90.454660952641817</v>
      </c>
      <c r="K14" s="2">
        <f>SQRT(POWER((Table1368[[#This Row],[LED X]]-I15),2) + POWER((Table1368[[#This Row],[LED Y]]-J15),2)) - LEDSize</f>
        <v>4.0841222747872044</v>
      </c>
    </row>
    <row r="15" spans="2:18" x14ac:dyDescent="0.25">
      <c r="B15">
        <v>13</v>
      </c>
      <c r="C15">
        <f>360/LEDCount * (Table1368[[#This Row],[LED '#]]-1)</f>
        <v>216</v>
      </c>
      <c r="D15">
        <f>Table1368[[#This Row],[Angle]]*RadiansInDegree</f>
        <v>3.7699128000000002</v>
      </c>
      <c r="E15" s="2">
        <f>Radius*COS(Table1368[[#This Row],[Radians]])</f>
        <v>-13.146510726274505</v>
      </c>
      <c r="F15" s="2">
        <f>Radius*SIN(Table1368[[#This Row],[Radians]])</f>
        <v>-9.5515315904806268</v>
      </c>
      <c r="G15" s="6" t="s">
        <v>39</v>
      </c>
      <c r="H15" s="5">
        <f>(Table1368[[#This Row],[Angle]] + LEDRotation)*10</f>
        <v>2160</v>
      </c>
      <c r="I15" s="2">
        <f>Xo-Table1368[[#This Row],[y]]</f>
        <v>187.55153159048064</v>
      </c>
      <c r="J15" s="2">
        <f>Yo-Table1368[[#This Row],[x]]</f>
        <v>88.146510726274499</v>
      </c>
      <c r="K15" s="2">
        <f>SQRT(POWER((Table1368[[#This Row],[LED X]]-I16),2) + POWER((Table1368[[#This Row],[LED Y]]-J16),2)) - LEDSize</f>
        <v>4.084122274787199</v>
      </c>
    </row>
    <row r="16" spans="2:18" x14ac:dyDescent="0.25">
      <c r="B16">
        <v>14</v>
      </c>
      <c r="C16">
        <f>360/LEDCount * (Table1368[[#This Row],[LED '#]]-1)</f>
        <v>234</v>
      </c>
      <c r="D16">
        <f>Table1368[[#This Row],[Angle]]*RadiansInDegree</f>
        <v>4.0840722000000005</v>
      </c>
      <c r="E16" s="2">
        <f>Radius*COS(Table1368[[#This Row],[Radians]])</f>
        <v>-9.5514873389359458</v>
      </c>
      <c r="F16" s="2">
        <f>Radius*SIN(Table1368[[#This Row],[Radians]])</f>
        <v>-13.146542876899096</v>
      </c>
      <c r="G16" s="6" t="s">
        <v>40</v>
      </c>
      <c r="H16" s="5">
        <f>(Table1368[[#This Row],[Angle]] + LEDRotation)*10</f>
        <v>2340</v>
      </c>
      <c r="I16" s="2">
        <f>Xo-Table1368[[#This Row],[y]]</f>
        <v>191.1465428768991</v>
      </c>
      <c r="J16" s="2">
        <f>Yo-Table1368[[#This Row],[x]]</f>
        <v>84.551487338935942</v>
      </c>
      <c r="K16" s="2">
        <f>SQRT(POWER((Table1368[[#This Row],[LED X]]-I17),2) + POWER((Table1368[[#This Row],[LED Y]]-J17),2)) - LEDSize</f>
        <v>4.084122274787183</v>
      </c>
    </row>
    <row r="17" spans="2:11" x14ac:dyDescent="0.25">
      <c r="B17">
        <v>15</v>
      </c>
      <c r="C17">
        <f>360/LEDCount * (Table1368[[#This Row],[LED '#]]-1)</f>
        <v>252</v>
      </c>
      <c r="D17">
        <f>Table1368[[#This Row],[Angle]]*RadiansInDegree</f>
        <v>4.3982316000000008</v>
      </c>
      <c r="E17" s="2">
        <f>Radius*COS(Table1368[[#This Row],[Radians]])</f>
        <v>-5.021497026931395</v>
      </c>
      <c r="F17" s="2">
        <f>Radius*SIN(Table1368[[#This Row],[Radians]])</f>
        <v>-15.454677855216497</v>
      </c>
      <c r="G17" s="6" t="s">
        <v>41</v>
      </c>
      <c r="H17" s="5">
        <f>(Table1368[[#This Row],[Angle]] + LEDRotation)*10</f>
        <v>2520</v>
      </c>
      <c r="I17" s="2">
        <f>Xo-Table1368[[#This Row],[y]]</f>
        <v>193.45467785521649</v>
      </c>
      <c r="J17" s="2">
        <f>Yo-Table1368[[#This Row],[x]]</f>
        <v>80.021497026931399</v>
      </c>
      <c r="K17" s="2">
        <f>SQRT(POWER((Table1368[[#This Row],[LED X]]-I18),2) + POWER((Table1368[[#This Row],[LED Y]]-J18),2)) - LEDSize</f>
        <v>4.0841222747871893</v>
      </c>
    </row>
    <row r="18" spans="2:11" x14ac:dyDescent="0.25">
      <c r="B18">
        <v>16</v>
      </c>
      <c r="C18">
        <f>360/LEDCount * (Table1368[[#This Row],[LED '#]]-1)</f>
        <v>270</v>
      </c>
      <c r="D18">
        <f>Table1368[[#This Row],[Angle]]*RadiansInDegree</f>
        <v>4.7123910000000002</v>
      </c>
      <c r="E18" s="2">
        <f>Radius*COS(Table1368[[#This Row],[Radians]])</f>
        <v>3.281874879333966E-5</v>
      </c>
      <c r="F18" s="2">
        <f>Radius*SIN(Table1368[[#This Row],[Radians]])</f>
        <v>-16.24999999996686</v>
      </c>
      <c r="G18" s="6" t="s">
        <v>42</v>
      </c>
      <c r="H18" s="5">
        <f>(Table1368[[#This Row],[Angle]] + LEDRotation)*10</f>
        <v>2700</v>
      </c>
      <c r="I18" s="2">
        <f>Xo-Table1368[[#This Row],[y]]</f>
        <v>194.24999999996686</v>
      </c>
      <c r="J18" s="2">
        <f>Yo-Table1368[[#This Row],[x]]</f>
        <v>74.999967181251208</v>
      </c>
      <c r="K18" s="2">
        <f>SQRT(POWER((Table1368[[#This Row],[LED X]]-I19),2) + POWER((Table1368[[#This Row],[LED Y]]-J19),2)) - LEDSize</f>
        <v>4.0841222747871964</v>
      </c>
    </row>
    <row r="19" spans="2:11" x14ac:dyDescent="0.25">
      <c r="B19">
        <v>17</v>
      </c>
      <c r="C19">
        <f>360/LEDCount * (Table1368[[#This Row],[LED '#]]-1)</f>
        <v>288</v>
      </c>
      <c r="D19">
        <f>Table1368[[#This Row],[Angle]]*RadiansInDegree</f>
        <v>5.0265504000000005</v>
      </c>
      <c r="E19" s="2">
        <f>Radius*COS(Table1368[[#This Row],[Radians]])</f>
        <v>5.0215594518984714</v>
      </c>
      <c r="F19" s="2">
        <f>Radius*SIN(Table1368[[#This Row],[Radians]])</f>
        <v>-15.454657572105864</v>
      </c>
      <c r="G19" s="6" t="s">
        <v>43</v>
      </c>
      <c r="H19" s="5">
        <f>(Table1368[[#This Row],[Angle]] + LEDRotation)*10</f>
        <v>2880</v>
      </c>
      <c r="I19" s="2">
        <f>Xo-Table1368[[#This Row],[y]]</f>
        <v>193.45465757210587</v>
      </c>
      <c r="J19" s="2">
        <f>Yo-Table1368[[#This Row],[x]]</f>
        <v>69.978440548101531</v>
      </c>
      <c r="K19" s="2">
        <f>SQRT(POWER((Table1368[[#This Row],[LED X]]-I20),2) + POWER((Table1368[[#This Row],[LED Y]]-J20),2)) - LEDSize</f>
        <v>4.0841222747872168</v>
      </c>
    </row>
    <row r="20" spans="2:11" x14ac:dyDescent="0.25">
      <c r="B20">
        <v>18</v>
      </c>
      <c r="C20">
        <f>360/LEDCount * (Table1368[[#This Row],[LED '#]]-1)</f>
        <v>306</v>
      </c>
      <c r="D20">
        <f>Table1368[[#This Row],[Angle]]*RadiansInDegree</f>
        <v>5.3407098000000008</v>
      </c>
      <c r="E20" s="2">
        <f>Radius*COS(Table1368[[#This Row],[Radians]])</f>
        <v>9.5515404407765843</v>
      </c>
      <c r="F20" s="2">
        <f>Radius*SIN(Table1368[[#This Row],[Radians]])</f>
        <v>-13.146504296131708</v>
      </c>
      <c r="G20" s="6" t="s">
        <v>44</v>
      </c>
      <c r="H20" s="5">
        <f>(Table1368[[#This Row],[Angle]] + LEDRotation)*10</f>
        <v>3060</v>
      </c>
      <c r="I20" s="2">
        <f>Xo-Table1368[[#This Row],[y]]</f>
        <v>191.1465042961317</v>
      </c>
      <c r="J20" s="2">
        <f>Yo-Table1368[[#This Row],[x]]</f>
        <v>65.448459559223409</v>
      </c>
      <c r="K20" s="2">
        <f>SQRT(POWER((Table1368[[#This Row],[LED X]]-I21),2) + POWER((Table1368[[#This Row],[LED Y]]-J21),2)) - LEDSize</f>
        <v>4.0841222747871635</v>
      </c>
    </row>
    <row r="21" spans="2:11" x14ac:dyDescent="0.25">
      <c r="B21">
        <v>19</v>
      </c>
      <c r="C21">
        <f>360/LEDCount * (Table1368[[#This Row],[LED '#]]-1)</f>
        <v>324</v>
      </c>
      <c r="D21">
        <f>Table1368[[#This Row],[Angle]]*RadiansInDegree</f>
        <v>5.6548692000000003</v>
      </c>
      <c r="E21" s="2">
        <f>Radius*COS(Table1368[[#This Row],[Radians]])</f>
        <v>13.146549307006135</v>
      </c>
      <c r="F21" s="2">
        <f>Radius*SIN(Table1368[[#This Row],[Radians]])</f>
        <v>-9.5514784886140287</v>
      </c>
      <c r="G21" s="6" t="s">
        <v>45</v>
      </c>
      <c r="H21" s="5">
        <f>(Table1368[[#This Row],[Angle]] + LEDRotation)*10</f>
        <v>3240</v>
      </c>
      <c r="I21" s="2">
        <f>Xo-Table1368[[#This Row],[y]]</f>
        <v>187.55147848861404</v>
      </c>
      <c r="J21" s="2">
        <f>Yo-Table1368[[#This Row],[x]]</f>
        <v>61.853450692993867</v>
      </c>
      <c r="K21" s="2">
        <f>SQRT(POWER((Table1368[[#This Row],[LED X]]-I22),2) + POWER((Table1368[[#This Row],[LED Y]]-J22),2)) - LEDSize</f>
        <v>4.0841222747871981</v>
      </c>
    </row>
    <row r="22" spans="2:11" x14ac:dyDescent="0.25">
      <c r="B22">
        <v>20</v>
      </c>
      <c r="C22">
        <f>360/LEDCount * (Table1368[[#This Row],[LED '#]]-1)</f>
        <v>342</v>
      </c>
      <c r="D22">
        <f>Table1368[[#This Row],[Angle]]*RadiansInDegree</f>
        <v>5.9690286000000006</v>
      </c>
      <c r="E22" s="2">
        <f>Radius*COS(Table1368[[#This Row],[Radians]])</f>
        <v>15.454681235710417</v>
      </c>
      <c r="F22" s="2">
        <f>Radius*SIN(Table1368[[#This Row],[Radians]])</f>
        <v>-5.0214866227622581</v>
      </c>
      <c r="G22" s="6" t="s">
        <v>46</v>
      </c>
      <c r="H22" s="5">
        <f>(Table1368[[#This Row],[Angle]] + LEDRotation)*10</f>
        <v>3420</v>
      </c>
      <c r="I22" s="2">
        <f>Xo-Table1368[[#This Row],[y]]</f>
        <v>183.02148662276227</v>
      </c>
      <c r="J22" s="2">
        <f>Yo-Table1368[[#This Row],[x]]</f>
        <v>59.545318764289583</v>
      </c>
      <c r="K22" s="2">
        <f>SQRT(POWER((Table1368[[#This Row],[LED X]]-I23),2) + POWER((Table1368[[#This Row],[LED Y]]-J23),2)) - LEDSize</f>
        <v>191.46430721655068</v>
      </c>
    </row>
    <row r="23" spans="2:11" x14ac:dyDescent="0.25">
      <c r="E23" s="2"/>
      <c r="F23" s="2"/>
      <c r="G23" s="6"/>
      <c r="H23" s="5"/>
      <c r="I23" s="2"/>
      <c r="J23" s="2"/>
      <c r="K23" s="2"/>
    </row>
    <row r="24" spans="2:11" x14ac:dyDescent="0.25">
      <c r="E24" s="2"/>
      <c r="F24" s="2"/>
      <c r="G24" s="6"/>
      <c r="H24" s="5"/>
      <c r="I24" s="2"/>
      <c r="J24" s="2"/>
      <c r="K24" s="2"/>
    </row>
    <row r="25" spans="2:11" x14ac:dyDescent="0.25">
      <c r="E25" s="2"/>
      <c r="F25" s="2"/>
      <c r="G25" s="6"/>
      <c r="H25" s="5"/>
      <c r="I25" s="2"/>
      <c r="J25" s="2"/>
      <c r="K25" s="2"/>
    </row>
    <row r="26" spans="2:11" x14ac:dyDescent="0.25">
      <c r="E26" s="2"/>
      <c r="F26" s="2"/>
      <c r="G26" s="6"/>
      <c r="H26" s="5"/>
      <c r="I26" s="2"/>
      <c r="J26" s="2"/>
      <c r="K26" s="2"/>
    </row>
    <row r="27" spans="2:11" x14ac:dyDescent="0.25">
      <c r="E27" s="2"/>
      <c r="F27" s="2"/>
      <c r="G27" s="6"/>
      <c r="H27" s="5"/>
      <c r="I27" s="2"/>
      <c r="J27" s="2"/>
      <c r="K27" s="2"/>
    </row>
    <row r="28" spans="2:11" x14ac:dyDescent="0.25">
      <c r="E28" s="2"/>
      <c r="F28" s="2"/>
      <c r="G28" s="6"/>
      <c r="H28" s="5"/>
      <c r="I28" s="2"/>
      <c r="J28" s="2"/>
      <c r="K28" s="2"/>
    </row>
    <row r="29" spans="2:11" x14ac:dyDescent="0.25">
      <c r="E29" s="2"/>
      <c r="F29" s="2"/>
      <c r="G29" s="6"/>
      <c r="H29" s="5"/>
      <c r="I29" s="2"/>
      <c r="J29" s="2"/>
      <c r="K29" s="2"/>
    </row>
    <row r="30" spans="2:11" x14ac:dyDescent="0.25">
      <c r="E30" s="2"/>
      <c r="F30" s="2"/>
      <c r="G30" s="6"/>
      <c r="H30" s="5"/>
      <c r="I30" s="2"/>
      <c r="J30" s="2"/>
      <c r="K30" s="2"/>
    </row>
    <row r="31" spans="2:11" x14ac:dyDescent="0.25">
      <c r="E31" s="2"/>
      <c r="F31" s="2"/>
      <c r="G31" s="6"/>
      <c r="H31" s="5"/>
      <c r="I31" s="2"/>
      <c r="J31" s="2"/>
      <c r="K31" s="2"/>
    </row>
    <row r="32" spans="2:11" x14ac:dyDescent="0.25">
      <c r="E32" s="2"/>
      <c r="F32" s="2"/>
      <c r="G32" s="6"/>
      <c r="H32" s="5"/>
      <c r="I32" s="2"/>
      <c r="J32" s="2"/>
      <c r="K32" s="2"/>
    </row>
  </sheetData>
  <mergeCells count="1">
    <mergeCell ref="M2:N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tabSelected="1" workbookViewId="0">
      <selection activeCell="F9" sqref="F9"/>
    </sheetView>
  </sheetViews>
  <sheetFormatPr defaultRowHeight="15" x14ac:dyDescent="0.25"/>
  <cols>
    <col min="1" max="1" width="3.140625" customWidth="1"/>
    <col min="2" max="2" width="7.85546875" bestFit="1" customWidth="1"/>
    <col min="3" max="3" width="8.42578125" bestFit="1" customWidth="1"/>
    <col min="4" max="4" width="10.140625" bestFit="1" customWidth="1"/>
    <col min="5" max="6" width="6.28515625" bestFit="1" customWidth="1"/>
    <col min="7" max="7" width="8.5703125" bestFit="1" customWidth="1"/>
    <col min="8" max="8" width="9" bestFit="1" customWidth="1"/>
    <col min="9" max="11" width="6.5703125" bestFit="1" customWidth="1"/>
    <col min="12" max="12" width="46" bestFit="1" customWidth="1"/>
    <col min="13" max="13" width="3.7109375" customWidth="1"/>
    <col min="14" max="14" width="17.42578125" bestFit="1" customWidth="1"/>
    <col min="15" max="15" width="10.7109375" bestFit="1" customWidth="1"/>
    <col min="16" max="16" width="5.5703125" bestFit="1" customWidth="1"/>
    <col min="17" max="17" width="5" bestFit="1" customWidth="1"/>
    <col min="18" max="18" width="4.140625" bestFit="1" customWidth="1"/>
    <col min="19" max="19" width="6.5703125" bestFit="1" customWidth="1"/>
    <col min="20" max="20" width="23.140625" customWidth="1"/>
  </cols>
  <sheetData>
    <row r="2" spans="2:19" x14ac:dyDescent="0.2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7" t="s">
        <v>83</v>
      </c>
      <c r="H2" s="7" t="s">
        <v>84</v>
      </c>
      <c r="I2" s="7" t="s">
        <v>82</v>
      </c>
      <c r="J2" s="7" t="s">
        <v>81</v>
      </c>
      <c r="K2" s="17" t="s">
        <v>80</v>
      </c>
      <c r="L2" s="17" t="s">
        <v>79</v>
      </c>
      <c r="N2" s="18" t="s">
        <v>67</v>
      </c>
      <c r="O2" s="19"/>
    </row>
    <row r="3" spans="2:19" x14ac:dyDescent="0.25">
      <c r="B3">
        <v>1</v>
      </c>
      <c r="C3">
        <f>360/LEDCount * (Table13681012[[#This Row],[LED '#]]-1)</f>
        <v>0</v>
      </c>
      <c r="D3">
        <f>Table13681012[[#This Row],[Angle]]*RadiansInDegree</f>
        <v>0</v>
      </c>
      <c r="E3" s="2">
        <f>Radius*COS(Table13681012[[#This Row],[Radians]])</f>
        <v>34.9</v>
      </c>
      <c r="F3" s="2">
        <f>Radius*SIN(Table13681012[[#This Row],[Radians]])</f>
        <v>0</v>
      </c>
      <c r="G3" s="6" t="s">
        <v>115</v>
      </c>
      <c r="H3" s="5">
        <f>(Table13681012[[#This Row],[Angle]] + LEDRotation)*10</f>
        <v>2700</v>
      </c>
      <c r="I3" s="4">
        <f>Xo-Table13681012[[#This Row],[y]]</f>
        <v>178</v>
      </c>
      <c r="J3" s="4">
        <f>Yo-Table13681012[[#This Row],[x]]</f>
        <v>40.1</v>
      </c>
      <c r="K3" s="4">
        <f>SQRT(POWER((Table13681012[[#This Row],[X2]]-I4),2) + POWER((Table13681012[[#This Row],[Y2]]-J4),2)) - LEDSize</f>
        <v>2.6530513099347592</v>
      </c>
      <c r="L3" s="4" t="str">
        <f>CONCATENATE("'",Table13681012[Name],"':[",Table13681012[Orient],", ",Table13681012[X2],", ",Table13681012[Y2],"], ")</f>
        <v xml:space="preserve">'R1':[2700, 178, 40.1], </v>
      </c>
      <c r="N3" s="8" t="s">
        <v>68</v>
      </c>
      <c r="O3" s="9" t="s">
        <v>69</v>
      </c>
    </row>
    <row r="4" spans="2:19" x14ac:dyDescent="0.25">
      <c r="B4">
        <v>2</v>
      </c>
      <c r="C4">
        <v>6</v>
      </c>
      <c r="D4">
        <f>Table13681012[[#This Row],[Angle]]*RadiansInDegree</f>
        <v>0.1047198</v>
      </c>
      <c r="E4" s="2">
        <f>Radius*COS(Table13681012[[#This Row],[Radians]])</f>
        <v>34.708813984627277</v>
      </c>
      <c r="F4" s="2">
        <f>Radius*SIN(Table13681012[[#This Row],[Radians]])</f>
        <v>3.64804492578449</v>
      </c>
      <c r="G4" s="23" t="s">
        <v>86</v>
      </c>
      <c r="H4" s="5">
        <f>(Table13681012[[#This Row],[Angle]] + LEDRotation)*10</f>
        <v>2760</v>
      </c>
      <c r="I4" s="4">
        <f>Xo-Table13681012[[#This Row],[y]]</f>
        <v>174.35195507421551</v>
      </c>
      <c r="J4" s="4">
        <f>Yo-Table13681012[[#This Row],[x]]</f>
        <v>40.291186015372723</v>
      </c>
      <c r="K4" s="4">
        <f>SQRT(POWER((Table13681012[[#This Row],[X2]]-I5),2) + POWER((Table13681012[[#This Row],[Y2]]-J5),2)) - LEDSize</f>
        <v>6.2960898515689729</v>
      </c>
      <c r="L4" s="4" t="str">
        <f>CONCATENATE("'",Table13681012[Name],"':[",Table13681012[Orient],", ",Table13681012[X2],", ",Table13681012[Y2],"], ")</f>
        <v xml:space="preserve">'C30':[2760, 174.351955074216, 40.2911860153727], </v>
      </c>
      <c r="N4" s="10" t="s">
        <v>10</v>
      </c>
      <c r="O4" s="11">
        <v>1.7453300000000001E-2</v>
      </c>
      <c r="R4" s="2"/>
      <c r="S4" s="2"/>
    </row>
    <row r="5" spans="2:19" x14ac:dyDescent="0.25">
      <c r="B5">
        <v>3</v>
      </c>
      <c r="C5">
        <v>18</v>
      </c>
      <c r="D5">
        <f>Table13681012[[#This Row],[Angle]]*RadiansInDegree</f>
        <v>0.31415940000000003</v>
      </c>
      <c r="E5" s="2">
        <f>Radius*COS(Table13681012[[#This Row],[Radians]])</f>
        <v>33.191870966638469</v>
      </c>
      <c r="F5" s="2">
        <f>Radius*SIN(Table13681012[[#This Row],[Radians]])</f>
        <v>10.784697572673149</v>
      </c>
      <c r="G5" s="23" t="s">
        <v>87</v>
      </c>
      <c r="H5" s="5">
        <f>(Table13681012[[#This Row],[Angle]] + LEDRotation)*10</f>
        <v>2880</v>
      </c>
      <c r="I5" s="4">
        <f>Xo-Table13681012[[#This Row],[y]]</f>
        <v>167.21530242732686</v>
      </c>
      <c r="J5" s="4">
        <f>Yo-Table13681012[[#This Row],[x]]</f>
        <v>41.808129033361531</v>
      </c>
      <c r="K5" s="4">
        <f>SQRT(POWER((Table13681012[[#This Row],[X2]]-I6),2) + POWER((Table13681012[[#This Row],[Y2]]-J6),2)) - LEDSize</f>
        <v>6.2960898515689863</v>
      </c>
      <c r="L5" s="4" t="str">
        <f>CONCATENATE("'",Table13681012[Name],"':[",Table13681012[Orient],", ",Table13681012[X2],", ",Table13681012[Y2],"], ")</f>
        <v xml:space="preserve">'C29':[2880, 167.215302427327, 41.8081290333615], </v>
      </c>
      <c r="N5" s="12" t="s">
        <v>58</v>
      </c>
      <c r="O5" s="13">
        <v>35.4</v>
      </c>
    </row>
    <row r="6" spans="2:19" x14ac:dyDescent="0.25">
      <c r="B6">
        <v>4</v>
      </c>
      <c r="C6">
        <v>30</v>
      </c>
      <c r="D6">
        <f>Table13681012[[#This Row],[Angle]]*RadiansInDegree</f>
        <v>0.52359900000000004</v>
      </c>
      <c r="E6" s="2">
        <f>Radius*COS(Table13681012[[#This Row],[Radians]])</f>
        <v>30.224282676266458</v>
      </c>
      <c r="F6" s="2">
        <f>Radius*SIN(Table13681012[[#This Row],[Radians]])</f>
        <v>17.450006782380889</v>
      </c>
      <c r="G6" s="23" t="s">
        <v>88</v>
      </c>
      <c r="H6" s="5">
        <f>(Table13681012[[#This Row],[Angle]] + LEDRotation)*10</f>
        <v>3000</v>
      </c>
      <c r="I6" s="4">
        <f>Xo-Table13681012[[#This Row],[y]]</f>
        <v>160.54999321761912</v>
      </c>
      <c r="J6" s="4">
        <f>Yo-Table13681012[[#This Row],[x]]</f>
        <v>44.775717323733545</v>
      </c>
      <c r="K6" s="4">
        <f>SQRT(POWER((Table13681012[[#This Row],[X2]]-I7),2) + POWER((Table13681012[[#This Row],[Y2]]-J7),2)) - LEDSize</f>
        <v>6.2960898515689756</v>
      </c>
      <c r="L6" s="4" t="str">
        <f>CONCATENATE("'",Table13681012[Name],"':[",Table13681012[Orient],", ",Table13681012[X2],", ",Table13681012[Y2],"], ")</f>
        <v xml:space="preserve">'C28':[3000, 160.549993217619, 44.7757173237335], </v>
      </c>
      <c r="N6" s="12" t="s">
        <v>59</v>
      </c>
      <c r="O6" s="13">
        <f>RingRadius-LEDSize/2 - LEDSizeBuffer</f>
        <v>34.9</v>
      </c>
    </row>
    <row r="7" spans="2:19" x14ac:dyDescent="0.25">
      <c r="B7">
        <v>5</v>
      </c>
      <c r="C7">
        <v>42</v>
      </c>
      <c r="D7">
        <f>Table13681012[[#This Row],[Angle]]*RadiansInDegree</f>
        <v>0.7330386000000001</v>
      </c>
      <c r="E7" s="2">
        <f>Radius*COS(Table13681012[[#This Row],[Radians]])</f>
        <v>25.93574707263307</v>
      </c>
      <c r="F7" s="2">
        <f>Radius*SIN(Table13681012[[#This Row],[Radians]])</f>
        <v>23.352666309961375</v>
      </c>
      <c r="G7" s="23" t="s">
        <v>89</v>
      </c>
      <c r="H7" s="5">
        <f>(Table13681012[[#This Row],[Angle]] + LEDRotation)*10</f>
        <v>3120</v>
      </c>
      <c r="I7" s="2">
        <f>Xo-Table13681012[[#This Row],[y]]</f>
        <v>154.64733369003864</v>
      </c>
      <c r="J7" s="2">
        <f>Yo-Table13681012[[#This Row],[x]]</f>
        <v>49.06425292736693</v>
      </c>
      <c r="K7" s="2">
        <f>SQRT(POWER((Table13681012[[#This Row],[X2]]-I8),2) + POWER((Table13681012[[#This Row],[Y2]]-J8),2)) - LEDSize</f>
        <v>6.2960898515689872</v>
      </c>
      <c r="L7" s="2" t="str">
        <f>CONCATENATE("'",Table13681012[Name],"':[",Table13681012[Orient],", ",Table13681012[X2],", ",Table13681012[Y2],"], ")</f>
        <v xml:space="preserve">'C27':[3120, 154.647333690039, 49.0642529273669], </v>
      </c>
      <c r="N7" s="12" t="s">
        <v>11</v>
      </c>
      <c r="O7" s="13">
        <v>30</v>
      </c>
    </row>
    <row r="8" spans="2:19" x14ac:dyDescent="0.25">
      <c r="B8">
        <v>6</v>
      </c>
      <c r="C8">
        <v>54</v>
      </c>
      <c r="D8">
        <f>Table13681012[[#This Row],[Angle]]*RadiansInDegree</f>
        <v>0.94247820000000004</v>
      </c>
      <c r="E8" s="2">
        <f>Radius*COS(Table13681012[[#This Row],[Radians]])</f>
        <v>20.51369390036194</v>
      </c>
      <c r="F8" s="2">
        <f>Radius*SIN(Table13681012[[#This Row],[Radians]])</f>
        <v>28.234701389642023</v>
      </c>
      <c r="G8" s="23" t="s">
        <v>90</v>
      </c>
      <c r="H8" s="5">
        <f>(Table13681012[[#This Row],[Angle]] + LEDRotation)*10</f>
        <v>3240</v>
      </c>
      <c r="I8" s="2">
        <f>Xo-Table13681012[[#This Row],[y]]</f>
        <v>149.76529861035797</v>
      </c>
      <c r="J8" s="2">
        <f>Yo-Table13681012[[#This Row],[x]]</f>
        <v>54.486306099638057</v>
      </c>
      <c r="K8" s="2">
        <f>SQRT(POWER((Table13681012[[#This Row],[X2]]-I9),2) + POWER((Table13681012[[#This Row],[Y2]]-J9),2)) - LEDSize</f>
        <v>6.2960898515689792</v>
      </c>
      <c r="L8" s="2" t="str">
        <f>CONCATENATE("'",Table13681012[Name],"':[",Table13681012[Orient],", ",Table13681012[X2],", ",Table13681012[Y2],"], ")</f>
        <v xml:space="preserve">'C26':[3240, 149.765298610358, 54.4863060996381], </v>
      </c>
      <c r="N8" s="12" t="s">
        <v>57</v>
      </c>
      <c r="O8" s="13">
        <v>1</v>
      </c>
    </row>
    <row r="9" spans="2:19" x14ac:dyDescent="0.25">
      <c r="B9">
        <v>7</v>
      </c>
      <c r="C9">
        <v>66</v>
      </c>
      <c r="D9">
        <f>Table13681012[[#This Row],[Angle]]*RadiansInDegree</f>
        <v>1.1519178000000001</v>
      </c>
      <c r="E9" s="2">
        <f>Radius*COS(Table13681012[[#This Row],[Radians]])</f>
        <v>14.195093103355031</v>
      </c>
      <c r="F9" s="2">
        <f>Radius*SIN(Table13681012[[#This Row],[Radians]])</f>
        <v>31.882743479617343</v>
      </c>
      <c r="G9" s="23" t="s">
        <v>91</v>
      </c>
      <c r="H9" s="5">
        <f>(Table13681012[[#This Row],[Angle]] + LEDRotation)*10</f>
        <v>3360</v>
      </c>
      <c r="I9" s="2">
        <f>Xo-Table13681012[[#This Row],[y]]</f>
        <v>146.11725652038265</v>
      </c>
      <c r="J9" s="2">
        <f>Yo-Table13681012[[#This Row],[x]]</f>
        <v>60.804906896644965</v>
      </c>
      <c r="K9" s="2">
        <f>SQRT(POWER((Table13681012[[#This Row],[X2]]-I10),2) + POWER((Table13681012[[#This Row],[Y2]]-J10),2)) - LEDSize</f>
        <v>6.2960898515689845</v>
      </c>
      <c r="L9" s="2" t="str">
        <f>CONCATENATE("'",Table13681012[Name],"':[",Table13681012[Orient],", ",Table13681012[X2],", ",Table13681012[Y2],"], ")</f>
        <v xml:space="preserve">'C25':[3360, 146.117256520383, 60.804906896645], </v>
      </c>
      <c r="N9" s="12" t="s">
        <v>70</v>
      </c>
      <c r="O9" s="13">
        <v>0</v>
      </c>
    </row>
    <row r="10" spans="2:19" x14ac:dyDescent="0.25">
      <c r="B10">
        <v>8</v>
      </c>
      <c r="C10">
        <v>78</v>
      </c>
      <c r="D10">
        <f>Table13681012[[#This Row],[Angle]]*RadiansInDegree</f>
        <v>1.3613574000000002</v>
      </c>
      <c r="E10" s="2">
        <f>Radius*COS(Table13681012[[#This Row],[Radians]])</f>
        <v>7.2560980922913503</v>
      </c>
      <c r="F10" s="2">
        <f>Radius*SIN(Table13681012[[#This Row],[Radians]])</f>
        <v>34.137355499145592</v>
      </c>
      <c r="G10" s="23" t="s">
        <v>92</v>
      </c>
      <c r="H10" s="5">
        <f>(Table13681012[[#This Row],[Angle]] + LEDRotation)*10</f>
        <v>3480</v>
      </c>
      <c r="I10" s="2">
        <f>Xo-Table13681012[[#This Row],[y]]</f>
        <v>143.8626445008544</v>
      </c>
      <c r="J10" s="2">
        <f>Yo-Table13681012[[#This Row],[x]]</f>
        <v>67.743901907708647</v>
      </c>
      <c r="K10" s="2">
        <f>SQRT(POWER((Table13681012[[#This Row],[X2]]-I11),2) + POWER((Table13681012[[#This Row],[Y2]]-J11),2)) - LEDSize</f>
        <v>6.2960898515689792</v>
      </c>
      <c r="L10" s="2" t="str">
        <f>CONCATENATE("'",Table13681012[Name],"':[",Table13681012[Orient],", ",Table13681012[X2],", ",Table13681012[Y2],"], ")</f>
        <v xml:space="preserve">'C24':[3480, 143.862644500854, 67.7439019077086], </v>
      </c>
      <c r="N10" s="12" t="s">
        <v>71</v>
      </c>
      <c r="O10" s="13">
        <v>270</v>
      </c>
    </row>
    <row r="11" spans="2:19" x14ac:dyDescent="0.25">
      <c r="B11">
        <v>9</v>
      </c>
      <c r="C11">
        <v>90</v>
      </c>
      <c r="D11">
        <f>Table13681012[[#This Row],[Angle]]*RadiansInDegree</f>
        <v>1.5707970000000002</v>
      </c>
      <c r="E11" s="2">
        <f>Radius*COS(Table13681012[[#This Row],[Radians]])</f>
        <v>-2.349485811569437E-5</v>
      </c>
      <c r="F11" s="2">
        <f>Radius*SIN(Table13681012[[#This Row],[Radians]])</f>
        <v>34.89999999999209</v>
      </c>
      <c r="G11" s="23" t="s">
        <v>93</v>
      </c>
      <c r="H11" s="5">
        <f>(Table13681012[[#This Row],[Angle]] + LEDRotation)*10</f>
        <v>3600</v>
      </c>
      <c r="I11" s="2">
        <f>Xo-Table13681012[[#This Row],[y]]</f>
        <v>143.10000000000792</v>
      </c>
      <c r="J11" s="2">
        <f>Yo-Table13681012[[#This Row],[x]]</f>
        <v>75.000023494858112</v>
      </c>
      <c r="K11" s="2">
        <f>SQRT(POWER((Table13681012[[#This Row],[X2]]-I12),2) + POWER((Table13681012[[#This Row],[Y2]]-J12),2)) - LEDSize</f>
        <v>6.2960898515689818</v>
      </c>
      <c r="L11" s="2" t="str">
        <f>CONCATENATE("'",Table13681012[Name],"':[",Table13681012[Orient],", ",Table13681012[X2],", ",Table13681012[Y2],"], ")</f>
        <v xml:space="preserve">'C23':[3600, 143.100000000008, 75.0000234948581], </v>
      </c>
      <c r="N11" s="12" t="s">
        <v>60</v>
      </c>
      <c r="O11" s="14">
        <v>178</v>
      </c>
    </row>
    <row r="12" spans="2:19" x14ac:dyDescent="0.25">
      <c r="B12">
        <v>10</v>
      </c>
      <c r="C12">
        <v>102</v>
      </c>
      <c r="D12">
        <f>Table13681012[[#This Row],[Angle]]*RadiansInDegree</f>
        <v>1.7802366000000001</v>
      </c>
      <c r="E12" s="2">
        <f>Radius*COS(Table13681012[[#This Row],[Radians]])</f>
        <v>-7.2561440551686571</v>
      </c>
      <c r="F12" s="2">
        <f>Radius*SIN(Table13681012[[#This Row],[Radians]])</f>
        <v>34.137345729430116</v>
      </c>
      <c r="G12" s="23" t="s">
        <v>94</v>
      </c>
      <c r="H12" s="5">
        <f>(Table13681012[[#This Row],[Angle]] + LEDRotation)*10</f>
        <v>3720</v>
      </c>
      <c r="I12" s="2">
        <f>Xo-Table13681012[[#This Row],[y]]</f>
        <v>143.86265427056989</v>
      </c>
      <c r="J12" s="2">
        <f>Yo-Table13681012[[#This Row],[x]]</f>
        <v>82.256144055168662</v>
      </c>
      <c r="K12" s="2">
        <f>SQRT(POWER((Table13681012[[#This Row],[X2]]-I13),2) + POWER((Table13681012[[#This Row],[Y2]]-J13),2)) - LEDSize</f>
        <v>6.2960898515689827</v>
      </c>
      <c r="L12" s="2" t="str">
        <f>CONCATENATE("'",Table13681012[Name],"':[",Table13681012[Orient],", ",Table13681012[X2],", ",Table13681012[Y2],"], ")</f>
        <v xml:space="preserve">'C22':[3720, 143.86265427057, 82.2561440551687], </v>
      </c>
      <c r="N12" s="15" t="s">
        <v>61</v>
      </c>
      <c r="O12" s="16">
        <v>75</v>
      </c>
    </row>
    <row r="13" spans="2:19" x14ac:dyDescent="0.25">
      <c r="B13">
        <v>11</v>
      </c>
      <c r="C13">
        <v>114</v>
      </c>
      <c r="D13">
        <f>Table13681012[[#This Row],[Angle]]*RadiansInDegree</f>
        <v>1.9896762000000001</v>
      </c>
      <c r="E13" s="2">
        <f>Radius*COS(Table13681012[[#This Row],[Radians]])</f>
        <v>-14.195136030593412</v>
      </c>
      <c r="F13" s="2">
        <f>Radius*SIN(Table13681012[[#This Row],[Radians]])</f>
        <v>31.882724367170201</v>
      </c>
      <c r="G13" s="23" t="s">
        <v>95</v>
      </c>
      <c r="H13" s="5">
        <f>(Table13681012[[#This Row],[Angle]] + LEDRotation)*10</f>
        <v>3840</v>
      </c>
      <c r="I13" s="2">
        <f>Xo-Table13681012[[#This Row],[y]]</f>
        <v>146.1172756328298</v>
      </c>
      <c r="J13" s="2">
        <f>Yo-Table13681012[[#This Row],[x]]</f>
        <v>89.195136030593417</v>
      </c>
      <c r="K13" s="2">
        <f>SQRT(POWER((Table13681012[[#This Row],[X2]]-I14),2) + POWER((Table13681012[[#This Row],[Y2]]-J14),2)) - LEDSize</f>
        <v>6.2960898515689703</v>
      </c>
      <c r="L13" s="2" t="str">
        <f>CONCATENATE("'",Table13681012[Name],"':[",Table13681012[Orient],", ",Table13681012[X2],", ",Table13681012[Y2],"], ")</f>
        <v xml:space="preserve">'C21':[3840, 146.11727563283, 89.1951360305934], </v>
      </c>
    </row>
    <row r="14" spans="2:19" x14ac:dyDescent="0.25">
      <c r="B14">
        <v>12</v>
      </c>
      <c r="C14">
        <v>126</v>
      </c>
      <c r="D14">
        <f>Table13681012[[#This Row],[Angle]]*RadiansInDegree</f>
        <v>2.1991158000000004</v>
      </c>
      <c r="E14" s="2">
        <f>Radius*COS(Table13681012[[#This Row],[Radians]])</f>
        <v>-20.513731915833496</v>
      </c>
      <c r="F14" s="2">
        <f>Radius*SIN(Table13681012[[#This Row],[Radians]])</f>
        <v>28.234673769769572</v>
      </c>
      <c r="G14" s="23" t="s">
        <v>96</v>
      </c>
      <c r="H14" s="5">
        <f>(Table13681012[[#This Row],[Angle]] + LEDRotation)*10</f>
        <v>3960</v>
      </c>
      <c r="I14" s="2">
        <f>Xo-Table13681012[[#This Row],[y]]</f>
        <v>149.76532623023041</v>
      </c>
      <c r="J14" s="2">
        <f>Yo-Table13681012[[#This Row],[x]]</f>
        <v>95.513731915833489</v>
      </c>
      <c r="K14" s="2">
        <f>SQRT(POWER((Table13681012[[#This Row],[X2]]-I15),2) + POWER((Table13681012[[#This Row],[Y2]]-J15),2)) - LEDSize</f>
        <v>6.2960898515689872</v>
      </c>
      <c r="L14" s="2" t="str">
        <f>CONCATENATE("'",Table13681012[Name],"':[",Table13681012[Orient],", ",Table13681012[X2],", ",Table13681012[Y2],"], ")</f>
        <v xml:space="preserve">'C20':[3960, 149.76532623023, 95.5137319158335], </v>
      </c>
    </row>
    <row r="15" spans="2:19" x14ac:dyDescent="0.25">
      <c r="B15">
        <v>13</v>
      </c>
      <c r="C15">
        <v>138</v>
      </c>
      <c r="D15">
        <f>Table13681012[[#This Row],[Angle]]*RadiansInDegree</f>
        <v>2.4085554</v>
      </c>
      <c r="E15" s="2">
        <f>Radius*COS(Table13681012[[#This Row],[Radians]])</f>
        <v>-25.935778514877843</v>
      </c>
      <c r="F15" s="2">
        <f>Radius*SIN(Table13681012[[#This Row],[Radians]])</f>
        <v>23.352631389785625</v>
      </c>
      <c r="G15" s="23" t="s">
        <v>97</v>
      </c>
      <c r="H15" s="5">
        <f>(Table13681012[[#This Row],[Angle]] + LEDRotation)*10</f>
        <v>4080</v>
      </c>
      <c r="I15" s="2">
        <f>Xo-Table13681012[[#This Row],[y]]</f>
        <v>154.64736861021439</v>
      </c>
      <c r="J15" s="2">
        <f>Yo-Table13681012[[#This Row],[x]]</f>
        <v>100.93577851487784</v>
      </c>
      <c r="K15" s="2">
        <f>SQRT(POWER((Table13681012[[#This Row],[X2]]-I16),2) + POWER((Table13681012[[#This Row],[Y2]]-J16),2)) - LEDSize</f>
        <v>6.2960898515689649</v>
      </c>
      <c r="L15" s="2" t="str">
        <f>CONCATENATE("'",Table13681012[Name],"':[",Table13681012[Orient],", ",Table13681012[X2],", ",Table13681012[Y2],"], ")</f>
        <v xml:space="preserve">'C19':[4080, 154.647368610214, 100.935778514878], </v>
      </c>
    </row>
    <row r="16" spans="2:19" x14ac:dyDescent="0.25">
      <c r="B16">
        <v>14</v>
      </c>
      <c r="C16">
        <v>150</v>
      </c>
      <c r="D16">
        <f>Table13681012[[#This Row],[Angle]]*RadiansInDegree</f>
        <v>2.6179950000000001</v>
      </c>
      <c r="E16" s="2">
        <f>Radius*COS(Table13681012[[#This Row],[Radians]])</f>
        <v>-30.22430617110631</v>
      </c>
      <c r="F16" s="2">
        <f>Radius*SIN(Table13681012[[#This Row],[Radians]])</f>
        <v>17.44996608808238</v>
      </c>
      <c r="G16" s="23" t="s">
        <v>98</v>
      </c>
      <c r="H16" s="5">
        <f>(Table13681012[[#This Row],[Angle]] + LEDRotation)*10</f>
        <v>4200</v>
      </c>
      <c r="I16" s="2">
        <f>Xo-Table13681012[[#This Row],[y]]</f>
        <v>160.55003391191761</v>
      </c>
      <c r="J16" s="2">
        <f>Yo-Table13681012[[#This Row],[x]]</f>
        <v>105.22430617110631</v>
      </c>
      <c r="K16" s="2">
        <f>SQRT(POWER((Table13681012[[#This Row],[X2]]-I17),2) + POWER((Table13681012[[#This Row],[Y2]]-J17),2)) - LEDSize</f>
        <v>6.2960898515689969</v>
      </c>
      <c r="L16" s="2" t="str">
        <f>CONCATENATE("'",Table13681012[Name],"':[",Table13681012[Orient],", ",Table13681012[X2],", ",Table13681012[Y2],"], ")</f>
        <v xml:space="preserve">'C18':[4200, 160.550033911918, 105.224306171106], </v>
      </c>
    </row>
    <row r="17" spans="2:12" x14ac:dyDescent="0.25">
      <c r="B17">
        <v>15</v>
      </c>
      <c r="C17">
        <v>162</v>
      </c>
      <c r="D17">
        <f>Table13681012[[#This Row],[Angle]]*RadiansInDegree</f>
        <v>2.8274346000000001</v>
      </c>
      <c r="E17" s="2">
        <f>Radius*COS(Table13681012[[#This Row],[Radians]])</f>
        <v>-33.191885487235275</v>
      </c>
      <c r="F17" s="2">
        <f>Radius*SIN(Table13681012[[#This Row],[Radians]])</f>
        <v>10.784652882789517</v>
      </c>
      <c r="G17" s="23" t="s">
        <v>99</v>
      </c>
      <c r="H17" s="5">
        <f>(Table13681012[[#This Row],[Angle]] + LEDRotation)*10</f>
        <v>4320</v>
      </c>
      <c r="I17" s="2">
        <f>Xo-Table13681012[[#This Row],[y]]</f>
        <v>167.21534711721048</v>
      </c>
      <c r="J17" s="2">
        <f>Yo-Table13681012[[#This Row],[x]]</f>
        <v>108.19188548723528</v>
      </c>
      <c r="K17" s="2">
        <f>SQRT(POWER((Table13681012[[#This Row],[X2]]-I18),2) + POWER((Table13681012[[#This Row],[Y2]]-J18),2)) - LEDSize</f>
        <v>6.2960898515689783</v>
      </c>
      <c r="L17" s="2" t="str">
        <f>CONCATENATE("'",Table13681012[Name],"':[",Table13681012[Orient],", ",Table13681012[X2],", ",Table13681012[Y2],"], ")</f>
        <v xml:space="preserve">'C17':[4320, 167.21534711721, 108.191885487235], </v>
      </c>
    </row>
    <row r="18" spans="2:12" x14ac:dyDescent="0.25">
      <c r="B18">
        <v>16</v>
      </c>
      <c r="C18">
        <v>174</v>
      </c>
      <c r="D18">
        <f>Table13681012[[#This Row],[Angle]]*RadiansInDegree</f>
        <v>3.0368742000000002</v>
      </c>
      <c r="E18" s="2">
        <f>Radius*COS(Table13681012[[#This Row],[Radians]])</f>
        <v>-34.708818896360739</v>
      </c>
      <c r="F18" s="2">
        <f>Radius*SIN(Table13681012[[#This Row],[Radians]])</f>
        <v>3.6479981934797632</v>
      </c>
      <c r="G18" s="23" t="s">
        <v>100</v>
      </c>
      <c r="H18" s="5">
        <f>(Table13681012[[#This Row],[Angle]] + LEDRotation)*10</f>
        <v>4440</v>
      </c>
      <c r="I18" s="2">
        <f>Xo-Table13681012[[#This Row],[y]]</f>
        <v>174.35200180652024</v>
      </c>
      <c r="J18" s="2">
        <f>Yo-Table13681012[[#This Row],[x]]</f>
        <v>109.70881889636074</v>
      </c>
      <c r="K18" s="2">
        <f>SQRT(POWER((Table13681012[[#This Row],[X2]]-I19),2) + POWER((Table13681012[[#This Row],[Y2]]-J19),2)) - LEDSize</f>
        <v>6.2960898515689703</v>
      </c>
      <c r="L18" s="2" t="str">
        <f>CONCATENATE("'",Table13681012[Name],"':[",Table13681012[Orient],", ",Table13681012[X2],", ",Table13681012[Y2],"], ")</f>
        <v xml:space="preserve">'C16':[4440, 174.35200180652, 109.708818896361], </v>
      </c>
    </row>
    <row r="19" spans="2:12" x14ac:dyDescent="0.25">
      <c r="B19">
        <v>17</v>
      </c>
      <c r="C19">
        <v>186</v>
      </c>
      <c r="D19">
        <f>Table13681012[[#This Row],[Angle]]*RadiansInDegree</f>
        <v>3.2463138000000002</v>
      </c>
      <c r="E19" s="2">
        <f>Radius*COS(Table13681012[[#This Row],[Radians]])</f>
        <v>-34.708809072830888</v>
      </c>
      <c r="F19" s="2">
        <f>Radius*SIN(Table13681012[[#This Row],[Radians]])</f>
        <v>-3.6480916580826057</v>
      </c>
      <c r="G19" s="23" t="s">
        <v>101</v>
      </c>
      <c r="H19" s="5">
        <f>(Table13681012[[#This Row],[Angle]] + LEDRotation)*10</f>
        <v>4560</v>
      </c>
      <c r="I19" s="2">
        <f>Xo-Table13681012[[#This Row],[y]]</f>
        <v>181.64809165808259</v>
      </c>
      <c r="J19" s="2">
        <f>Yo-Table13681012[[#This Row],[x]]</f>
        <v>109.70880907283089</v>
      </c>
      <c r="K19" s="2">
        <f>SQRT(POWER((Table13681012[[#This Row],[X2]]-I20),2) + POWER((Table13681012[[#This Row],[Y2]]-J20),2)) - LEDSize</f>
        <v>6.296089851568996</v>
      </c>
      <c r="L19" s="2" t="str">
        <f>CONCATENATE("'",Table13681012[Name],"':[",Table13681012[Orient],", ",Table13681012[X2],", ",Table13681012[Y2],"], ")</f>
        <v xml:space="preserve">'C15':[4560, 181.648091658083, 109.708809072831], </v>
      </c>
    </row>
    <row r="20" spans="2:12" x14ac:dyDescent="0.25">
      <c r="B20">
        <v>18</v>
      </c>
      <c r="C20">
        <v>198</v>
      </c>
      <c r="D20">
        <f>Table13681012[[#This Row],[Angle]]*RadiansInDegree</f>
        <v>3.4557534000000003</v>
      </c>
      <c r="E20" s="2">
        <f>Radius*COS(Table13681012[[#This Row],[Radians]])</f>
        <v>-33.191856445981493</v>
      </c>
      <c r="F20" s="2">
        <f>Radius*SIN(Table13681012[[#This Row],[Radians]])</f>
        <v>-10.784742262537234</v>
      </c>
      <c r="G20" s="23" t="s">
        <v>102</v>
      </c>
      <c r="H20" s="5">
        <f>(Table13681012[[#This Row],[Angle]] + LEDRotation)*10</f>
        <v>4680</v>
      </c>
      <c r="I20" s="2">
        <f>Xo-Table13681012[[#This Row],[y]]</f>
        <v>188.78474226253724</v>
      </c>
      <c r="J20" s="2">
        <f>Yo-Table13681012[[#This Row],[x]]</f>
        <v>108.1918564459815</v>
      </c>
      <c r="K20" s="2">
        <f>SQRT(POWER((Table13681012[[#This Row],[X2]]-I21),2) + POWER((Table13681012[[#This Row],[Y2]]-J21),2)) - LEDSize</f>
        <v>6.2960898515689827</v>
      </c>
      <c r="L20" s="2" t="str">
        <f>CONCATENATE("'",Table13681012[Name],"':[",Table13681012[Orient],", ",Table13681012[X2],", ",Table13681012[Y2],"], ")</f>
        <v xml:space="preserve">'C14':[4680, 188.784742262537, 108.191856445982], </v>
      </c>
    </row>
    <row r="21" spans="2:12" x14ac:dyDescent="0.25">
      <c r="B21">
        <v>19</v>
      </c>
      <c r="C21">
        <v>210</v>
      </c>
      <c r="D21">
        <f>Table13681012[[#This Row],[Angle]]*RadiansInDegree</f>
        <v>3.6651930000000004</v>
      </c>
      <c r="E21" s="2">
        <f>Radius*COS(Table13681012[[#This Row],[Radians]])</f>
        <v>-30.224259181371821</v>
      </c>
      <c r="F21" s="2">
        <f>Radius*SIN(Table13681012[[#This Row],[Radians]])</f>
        <v>-17.450047476647768</v>
      </c>
      <c r="G21" s="23" t="s">
        <v>103</v>
      </c>
      <c r="H21" s="5">
        <f>(Table13681012[[#This Row],[Angle]] + LEDRotation)*10</f>
        <v>4800</v>
      </c>
      <c r="I21" s="2">
        <f>Xo-Table13681012[[#This Row],[y]]</f>
        <v>195.45004747664777</v>
      </c>
      <c r="J21" s="2">
        <f>Yo-Table13681012[[#This Row],[x]]</f>
        <v>105.22425918137182</v>
      </c>
      <c r="K21" s="2">
        <f>SQRT(POWER((Table13681012[[#This Row],[X2]]-I22),2) + POWER((Table13681012[[#This Row],[Y2]]-J22),2)) - LEDSize</f>
        <v>6.2960898515689845</v>
      </c>
      <c r="L21" s="2" t="str">
        <f>CONCATENATE("'",Table13681012[Name],"':[",Table13681012[Orient],", ",Table13681012[X2],", ",Table13681012[Y2],"], ")</f>
        <v xml:space="preserve">'C13':[4800, 195.450047476648, 105.224259181372], </v>
      </c>
    </row>
    <row r="22" spans="2:12" x14ac:dyDescent="0.25">
      <c r="B22">
        <v>20</v>
      </c>
      <c r="C22">
        <v>222</v>
      </c>
      <c r="D22">
        <f>Table13681012[[#This Row],[Angle]]*RadiansInDegree</f>
        <v>3.8746326000000004</v>
      </c>
      <c r="E22" s="2">
        <f>Radius*COS(Table13681012[[#This Row],[Radians]])</f>
        <v>-25.935715630341281</v>
      </c>
      <c r="F22" s="2">
        <f>Radius*SIN(Table13681012[[#This Row],[Radians]])</f>
        <v>-23.352701230094794</v>
      </c>
      <c r="G22" s="23" t="s">
        <v>104</v>
      </c>
      <c r="H22" s="5">
        <f>(Table13681012[[#This Row],[Angle]] + LEDRotation)*10</f>
        <v>4920</v>
      </c>
      <c r="I22" s="2">
        <f>Xo-Table13681012[[#This Row],[y]]</f>
        <v>201.35270123009479</v>
      </c>
      <c r="J22" s="2">
        <f>Yo-Table13681012[[#This Row],[x]]</f>
        <v>100.93571563034128</v>
      </c>
      <c r="K22" s="2">
        <f>SQRT(POWER((Table13681012[[#This Row],[X2]]-I23),2) + POWER((Table13681012[[#This Row],[Y2]]-J23),2)) - LEDSize</f>
        <v>6.2960898515689827</v>
      </c>
      <c r="L22" s="2" t="str">
        <f>CONCATENATE("'",Table13681012[Name],"':[",Table13681012[Orient],", ",Table13681012[X2],", ",Table13681012[Y2],"], ")</f>
        <v xml:space="preserve">'C12':[4920, 201.352701230095, 100.935715630341], </v>
      </c>
    </row>
    <row r="23" spans="2:12" x14ac:dyDescent="0.25">
      <c r="B23">
        <v>21</v>
      </c>
      <c r="C23">
        <v>234</v>
      </c>
      <c r="D23" s="22">
        <f>Table13681012[[#This Row],[Angle]]*RadiansInDegree</f>
        <v>4.0840722000000005</v>
      </c>
      <c r="E23" s="2">
        <f>Radius*COS(Table13681012[[#This Row],[Radians]])</f>
        <v>-20.5136558848532</v>
      </c>
      <c r="F23" s="2">
        <f>Radius*SIN(Table13681012[[#This Row],[Radians]])</f>
        <v>-28.234729009463287</v>
      </c>
      <c r="G23" s="6" t="s">
        <v>105</v>
      </c>
      <c r="H23" s="5">
        <f>(Table13681012[[#This Row],[Angle]] + LEDRotation)*10</f>
        <v>5040</v>
      </c>
      <c r="I23" s="2">
        <f>Xo-Table13681012[[#This Row],[y]]</f>
        <v>206.23472900946328</v>
      </c>
      <c r="J23" s="2">
        <f>Yo-Table13681012[[#This Row],[x]]</f>
        <v>95.513655884853193</v>
      </c>
      <c r="K23" s="2">
        <f>SQRT(POWER((Table13681012[[#This Row],[X2]]-I24),2) + POWER((Table13681012[[#This Row],[Y2]]-J24),2)) - LEDSize</f>
        <v>6.2960898515689578</v>
      </c>
      <c r="L23" s="2" t="str">
        <f>CONCATENATE("'",Table13681012[Name],"':[",Table13681012[Orient],", ",Table13681012[X2],", ",Table13681012[Y2],"], ")</f>
        <v xml:space="preserve">'C11':[5040, 206.234729009463, 95.5136558848532], </v>
      </c>
    </row>
    <row r="24" spans="2:12" x14ac:dyDescent="0.25">
      <c r="B24">
        <v>22</v>
      </c>
      <c r="C24">
        <v>246</v>
      </c>
      <c r="D24" s="22">
        <f>Table13681012[[#This Row],[Angle]]*RadiansInDegree</f>
        <v>4.2935118000000001</v>
      </c>
      <c r="E24" s="2">
        <f>Radius*COS(Table13681012[[#This Row],[Radians]])</f>
        <v>-14.195050176090925</v>
      </c>
      <c r="F24" s="2">
        <f>Radius*SIN(Table13681012[[#This Row],[Radians]])</f>
        <v>-31.882762592006685</v>
      </c>
      <c r="G24" s="6" t="s">
        <v>106</v>
      </c>
      <c r="H24" s="5">
        <f>(Table13681012[[#This Row],[Angle]] + LEDRotation)*10</f>
        <v>5160</v>
      </c>
      <c r="I24" s="2">
        <f>Xo-Table13681012[[#This Row],[y]]</f>
        <v>209.88276259200669</v>
      </c>
      <c r="J24" s="2">
        <f>Yo-Table13681012[[#This Row],[x]]</f>
        <v>89.19505017609093</v>
      </c>
      <c r="K24" s="2">
        <f>SQRT(POWER((Table13681012[[#This Row],[X2]]-I25),2) + POWER((Table13681012[[#This Row],[Y2]]-J25),2)) - LEDSize</f>
        <v>6.2960898515690014</v>
      </c>
      <c r="L24" s="2" t="str">
        <f>CONCATENATE("'",Table13681012[Name],"':[",Table13681012[Orient],", ",Table13681012[X2],", ",Table13681012[Y2],"], ")</f>
        <v xml:space="preserve">'C10':[5160, 209.882762592007, 89.1950501760909], </v>
      </c>
    </row>
    <row r="25" spans="2:12" x14ac:dyDescent="0.25">
      <c r="B25">
        <v>23</v>
      </c>
      <c r="C25">
        <v>258</v>
      </c>
      <c r="D25" s="22">
        <f>Table13681012[[#This Row],[Angle]]*RadiansInDegree</f>
        <v>4.5029514000000006</v>
      </c>
      <c r="E25" s="2">
        <f>Radius*COS(Table13681012[[#This Row],[Radians]])</f>
        <v>-7.2560521294008824</v>
      </c>
      <c r="F25" s="2">
        <f>Radius*SIN(Table13681012[[#This Row],[Radians]])</f>
        <v>-34.137365268799186</v>
      </c>
      <c r="G25" s="6" t="s">
        <v>107</v>
      </c>
      <c r="H25" s="5">
        <f>(Table13681012[[#This Row],[Angle]] + LEDRotation)*10</f>
        <v>5280</v>
      </c>
      <c r="I25" s="2">
        <f>Xo-Table13681012[[#This Row],[y]]</f>
        <v>212.13736526879919</v>
      </c>
      <c r="J25" s="2">
        <f>Yo-Table13681012[[#This Row],[x]]</f>
        <v>82.256052129400885</v>
      </c>
      <c r="K25" s="2">
        <f>SQRT(POWER((Table13681012[[#This Row],[X2]]-I26),2) + POWER((Table13681012[[#This Row],[Y2]]-J26),2)) - LEDSize</f>
        <v>6.2960898515689729</v>
      </c>
      <c r="L25" s="2" t="str">
        <f>CONCATENATE("'",Table13681012[Name],"':[",Table13681012[Orient],", ",Table13681012[X2],", ",Table13681012[Y2],"], ")</f>
        <v xml:space="preserve">'C9':[5280, 212.137365268799, 82.2560521294009], </v>
      </c>
    </row>
    <row r="26" spans="2:12" x14ac:dyDescent="0.25">
      <c r="B26">
        <v>24</v>
      </c>
      <c r="C26">
        <v>270</v>
      </c>
      <c r="D26" s="22">
        <f>Table13681012[[#This Row],[Angle]]*RadiansInDegree</f>
        <v>4.7123910000000002</v>
      </c>
      <c r="E26" s="2">
        <f>Radius*COS(Table13681012[[#This Row],[Radians]])</f>
        <v>7.0484574331541796E-5</v>
      </c>
      <c r="F26" s="2">
        <f>Radius*SIN(Table13681012[[#This Row],[Radians]])</f>
        <v>-34.899999999928824</v>
      </c>
      <c r="G26" s="6" t="s">
        <v>108</v>
      </c>
      <c r="H26" s="5">
        <f>(Table13681012[[#This Row],[Angle]] + LEDRotation)*10</f>
        <v>5400</v>
      </c>
      <c r="I26" s="2">
        <f>Xo-Table13681012[[#This Row],[y]]</f>
        <v>212.89999999992881</v>
      </c>
      <c r="J26" s="2">
        <f>Yo-Table13681012[[#This Row],[x]]</f>
        <v>74.999929515425663</v>
      </c>
      <c r="K26" s="2">
        <f>SQRT(POWER((Table13681012[[#This Row],[X2]]-I27),2) + POWER((Table13681012[[#This Row],[Y2]]-J27),2)) - LEDSize</f>
        <v>6.2960898515689925</v>
      </c>
      <c r="L26" s="2" t="str">
        <f>CONCATENATE("'",Table13681012[Name],"':[",Table13681012[Orient],", ",Table13681012[X2],", ",Table13681012[Y2],"], ")</f>
        <v xml:space="preserve">'C8':[5400, 212.899999999929, 74.9999295154257], </v>
      </c>
    </row>
    <row r="27" spans="2:12" x14ac:dyDescent="0.25">
      <c r="B27">
        <v>25</v>
      </c>
      <c r="C27">
        <v>282</v>
      </c>
      <c r="D27" s="22">
        <f>Table13681012[[#This Row],[Angle]]*RadiansInDegree</f>
        <v>4.9218306000000007</v>
      </c>
      <c r="E27" s="2">
        <f>Radius*COS(Table13681012[[#This Row],[Radians]])</f>
        <v>7.2561900180328243</v>
      </c>
      <c r="F27" s="2">
        <f>Radius*SIN(Table13681012[[#This Row],[Radians]])</f>
        <v>-34.137335959652752</v>
      </c>
      <c r="G27" s="6" t="s">
        <v>109</v>
      </c>
      <c r="H27" s="5">
        <f>(Table13681012[[#This Row],[Angle]] + LEDRotation)*10</f>
        <v>5520</v>
      </c>
      <c r="I27" s="2">
        <f>Xo-Table13681012[[#This Row],[y]]</f>
        <v>212.13733595965275</v>
      </c>
      <c r="J27" s="2">
        <f>Yo-Table13681012[[#This Row],[x]]</f>
        <v>67.743809981967175</v>
      </c>
      <c r="K27" s="2">
        <f>SQRT(POWER((Table13681012[[#This Row],[X2]]-I28),2) + POWER((Table13681012[[#This Row],[Y2]]-J28),2)) - LEDSize</f>
        <v>6.2960898515689596</v>
      </c>
      <c r="L27" s="2" t="str">
        <f>CONCATENATE("'",Table13681012[Name],"':[",Table13681012[Orient],", ",Table13681012[X2],", ",Table13681012[Y2],"], ")</f>
        <v xml:space="preserve">'C7':[5520, 212.137335959653, 67.7438099819672], </v>
      </c>
    </row>
    <row r="28" spans="2:12" x14ac:dyDescent="0.25">
      <c r="B28">
        <v>26</v>
      </c>
      <c r="C28">
        <v>294</v>
      </c>
      <c r="D28" s="22">
        <f>Table13681012[[#This Row],[Angle]]*RadiansInDegree</f>
        <v>5.1312702000000003</v>
      </c>
      <c r="E28" s="2">
        <f>Radius*COS(Table13681012[[#This Row],[Radians]])</f>
        <v>14.195178957806059</v>
      </c>
      <c r="F28" s="2">
        <f>Radius*SIN(Table13681012[[#This Row],[Radians]])</f>
        <v>-31.882705254665265</v>
      </c>
      <c r="G28" s="6" t="s">
        <v>110</v>
      </c>
      <c r="H28" s="5">
        <f>(Table13681012[[#This Row],[Angle]] + LEDRotation)*10</f>
        <v>5640</v>
      </c>
      <c r="I28" s="2">
        <f>Xo-Table13681012[[#This Row],[y]]</f>
        <v>209.88270525466527</v>
      </c>
      <c r="J28" s="2">
        <f>Yo-Table13681012[[#This Row],[x]]</f>
        <v>60.804821042193943</v>
      </c>
      <c r="K28" s="2">
        <f>SQRT(POWER((Table13681012[[#This Row],[X2]]-I29),2) + POWER((Table13681012[[#This Row],[Y2]]-J29),2)) - LEDSize</f>
        <v>6.2960898515689916</v>
      </c>
      <c r="L28" s="2" t="str">
        <f>CONCATENATE("'",Table13681012[Name],"':[",Table13681012[Orient],", ",Table13681012[X2],", ",Table13681012[Y2],"], ")</f>
        <v xml:space="preserve">'C6':[5640, 209.882705254665, 60.8048210421939], </v>
      </c>
    </row>
    <row r="29" spans="2:12" x14ac:dyDescent="0.25">
      <c r="B29">
        <v>27</v>
      </c>
      <c r="C29">
        <v>306</v>
      </c>
      <c r="D29" s="22">
        <f>Table13681012[[#This Row],[Angle]]*RadiansInDegree</f>
        <v>5.3407098000000008</v>
      </c>
      <c r="E29" s="2">
        <f>Radius*COS(Table13681012[[#This Row],[Radians]])</f>
        <v>20.513769931267863</v>
      </c>
      <c r="F29" s="2">
        <f>Radius*SIN(Table13681012[[#This Row],[Radians]])</f>
        <v>-28.234646149845943</v>
      </c>
      <c r="G29" s="6" t="s">
        <v>111</v>
      </c>
      <c r="H29" s="5">
        <f>(Table13681012[[#This Row],[Angle]] + LEDRotation)*10</f>
        <v>5760</v>
      </c>
      <c r="I29" s="2">
        <f>Xo-Table13681012[[#This Row],[y]]</f>
        <v>206.23464614984596</v>
      </c>
      <c r="J29" s="2">
        <f>Yo-Table13681012[[#This Row],[x]]</f>
        <v>54.486230068732141</v>
      </c>
      <c r="K29" s="2">
        <f>SQRT(POWER((Table13681012[[#This Row],[X2]]-I30),2) + POWER((Table13681012[[#This Row],[Y2]]-J30),2)) - LEDSize</f>
        <v>6.2960898515689729</v>
      </c>
      <c r="L29" s="2" t="str">
        <f>CONCATENATE("'",Table13681012[Name],"':[",Table13681012[Orient],", ",Table13681012[X2],", ",Table13681012[Y2],"], ")</f>
        <v xml:space="preserve">'C5':[5760, 206.234646149846, 54.4862300687321], </v>
      </c>
    </row>
    <row r="30" spans="2:12" x14ac:dyDescent="0.25">
      <c r="B30">
        <v>28</v>
      </c>
      <c r="C30">
        <v>318</v>
      </c>
      <c r="D30" s="22">
        <f>Table13681012[[#This Row],[Angle]]*RadiansInDegree</f>
        <v>5.5501494000000005</v>
      </c>
      <c r="E30" s="2">
        <f>Radius*COS(Table13681012[[#This Row],[Radians]])</f>
        <v>25.935809957075598</v>
      </c>
      <c r="F30" s="2">
        <f>Radius*SIN(Table13681012[[#This Row],[Radians]])</f>
        <v>-23.352596469567533</v>
      </c>
      <c r="G30" s="6" t="s">
        <v>112</v>
      </c>
      <c r="H30" s="5">
        <f>(Table13681012[[#This Row],[Angle]] + LEDRotation)*10</f>
        <v>5880</v>
      </c>
      <c r="I30" s="2">
        <f>Xo-Table13681012[[#This Row],[y]]</f>
        <v>201.35259646956754</v>
      </c>
      <c r="J30" s="2">
        <f>Yo-Table13681012[[#This Row],[x]]</f>
        <v>49.064190042924402</v>
      </c>
      <c r="K30" s="2">
        <f>SQRT(POWER((Table13681012[[#This Row],[X2]]-I31),2) + POWER((Table13681012[[#This Row],[Y2]]-J31),2)) - LEDSize</f>
        <v>6.2960898515689792</v>
      </c>
      <c r="L30" s="2" t="str">
        <f>CONCATENATE("'",Table13681012[Name],"':[",Table13681012[Orient],", ",Table13681012[X2],", ",Table13681012[Y2],"], ")</f>
        <v xml:space="preserve">'C4':[5880, 201.352596469568, 49.0641900429244], </v>
      </c>
    </row>
    <row r="31" spans="2:12" x14ac:dyDescent="0.25">
      <c r="B31">
        <v>29</v>
      </c>
      <c r="C31">
        <v>330</v>
      </c>
      <c r="D31" s="22">
        <f>Table13681012[[#This Row],[Angle]]*RadiansInDegree</f>
        <v>5.7595890000000001</v>
      </c>
      <c r="E31" s="2">
        <f>Radius*COS(Table13681012[[#This Row],[Radians]])</f>
        <v>30.224329665891361</v>
      </c>
      <c r="F31" s="2">
        <f>Radius*SIN(Table13681012[[#This Row],[Radians]])</f>
        <v>-17.449925393752242</v>
      </c>
      <c r="G31" s="6" t="s">
        <v>113</v>
      </c>
      <c r="H31" s="5">
        <f>(Table13681012[[#This Row],[Angle]] + LEDRotation)*10</f>
        <v>6000</v>
      </c>
      <c r="I31" s="2">
        <f>Xo-Table13681012[[#This Row],[y]]</f>
        <v>195.44992539375224</v>
      </c>
      <c r="J31" s="2">
        <f>Yo-Table13681012[[#This Row],[x]]</f>
        <v>44.775670334108639</v>
      </c>
      <c r="K31" s="2">
        <f>SQRT(POWER((Table13681012[[#This Row],[X2]]-I32),2) + POWER((Table13681012[[#This Row],[Y2]]-J32),2)) - LEDSize</f>
        <v>6.2960898515689827</v>
      </c>
      <c r="L31" s="2" t="str">
        <f>CONCATENATE("'",Table13681012[Name],"':[",Table13681012[Orient],", ",Table13681012[X2],", ",Table13681012[Y2],"], ")</f>
        <v xml:space="preserve">'C3':[6000, 195.449925393752, 44.7756703341086], </v>
      </c>
    </row>
    <row r="32" spans="2:12" x14ac:dyDescent="0.25">
      <c r="B32">
        <v>30</v>
      </c>
      <c r="C32">
        <v>342</v>
      </c>
      <c r="D32" s="22">
        <f>Table13681012[[#This Row],[Angle]]*RadiansInDegree</f>
        <v>5.9690286000000006</v>
      </c>
      <c r="E32" s="2">
        <f>Radius*COS(Table13681012[[#This Row],[Radians]])</f>
        <v>33.191900007771913</v>
      </c>
      <c r="F32" s="2">
        <f>Radius*SIN(Table13681012[[#This Row],[Radians]])</f>
        <v>-10.784608192886326</v>
      </c>
      <c r="G32" s="6" t="s">
        <v>114</v>
      </c>
      <c r="H32" s="5">
        <f>(Table13681012[[#This Row],[Angle]] + LEDRotation)*10</f>
        <v>6120</v>
      </c>
      <c r="I32" s="2">
        <f>Xo-Table13681012[[#This Row],[y]]</f>
        <v>188.78460819288634</v>
      </c>
      <c r="J32" s="2">
        <f>Yo-Table13681012[[#This Row],[x]]</f>
        <v>41.808099992228087</v>
      </c>
      <c r="K32" s="2">
        <f>SQRT(POWER((Table13681012[[#This Row],[X2]]-I33),2) + POWER((Table13681012[[#This Row],[Y2]]-J33),2)) - LEDSize</f>
        <v>192.35859307385786</v>
      </c>
      <c r="L32" s="2" t="str">
        <f>CONCATENATE("'",Table13681012[Name],"':[",Table13681012[Orient],", ",Table13681012[X2],", ",Table13681012[Y2],"], ")</f>
        <v xml:space="preserve">'C2':[6120, 188.784608192886, 41.8080999922281], </v>
      </c>
    </row>
  </sheetData>
  <mergeCells count="1">
    <mergeCell ref="N2:O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Circle Radius</vt:lpstr>
      <vt:lpstr>Circle Point</vt:lpstr>
      <vt:lpstr>Polar to Cartesian Coords</vt:lpstr>
      <vt:lpstr>30 Pixel Layout</vt:lpstr>
      <vt:lpstr>20 Pixel Layout</vt:lpstr>
      <vt:lpstr>30 Cap Layout</vt:lpstr>
      <vt:lpstr>'20 Pixel Layout'!LEDCount</vt:lpstr>
      <vt:lpstr>'30 Cap Layout'!LEDCount</vt:lpstr>
      <vt:lpstr>'30 Pixel Layout'!LEDCount</vt:lpstr>
      <vt:lpstr>LEDCount</vt:lpstr>
      <vt:lpstr>'30 Cap Layout'!LEDRotation</vt:lpstr>
      <vt:lpstr>'30 Pixel Layout'!LEDRotation</vt:lpstr>
      <vt:lpstr>LEDRotation</vt:lpstr>
      <vt:lpstr>'20 Pixel Layout'!LEDSize</vt:lpstr>
      <vt:lpstr>'30 Cap Layout'!LEDSize</vt:lpstr>
      <vt:lpstr>'30 Pixel Layout'!LEDSize</vt:lpstr>
      <vt:lpstr>LEDSize</vt:lpstr>
      <vt:lpstr>'30 Cap Layout'!LEDSizeBuffer</vt:lpstr>
      <vt:lpstr>'30 Pixel Layout'!LEDSizeBuffer</vt:lpstr>
      <vt:lpstr>LEDSizeBuffer</vt:lpstr>
      <vt:lpstr>'20 Pixel Layout'!RadiansInDegree</vt:lpstr>
      <vt:lpstr>'30 Cap Layout'!RadiansInDegree</vt:lpstr>
      <vt:lpstr>'30 Pixel Layout'!RadiansInDegree</vt:lpstr>
      <vt:lpstr>RadiansInDegree</vt:lpstr>
      <vt:lpstr>'20 Pixel Layout'!Radius</vt:lpstr>
      <vt:lpstr>'30 Cap Layout'!Radius</vt:lpstr>
      <vt:lpstr>'30 Pixel Layout'!Radius</vt:lpstr>
      <vt:lpstr>Radius</vt:lpstr>
      <vt:lpstr>'20 Pixel Layout'!RingRadius</vt:lpstr>
      <vt:lpstr>'30 Cap Layout'!RingRadius</vt:lpstr>
      <vt:lpstr>'30 Pixel Layout'!RingRadius</vt:lpstr>
      <vt:lpstr>RingRadius</vt:lpstr>
      <vt:lpstr>'20 Pixel Layout'!Xo</vt:lpstr>
      <vt:lpstr>'30 Cap Layout'!Xo</vt:lpstr>
      <vt:lpstr>'30 Pixel Layout'!Xo</vt:lpstr>
      <vt:lpstr>Xo</vt:lpstr>
      <vt:lpstr>'20 Pixel Layout'!Yo</vt:lpstr>
      <vt:lpstr>'30 Cap Layout'!Yo</vt:lpstr>
      <vt:lpstr>'30 Pixel Layout'!Yo</vt:lpstr>
      <vt:lpstr>Yo</vt:lpstr>
    </vt:vector>
  </TitlesOfParts>
  <Company>Constellation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Cherkofsky, Scott</dc:creator>
  <cp:lastModifiedBy>Cherkofsky, Scott</cp:lastModifiedBy>
  <dcterms:created xsi:type="dcterms:W3CDTF">2016-01-15T23:06:45Z</dcterms:created>
  <dcterms:modified xsi:type="dcterms:W3CDTF">2016-02-01T18:28:27Z</dcterms:modified>
</cp:coreProperties>
</file>