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901"/>
  <workbookPr/>
  <mc:AlternateContent xmlns:mc="http://schemas.openxmlformats.org/markup-compatibility/2006">
    <mc:Choice Requires="x15">
      <x15ac:absPath xmlns:x15ac="http://schemas.microsoft.com/office/spreadsheetml/2010/11/ac" url="C:\Users\micha\Dropbox\Projects - Personal\Sanctum\Michael Sinyangwe\Books\The Science of Artificial Intelligence - Part 5 - Mastering the Probabilistic Learning Surface\"/>
    </mc:Choice>
  </mc:AlternateContent>
  <xr:revisionPtr revIDLastSave="0" documentId="13_ncr:1_{C8F6A242-467E-4A7C-90BE-AEF5F65F6886}" xr6:coauthVersionLast="46" xr6:coauthVersionMax="46" xr10:uidLastSave="{00000000-0000-0000-0000-000000000000}"/>
  <bookViews>
    <workbookView xWindow="0" yWindow="0" windowWidth="21600" windowHeight="12900" xr2:uid="{00000000-000D-0000-FFFF-FFFF00000000}"/>
  </bookViews>
  <sheets>
    <sheet name="Michaelian_Proability_Theory" sheetId="1" r:id="rId1"/>
  </sheets>
  <calcPr calcId="191028"/>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8" i="1" l="1"/>
  <c r="E18" i="1"/>
  <c r="H18" i="1"/>
  <c r="H17" i="1"/>
  <c r="E17" i="1"/>
  <c r="B17" i="1"/>
  <c r="B19" i="1" s="1"/>
  <c r="P26" i="1" l="1"/>
  <c r="Q26" i="1"/>
  <c r="P27" i="1"/>
  <c r="Q27" i="1"/>
  <c r="D13" i="1"/>
  <c r="D9" i="1"/>
  <c r="D15" i="1"/>
  <c r="D16" i="1"/>
  <c r="D10" i="1"/>
  <c r="D14" i="1"/>
  <c r="D11" i="1"/>
  <c r="D12" i="1"/>
  <c r="E19" i="1"/>
  <c r="E20" i="1" s="1"/>
  <c r="E21" i="1" s="1"/>
  <c r="H19" i="1"/>
  <c r="H20" i="1" s="1"/>
  <c r="H21" i="1" s="1"/>
  <c r="K26" i="1"/>
  <c r="L27" i="1"/>
  <c r="K27" i="1"/>
  <c r="F26" i="1"/>
  <c r="G27" i="1"/>
  <c r="B26" i="1"/>
  <c r="I26" i="1"/>
  <c r="H26" i="1"/>
  <c r="O26" i="1"/>
  <c r="B20" i="1"/>
  <c r="B21" i="1" s="1"/>
  <c r="H27" i="1"/>
  <c r="N27" i="1"/>
  <c r="I27" i="1"/>
  <c r="E26" i="1"/>
  <c r="D26" i="1"/>
  <c r="C26" i="1"/>
  <c r="J26" i="1"/>
  <c r="D27" i="1"/>
  <c r="N26" i="1"/>
  <c r="C27" i="1"/>
  <c r="M27" i="1"/>
  <c r="J27" i="1"/>
  <c r="G26" i="1"/>
  <c r="B27" i="1"/>
  <c r="M26" i="1"/>
  <c r="O27" i="1"/>
  <c r="L26" i="1"/>
  <c r="E27" i="1"/>
  <c r="F27" i="1"/>
  <c r="Q31" i="1" l="1"/>
  <c r="Q30" i="1"/>
  <c r="Q29" i="1"/>
  <c r="Q28" i="1"/>
  <c r="Q34" i="1"/>
  <c r="P34" i="1"/>
  <c r="P28" i="1"/>
  <c r="P31" i="1"/>
  <c r="P29" i="1"/>
  <c r="P30" i="1"/>
  <c r="G29" i="1"/>
  <c r="K28" i="1"/>
  <c r="I30" i="1"/>
  <c r="K34" i="1"/>
  <c r="E31" i="1"/>
  <c r="L31" i="1"/>
  <c r="M31" i="1"/>
  <c r="I28" i="1"/>
  <c r="I29" i="1"/>
  <c r="C28" i="1"/>
  <c r="M28" i="1"/>
  <c r="G31" i="1"/>
  <c r="B29" i="1"/>
  <c r="N30" i="1"/>
  <c r="O30" i="1"/>
  <c r="B31" i="1"/>
  <c r="G28" i="1"/>
  <c r="G30" i="1"/>
  <c r="E28" i="1"/>
  <c r="I31" i="1"/>
  <c r="K30" i="1"/>
  <c r="K29" i="1"/>
  <c r="C31" i="1"/>
  <c r="E30" i="1"/>
  <c r="E29" i="1"/>
  <c r="J31" i="1"/>
  <c r="J29" i="1"/>
  <c r="D30" i="1"/>
  <c r="D28" i="1"/>
  <c r="H30" i="1"/>
  <c r="H28" i="1"/>
  <c r="F28" i="1"/>
  <c r="F31" i="1"/>
  <c r="F29" i="1"/>
  <c r="K31" i="1"/>
  <c r="M30" i="1"/>
  <c r="O29" i="1"/>
  <c r="D31" i="1"/>
  <c r="F30" i="1"/>
  <c r="H29" i="1"/>
  <c r="J28" i="1"/>
  <c r="M29" i="1"/>
  <c r="O28" i="1"/>
  <c r="C30" i="1"/>
  <c r="L30" i="1"/>
  <c r="L28" i="1"/>
  <c r="D29" i="1"/>
  <c r="N31" i="1"/>
  <c r="N29" i="1"/>
  <c r="B30" i="1"/>
  <c r="B28" i="1"/>
  <c r="O31" i="1"/>
  <c r="C29" i="1"/>
  <c r="H31" i="1"/>
  <c r="J30" i="1"/>
  <c r="L29" i="1"/>
  <c r="N28" i="1"/>
  <c r="D34" i="1"/>
  <c r="H34" i="1"/>
  <c r="I34" i="1"/>
  <c r="O34" i="1"/>
  <c r="C34" i="1"/>
  <c r="B34" i="1"/>
  <c r="L34" i="1"/>
  <c r="J34" i="1"/>
  <c r="E34" i="1"/>
  <c r="M34" i="1"/>
  <c r="F34" i="1"/>
  <c r="G34" i="1"/>
  <c r="N34" i="1"/>
  <c r="Q32" i="1" l="1"/>
  <c r="Q35" i="1" s="1"/>
  <c r="Q33" i="1"/>
  <c r="P32" i="1"/>
  <c r="P33" i="1"/>
  <c r="B33" i="1"/>
  <c r="B32" i="1"/>
  <c r="B35" i="1" s="1"/>
  <c r="H32" i="1"/>
  <c r="E33" i="1"/>
  <c r="H33" i="1"/>
  <c r="E32" i="1"/>
  <c r="C32" i="1"/>
  <c r="C33" i="1"/>
  <c r="O33" i="1"/>
  <c r="O32" i="1"/>
  <c r="D32" i="1"/>
  <c r="K32" i="1"/>
  <c r="K33" i="1"/>
  <c r="J32" i="1"/>
  <c r="J33" i="1"/>
  <c r="M33" i="1"/>
  <c r="L32" i="1"/>
  <c r="N32" i="1"/>
  <c r="G32" i="1"/>
  <c r="F33" i="1"/>
  <c r="G33" i="1"/>
  <c r="I32" i="1"/>
  <c r="I33" i="1"/>
  <c r="D33" i="1"/>
  <c r="L33" i="1"/>
  <c r="N33" i="1"/>
  <c r="F32" i="1"/>
  <c r="M32" i="1"/>
  <c r="M35" i="1" s="1"/>
  <c r="H35" i="1" l="1"/>
  <c r="H36" i="1" s="1"/>
  <c r="G35" i="1"/>
  <c r="K35" i="1"/>
  <c r="K36" i="1" s="1"/>
  <c r="O35" i="1"/>
  <c r="O36" i="1" s="1"/>
  <c r="I35" i="1"/>
  <c r="I36" i="1" s="1"/>
  <c r="J35" i="1"/>
  <c r="J36" i="1" s="1"/>
  <c r="F35" i="1"/>
  <c r="F36" i="1" s="1"/>
  <c r="D35" i="1"/>
  <c r="D36" i="1" s="1"/>
  <c r="C35" i="1"/>
  <c r="C36" i="1" s="1"/>
  <c r="P35" i="1"/>
  <c r="P36" i="1" s="1"/>
  <c r="P37" i="1" s="1"/>
  <c r="E35" i="1"/>
  <c r="E36" i="1" s="1"/>
  <c r="N35" i="1"/>
  <c r="N36" i="1" s="1"/>
  <c r="L35" i="1"/>
  <c r="L36" i="1" s="1"/>
  <c r="M36" i="1"/>
  <c r="G36" i="1"/>
  <c r="Q36" i="1"/>
  <c r="Q37" i="1" s="1"/>
  <c r="B36" i="1"/>
  <c r="B37" i="1" s="1"/>
  <c r="O37" i="1" l="1"/>
  <c r="D37" i="1"/>
  <c r="H37" i="1"/>
  <c r="C37" i="1"/>
  <c r="I37" i="1"/>
  <c r="N37" i="1"/>
  <c r="G37" i="1"/>
  <c r="K37" i="1"/>
  <c r="F37" i="1"/>
  <c r="E37" i="1"/>
  <c r="L37" i="1"/>
  <c r="J37" i="1"/>
  <c r="M37" i="1"/>
</calcChain>
</file>

<file path=xl/sharedStrings.xml><?xml version="1.0" encoding="utf-8"?>
<sst xmlns="http://schemas.openxmlformats.org/spreadsheetml/2006/main" count="66" uniqueCount="53">
  <si>
    <t>Normalised Mean Average</t>
  </si>
  <si>
    <t>Minimum Sample</t>
  </si>
  <si>
    <t>Maximum Sample</t>
  </si>
  <si>
    <t>Variable</t>
  </si>
  <si>
    <t>SIGNIFICANCE (Of Deviation From the Mean Average)</t>
  </si>
  <si>
    <t>CONFIDENCE (Of Convergence On the Mean Average)</t>
  </si>
  <si>
    <t>Significance Of Deviation /%</t>
  </si>
  <si>
    <t>Scenario Projection Datapoint</t>
  </si>
  <si>
    <t>No Example</t>
  </si>
  <si>
    <t>Dataset 1</t>
  </si>
  <si>
    <t>Dataset 2</t>
  </si>
  <si>
    <t>Dataset 3</t>
  </si>
  <si>
    <t>Parameter</t>
  </si>
  <si>
    <t>Mean Or Closest Greater Sample</t>
  </si>
  <si>
    <t>Mean Or Closest Lesser Sample</t>
  </si>
  <si>
    <t>Correctly skewed density peaks (parameters) and troughs (gaps)</t>
  </si>
  <si>
    <t>Unit Tests To Be Carried Out By Each Developer In Order To Satisfy That the Theory Has Been Correctly Applied</t>
  </si>
  <si>
    <t>Large low density sub-ranges &gt;0%</t>
  </si>
  <si>
    <t>When median and mean are the same, i.e. where no skew exists, that mean confidence is correct</t>
  </si>
  <si>
    <t>Your code produces the same values as those in the tables above, given the same variable parameters as the input dataset</t>
  </si>
  <si>
    <t>Incorporation of skewness</t>
  </si>
  <si>
    <t>Outer Sigmoid Alpha Density Confidence /%</t>
  </si>
  <si>
    <t>Outer Sigmoid Beta Density Confidence /%</t>
  </si>
  <si>
    <t>Inner Sigmoid Alpha Density Confidence /%</t>
  </si>
  <si>
    <t>Inner Sigmoid Beta Density Confidence /%</t>
  </si>
  <si>
    <t>Projection Convex (Spot) Confidence /%</t>
  </si>
  <si>
    <t>Sample 1 - Non-Null</t>
  </si>
  <si>
    <t>Sample 2 - Non-Null</t>
  </si>
  <si>
    <t>Sample 3 - Non-Null</t>
  </si>
  <si>
    <t>Sample 4 - Non-Null</t>
  </si>
  <si>
    <t>Sample 5 - Non-Null</t>
  </si>
  <si>
    <t>Sample 6 - Non-Null</t>
  </si>
  <si>
    <t>Sample 7 - Non-Null</t>
  </si>
  <si>
    <t>Sample 8 - Non-Null</t>
  </si>
  <si>
    <t>Split Polarity Of Density Depression</t>
  </si>
  <si>
    <t>Projection Concave (Spot) Confidence /%</t>
  </si>
  <si>
    <t>PARAMETER GRANULARITY GLOBAL VARIABLE /%</t>
  </si>
  <si>
    <t>MICHAELIAN PROBABILITY THEORY</t>
  </si>
  <si>
    <t>Count</t>
  </si>
  <si>
    <t>Raw Projection (Spot) Confidence /%</t>
  </si>
  <si>
    <t>Normalised Projection (Spot) Confidence /%</t>
  </si>
  <si>
    <t>Normalised Percentile (Spread) Confidence /%</t>
  </si>
  <si>
    <t>Dataset Cross-Normalised Significance /%</t>
  </si>
  <si>
    <t>Nota Bene 1: Traditional probability theory assumes an un-skewed distribution. This outdated probability theory also omits the reality of parameter density. As such, my following probability theory is superior. It both handles distribution skew and density with ease, and should outperform traditional probability on the vast majority of applied real-world solutions, which usually deal with skewed and mostly sparse datasets!</t>
  </si>
  <si>
    <t>Nota Bene 5: Please remember to sufficiently search the dataset range distribution space. Your set of scenario projection datapoints should start at the range minima, finish at the range maxima, and have no more than a 10% dataset range gap between any two members, and ideally a lot less. If you do not sufficiently search the probability space, then the resulting confidence percentages will be sub-optimal.</t>
  </si>
  <si>
    <t>Scale- Granularised Duplicate Count</t>
  </si>
  <si>
    <t>Nota Bene 3: The scale-granularised duplicate count column calculates parameter duplicate counts within a previously set parameter granularity percentage range either side of the parameter. This count is then also scaled using the dataset parameter weighting, in order to properly handle dataset scaling. If you are comparing multiple dataset significances, make sure they are derived from the same number of samples. Alternatively, if this is not feasible, or if you want to improve algorithm efficiency, cross-normalise the significances by multiplying each significance value by all other sample counts, and then dividing by that particular dataset's own sample count, and then dividing by the total count of datasets.</t>
  </si>
  <si>
    <t>Nota Bene 2: This parameter granularity global variable must be restricted to (0 =&lt; x &lt;= 100), and is used in order to set the duplicate count lookup range. It thereby effectively broadens curve peaks as desired for a given application of the theory. For example, you would want wider normal distribution curve peaks if you need greater accuracy of probability. This can be achieved by using a higher parameter granularity percentage. On the other hand, you would want narrower normal distribution curve peaks if you instead need greater precision of probability. This can be achieved by using a lower parameter granularity percentage. The recommended value for this global variable is anywhere between 25% and 75%. A value of 50% would nominally simulate the classical normal distribution curve either side of the mean, which originates from the older Bayesian probability theory.</t>
  </si>
  <si>
    <t>Maximal confidence of &lt;50%, and minimal confidence &gt;0%, where there is actually a distribution</t>
  </si>
  <si>
    <t>Correct distribution profile for smaller and larger datasets e.g. 4 samples and 64 samples aswell</t>
  </si>
  <si>
    <t>Handles negative and zero parameters appropriately</t>
  </si>
  <si>
    <t>As sample dataset becomes more diverse (i.e. as significance increases), so total integral should increase</t>
  </si>
  <si>
    <t>Nota Bene 4: If you are calculating normalised confidence on a 0 to 50% scale, 100% is the core value you must calculate from. In addition to this, you need to assign a mean or closest lesser sample, and a mean or closest greater sample to each projection datapoint, in order to deal with duplicate values properly. The significance is subtracted from 50, because we want to invert the distribution, such that the normalised scenario mean average has the greatest base distribution spot confidence %. You also need to proportionally normalise the output value by dividing by dataset sample count. Additionally, you have to 'inject' synthetic duplicate data. This is because otherwise the confidence % calculated will be too low due to the 'effective' sample loss where duplicate-to-duplicate divergence can't otherwise be modelled. As you can see, the synthesis of the duplicate data requires the application of a sample parameter duplication granularity range. On top of this, you must apply a total of 8 complex concave and convex sigmoid methods in order to generate smooth s-curve confidence percentages for projection datapoints which are not contained within the sample dataset. You must naturalise these sigmoid confidence percentages. Additionally, you need to split polarise these convex and concave spot confidence methods, so that they form curves across density depression ranges where there are no sample parameters present. Following this, you must soften the density depressions depending on the size of the density depression range, in comparison with the overall dataset range, by adding the polarity delta of confidence %, multiplied by this relationship between density and dataset (as seen in the raw confidence % method). This has been done in the raw confidence % row. Penultimately, you also need to correct the highest modal peak to 50%, and the lowest modal trough to 0%, by setting upper and lower limits. In effect, these two limits (50% and 0 %) act by squashing the intrinsic sigmoidal peak and trough exaggeration, and therefore the algorithm avoids overshoot and undershoot errors. Finally, you must make sure that you give all out-of-dataset range projections a confidence of 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</si>
</sst>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8"/>
      <name val="Calibri"/>
      <family val="2"/>
      <scheme val="minor"/>
    </font>
    <font>
      <i/>
      <sz val="11"/>
      <color theme="1"/>
      <name val="Calibri"/>
      <family val="2"/>
      <scheme val="minor"/>
    </font>
    <font>
      <sz val="11"/>
      <name val="Calibri"/>
      <family val="2"/>
      <scheme val="minor"/>
    </font>
    <font>
      <b/>
      <sz val="14"/>
      <color theme="1"/>
      <name val="Calibri"/>
      <family val="2"/>
      <scheme val="minor"/>
    </font>
  </fonts>
  <fills count="7">
    <fill>
      <patternFill patternType="none"/>
    </fill>
    <fill>
      <patternFill patternType="gray125"/>
    </fill>
    <fill>
      <patternFill patternType="solid">
        <fgColor theme="0" tint="-0.14999847407452621"/>
        <bgColor indexed="64"/>
      </patternFill>
    </fill>
    <fill>
      <patternFill patternType="solid">
        <fgColor theme="0" tint="-0.499984740745262"/>
        <bgColor indexed="64"/>
      </patternFill>
    </fill>
    <fill>
      <patternFill patternType="solid">
        <fgColor theme="8" tint="0.79998168889431442"/>
        <bgColor indexed="64"/>
      </patternFill>
    </fill>
    <fill>
      <patternFill patternType="solid">
        <fgColor rgb="FFFFC000"/>
        <bgColor indexed="64"/>
      </patternFill>
    </fill>
    <fill>
      <patternFill patternType="solid">
        <fgColor rgb="FFFFFF00"/>
        <bgColor indexed="64"/>
      </patternFill>
    </fill>
  </fills>
  <borders count="42">
    <border>
      <left/>
      <right/>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medium">
        <color indexed="64"/>
      </left>
      <right/>
      <top style="medium">
        <color indexed="64"/>
      </top>
      <bottom/>
      <diagonal/>
    </border>
    <border>
      <left style="medium">
        <color indexed="64"/>
      </left>
      <right/>
      <top style="thin">
        <color indexed="64"/>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top/>
      <bottom style="thin">
        <color indexed="64"/>
      </bottom>
      <diagonal/>
    </border>
    <border>
      <left style="thin">
        <color indexed="64"/>
      </left>
      <right/>
      <top style="medium">
        <color indexed="64"/>
      </top>
      <bottom/>
      <diagonal/>
    </border>
    <border>
      <left style="medium">
        <color indexed="64"/>
      </left>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medium">
        <color indexed="64"/>
      </right>
      <top style="medium">
        <color indexed="64"/>
      </top>
      <bottom/>
      <diagonal/>
    </border>
  </borders>
  <cellStyleXfs count="1">
    <xf numFmtId="0" fontId="0" fillId="0" borderId="0"/>
  </cellStyleXfs>
  <cellXfs count="102">
    <xf numFmtId="0" fontId="0" fillId="0" borderId="0" xfId="0"/>
    <xf numFmtId="0" fontId="0" fillId="0" borderId="0" xfId="0" applyAlignment="1">
      <alignment horizontal="left" vertical="top"/>
    </xf>
    <xf numFmtId="0" fontId="0" fillId="0" borderId="0" xfId="0" applyFill="1" applyBorder="1" applyAlignment="1">
      <alignment horizontal="left" vertical="top"/>
    </xf>
    <xf numFmtId="0" fontId="0" fillId="0" borderId="0" xfId="0" applyAlignment="1">
      <alignment horizontal="left" vertical="top" wrapText="1"/>
    </xf>
    <xf numFmtId="0" fontId="0" fillId="0" borderId="15" xfId="0" applyBorder="1" applyAlignment="1">
      <alignment horizontal="left" vertical="top" wrapText="1"/>
    </xf>
    <xf numFmtId="0" fontId="0" fillId="0" borderId="20" xfId="0" applyBorder="1" applyAlignment="1">
      <alignment horizontal="left" vertical="top" wrapText="1"/>
    </xf>
    <xf numFmtId="0" fontId="0" fillId="0" borderId="21" xfId="0" applyBorder="1" applyAlignment="1">
      <alignment horizontal="left" vertical="top" wrapText="1"/>
    </xf>
    <xf numFmtId="0" fontId="0" fillId="0" borderId="0" xfId="0" applyFill="1" applyBorder="1" applyAlignment="1">
      <alignment horizontal="left" vertical="top" wrapText="1"/>
    </xf>
    <xf numFmtId="0" fontId="0" fillId="0" borderId="13" xfId="0" applyFill="1" applyBorder="1" applyAlignment="1">
      <alignment horizontal="left" vertical="top" wrapText="1"/>
    </xf>
    <xf numFmtId="0" fontId="0" fillId="0" borderId="14" xfId="0" applyFill="1" applyBorder="1" applyAlignment="1">
      <alignment horizontal="left" vertical="top" wrapText="1"/>
    </xf>
    <xf numFmtId="0" fontId="0" fillId="0" borderId="0" xfId="0" applyFill="1" applyBorder="1"/>
    <xf numFmtId="0" fontId="0" fillId="0" borderId="0" xfId="0" applyFill="1" applyBorder="1" applyAlignment="1"/>
    <xf numFmtId="0" fontId="0" fillId="6" borderId="10" xfId="0" applyFill="1" applyBorder="1" applyAlignment="1">
      <alignment horizontal="left" vertical="top" wrapText="1"/>
    </xf>
    <xf numFmtId="0" fontId="0" fillId="6" borderId="11" xfId="0" applyFill="1" applyBorder="1" applyAlignment="1">
      <alignment horizontal="left" vertical="top" wrapText="1"/>
    </xf>
    <xf numFmtId="0" fontId="0" fillId="6" borderId="16" xfId="0" applyFill="1" applyBorder="1" applyAlignment="1">
      <alignment horizontal="left" vertical="top" wrapText="1"/>
    </xf>
    <xf numFmtId="0" fontId="0" fillId="0" borderId="0" xfId="0" applyFill="1"/>
    <xf numFmtId="0" fontId="2" fillId="6" borderId="0" xfId="0" applyFont="1" applyFill="1"/>
    <xf numFmtId="0" fontId="2" fillId="6" borderId="0" xfId="0" applyFont="1" applyFill="1" applyAlignment="1">
      <alignment horizontal="left" vertical="top"/>
    </xf>
    <xf numFmtId="2" fontId="0" fillId="2" borderId="3" xfId="0" applyNumberFormat="1" applyFill="1" applyBorder="1" applyAlignment="1">
      <alignment horizontal="left" vertical="top" wrapText="1"/>
    </xf>
    <xf numFmtId="2" fontId="0" fillId="2" borderId="5" xfId="0" applyNumberFormat="1" applyFill="1" applyBorder="1" applyAlignment="1">
      <alignment horizontal="left" vertical="top"/>
    </xf>
    <xf numFmtId="2" fontId="0" fillId="2" borderId="8" xfId="0" applyNumberFormat="1" applyFill="1" applyBorder="1"/>
    <xf numFmtId="2" fontId="0" fillId="3" borderId="25" xfId="0" applyNumberFormat="1" applyFill="1" applyBorder="1" applyAlignment="1">
      <alignment horizontal="left" vertical="top" wrapText="1"/>
    </xf>
    <xf numFmtId="2" fontId="0" fillId="3" borderId="18" xfId="0" applyNumberFormat="1" applyFill="1" applyBorder="1"/>
    <xf numFmtId="2" fontId="0" fillId="2" borderId="7" xfId="0" applyNumberFormat="1" applyFill="1" applyBorder="1"/>
    <xf numFmtId="2" fontId="0" fillId="3" borderId="26" xfId="0" applyNumberFormat="1" applyFill="1" applyBorder="1" applyAlignment="1">
      <alignment horizontal="left" vertical="top" wrapText="1"/>
    </xf>
    <xf numFmtId="2" fontId="0" fillId="3" borderId="7" xfId="0" applyNumberFormat="1" applyFill="1" applyBorder="1"/>
    <xf numFmtId="2" fontId="0" fillId="0" borderId="26" xfId="0" applyNumberFormat="1" applyBorder="1" applyAlignment="1">
      <alignment horizontal="left" vertical="top" wrapText="1"/>
    </xf>
    <xf numFmtId="2" fontId="0" fillId="2" borderId="4" xfId="0" applyNumberFormat="1" applyFill="1" applyBorder="1"/>
    <xf numFmtId="2" fontId="0" fillId="2" borderId="9" xfId="0" applyNumberFormat="1" applyFill="1" applyBorder="1"/>
    <xf numFmtId="2" fontId="0" fillId="0" borderId="27" xfId="0" applyNumberFormat="1" applyBorder="1" applyAlignment="1">
      <alignment horizontal="left" vertical="top" wrapText="1"/>
    </xf>
    <xf numFmtId="2" fontId="0" fillId="2" borderId="23" xfId="0" applyNumberFormat="1" applyFill="1" applyBorder="1"/>
    <xf numFmtId="2" fontId="0" fillId="2" borderId="24" xfId="0" applyNumberFormat="1" applyFill="1" applyBorder="1"/>
    <xf numFmtId="2" fontId="3" fillId="2" borderId="17" xfId="0" applyNumberFormat="1" applyFont="1" applyFill="1" applyBorder="1" applyAlignment="1">
      <alignment horizontal="left" vertical="top" wrapText="1"/>
    </xf>
    <xf numFmtId="2" fontId="3" fillId="3" borderId="18" xfId="0" applyNumberFormat="1" applyFont="1" applyFill="1" applyBorder="1"/>
    <xf numFmtId="2" fontId="3" fillId="2" borderId="1" xfId="0" applyNumberFormat="1" applyFont="1" applyFill="1" applyBorder="1" applyAlignment="1">
      <alignment horizontal="left" vertical="top" wrapText="1"/>
    </xf>
    <xf numFmtId="2" fontId="3" fillId="3" borderId="8" xfId="0" applyNumberFormat="1" applyFont="1" applyFill="1" applyBorder="1"/>
    <xf numFmtId="2" fontId="3" fillId="3" borderId="2" xfId="0" applyNumberFormat="1" applyFont="1" applyFill="1" applyBorder="1"/>
    <xf numFmtId="2" fontId="3" fillId="2" borderId="3" xfId="0" applyNumberFormat="1" applyFont="1" applyFill="1" applyBorder="1" applyAlignment="1">
      <alignment horizontal="left" vertical="top" wrapText="1"/>
    </xf>
    <xf numFmtId="2" fontId="3" fillId="3" borderId="7" xfId="0" applyNumberFormat="1" applyFont="1" applyFill="1" applyBorder="1"/>
    <xf numFmtId="2" fontId="3" fillId="3" borderId="4" xfId="0" applyNumberFormat="1" applyFont="1" applyFill="1" applyBorder="1"/>
    <xf numFmtId="2" fontId="3" fillId="2" borderId="5" xfId="0" applyNumberFormat="1" applyFont="1" applyFill="1" applyBorder="1" applyAlignment="1">
      <alignment horizontal="left" vertical="top" wrapText="1"/>
    </xf>
    <xf numFmtId="2" fontId="3" fillId="3" borderId="9" xfId="0" applyNumberFormat="1" applyFont="1" applyFill="1" applyBorder="1"/>
    <xf numFmtId="2" fontId="3" fillId="3" borderId="6" xfId="0" applyNumberFormat="1" applyFont="1" applyFill="1" applyBorder="1"/>
    <xf numFmtId="0" fontId="0" fillId="0" borderId="30" xfId="0" applyBorder="1"/>
    <xf numFmtId="2" fontId="0" fillId="2" borderId="7" xfId="0" applyNumberFormat="1" applyFill="1" applyBorder="1" applyAlignment="1">
      <alignment horizontal="left" vertical="top" wrapText="1"/>
    </xf>
    <xf numFmtId="2" fontId="0" fillId="2" borderId="4" xfId="0" applyNumberFormat="1" applyFill="1" applyBorder="1" applyAlignment="1">
      <alignment horizontal="left" vertical="top" wrapText="1"/>
    </xf>
    <xf numFmtId="2" fontId="0" fillId="2" borderId="9" xfId="0" applyNumberFormat="1" applyFill="1" applyBorder="1" applyAlignment="1">
      <alignment horizontal="left" vertical="top"/>
    </xf>
    <xf numFmtId="2" fontId="0" fillId="2" borderId="6" xfId="0" applyNumberFormat="1" applyFill="1" applyBorder="1" applyAlignment="1">
      <alignment horizontal="left" vertical="top"/>
    </xf>
    <xf numFmtId="2" fontId="3" fillId="2" borderId="31" xfId="0" applyNumberFormat="1" applyFont="1" applyFill="1" applyBorder="1" applyAlignment="1">
      <alignment horizontal="left" vertical="top" wrapText="1"/>
    </xf>
    <xf numFmtId="2" fontId="3" fillId="2" borderId="26" xfId="0" applyNumberFormat="1" applyFont="1" applyFill="1" applyBorder="1" applyAlignment="1">
      <alignment horizontal="left" vertical="top" wrapText="1"/>
    </xf>
    <xf numFmtId="2" fontId="3" fillId="2" borderId="32" xfId="0" applyNumberFormat="1" applyFont="1" applyFill="1" applyBorder="1" applyAlignment="1">
      <alignment horizontal="left" vertical="top" wrapText="1"/>
    </xf>
    <xf numFmtId="0" fontId="0" fillId="0" borderId="22" xfId="0" applyFill="1" applyBorder="1" applyAlignment="1">
      <alignment horizontal="left" vertical="top" wrapText="1"/>
    </xf>
    <xf numFmtId="2" fontId="3" fillId="3" borderId="35" xfId="0" applyNumberFormat="1" applyFont="1" applyFill="1" applyBorder="1"/>
    <xf numFmtId="2" fontId="3" fillId="3" borderId="33" xfId="0" applyNumberFormat="1" applyFont="1" applyFill="1" applyBorder="1"/>
    <xf numFmtId="2" fontId="3" fillId="3" borderId="34" xfId="0" applyNumberFormat="1" applyFont="1" applyFill="1" applyBorder="1"/>
    <xf numFmtId="2" fontId="0" fillId="3" borderId="4" xfId="0" applyNumberFormat="1" applyFill="1" applyBorder="1" applyAlignment="1">
      <alignment horizontal="left" vertical="top" wrapText="1"/>
    </xf>
    <xf numFmtId="2" fontId="0" fillId="3" borderId="19" xfId="0" applyNumberFormat="1" applyFill="1" applyBorder="1" applyAlignment="1">
      <alignment horizontal="left" vertical="top" wrapText="1"/>
    </xf>
    <xf numFmtId="0" fontId="0" fillId="0" borderId="36" xfId="0" applyFill="1" applyBorder="1" applyAlignment="1">
      <alignment horizontal="left" vertical="top" wrapText="1"/>
    </xf>
    <xf numFmtId="2" fontId="0" fillId="2" borderId="2" xfId="0" applyNumberFormat="1" applyFill="1" applyBorder="1"/>
    <xf numFmtId="2" fontId="0" fillId="2" borderId="6" xfId="0" applyNumberFormat="1" applyFill="1" applyBorder="1"/>
    <xf numFmtId="0" fontId="0" fillId="0" borderId="30" xfId="0" applyBorder="1" applyAlignment="1">
      <alignment horizontal="left" vertical="top" wrapText="1"/>
    </xf>
    <xf numFmtId="2" fontId="0" fillId="2" borderId="1" xfId="0" applyNumberFormat="1" applyFill="1" applyBorder="1" applyAlignment="1">
      <alignment horizontal="left" vertical="top" wrapText="1"/>
    </xf>
    <xf numFmtId="2" fontId="0" fillId="2" borderId="8" xfId="0" applyNumberFormat="1" applyFill="1" applyBorder="1" applyAlignment="1">
      <alignment horizontal="left" vertical="top" wrapText="1"/>
    </xf>
    <xf numFmtId="2" fontId="0" fillId="2" borderId="2" xfId="0" applyNumberFormat="1" applyFill="1" applyBorder="1" applyAlignment="1">
      <alignment horizontal="left" vertical="top" wrapText="1"/>
    </xf>
    <xf numFmtId="0" fontId="2" fillId="0" borderId="0" xfId="0" applyFont="1" applyFill="1" applyAlignment="1">
      <alignment horizontal="left" vertical="top"/>
    </xf>
    <xf numFmtId="0" fontId="0" fillId="0" borderId="37" xfId="0" applyFill="1" applyBorder="1" applyAlignment="1">
      <alignment horizontal="left" vertical="top" wrapText="1"/>
    </xf>
    <xf numFmtId="0" fontId="0" fillId="0" borderId="11" xfId="0" applyFill="1" applyBorder="1" applyAlignment="1">
      <alignment horizontal="left" vertical="top" wrapText="1"/>
    </xf>
    <xf numFmtId="0" fontId="0" fillId="0" borderId="12" xfId="0" applyFill="1" applyBorder="1" applyAlignment="1">
      <alignment horizontal="left" vertical="top"/>
    </xf>
    <xf numFmtId="0" fontId="3" fillId="0" borderId="10" xfId="0" applyFont="1" applyFill="1" applyBorder="1" applyAlignment="1">
      <alignment horizontal="left" vertical="top" wrapText="1"/>
    </xf>
    <xf numFmtId="0" fontId="3" fillId="0" borderId="11" xfId="0" applyFont="1" applyFill="1" applyBorder="1" applyAlignment="1">
      <alignment horizontal="left" vertical="top" wrapText="1"/>
    </xf>
    <xf numFmtId="0" fontId="3" fillId="0" borderId="12" xfId="0" applyFont="1" applyFill="1" applyBorder="1" applyAlignment="1">
      <alignment horizontal="left" vertical="top" wrapText="1"/>
    </xf>
    <xf numFmtId="16" fontId="0" fillId="0" borderId="0" xfId="0" applyNumberFormat="1" applyFill="1" applyBorder="1"/>
    <xf numFmtId="2" fontId="0" fillId="0" borderId="13" xfId="0" applyNumberFormat="1" applyBorder="1" applyAlignment="1">
      <alignment horizontal="left" vertical="top" wrapText="1"/>
    </xf>
    <xf numFmtId="2" fontId="0" fillId="0" borderId="14" xfId="0" applyNumberFormat="1" applyBorder="1" applyAlignment="1">
      <alignment horizontal="left" vertical="top" wrapText="1"/>
    </xf>
    <xf numFmtId="2" fontId="0" fillId="0" borderId="1" xfId="0" applyNumberFormat="1" applyFont="1" applyBorder="1" applyAlignment="1">
      <alignment horizontal="left" vertical="top" wrapText="1"/>
    </xf>
    <xf numFmtId="2" fontId="0" fillId="0" borderId="3" xfId="0" applyNumberFormat="1" applyFont="1" applyBorder="1" applyAlignment="1">
      <alignment horizontal="left" vertical="top" wrapText="1"/>
    </xf>
    <xf numFmtId="2" fontId="0" fillId="0" borderId="0" xfId="0" applyNumberFormat="1" applyFill="1"/>
    <xf numFmtId="0" fontId="0" fillId="5" borderId="17" xfId="0" applyFill="1" applyBorder="1" applyAlignment="1">
      <alignment horizontal="center" wrapText="1"/>
    </xf>
    <xf numFmtId="0" fontId="0" fillId="5" borderId="18" xfId="0" applyFill="1" applyBorder="1" applyAlignment="1">
      <alignment horizontal="center" wrapText="1"/>
    </xf>
    <xf numFmtId="0" fontId="0" fillId="5" borderId="19" xfId="0" applyFill="1" applyBorder="1" applyAlignment="1">
      <alignment horizontal="center" wrapText="1"/>
    </xf>
    <xf numFmtId="0" fontId="0" fillId="5" borderId="3" xfId="0" applyFill="1" applyBorder="1" applyAlignment="1">
      <alignment horizontal="center" wrapText="1"/>
    </xf>
    <xf numFmtId="0" fontId="0" fillId="5" borderId="7" xfId="0" applyFill="1" applyBorder="1" applyAlignment="1">
      <alignment horizontal="center" wrapText="1"/>
    </xf>
    <xf numFmtId="0" fontId="0" fillId="5" borderId="4" xfId="0" applyFill="1" applyBorder="1" applyAlignment="1">
      <alignment horizontal="center" wrapText="1"/>
    </xf>
    <xf numFmtId="0" fontId="0" fillId="4" borderId="15" xfId="0" applyFill="1" applyBorder="1" applyAlignment="1">
      <alignment horizontal="center" vertical="top" wrapText="1"/>
    </xf>
    <xf numFmtId="0" fontId="0" fillId="4" borderId="28" xfId="0" applyFill="1" applyBorder="1" applyAlignment="1">
      <alignment horizontal="center" vertical="top" wrapText="1"/>
    </xf>
    <xf numFmtId="0" fontId="0" fillId="4" borderId="29" xfId="0" applyFill="1" applyBorder="1" applyAlignment="1">
      <alignment horizontal="center" vertical="top" wrapText="1"/>
    </xf>
    <xf numFmtId="0" fontId="0" fillId="0" borderId="15" xfId="0" applyBorder="1" applyAlignment="1">
      <alignment horizontal="center" vertical="top"/>
    </xf>
    <xf numFmtId="0" fontId="0" fillId="0" borderId="28" xfId="0" applyBorder="1" applyAlignment="1">
      <alignment horizontal="center" vertical="top"/>
    </xf>
    <xf numFmtId="0" fontId="0" fillId="0" borderId="29" xfId="0" applyBorder="1" applyAlignment="1">
      <alignment horizontal="center" vertical="top"/>
    </xf>
    <xf numFmtId="0" fontId="0" fillId="0" borderId="28" xfId="0" applyBorder="1" applyAlignment="1">
      <alignment horizontal="center"/>
    </xf>
    <xf numFmtId="0" fontId="0" fillId="0" borderId="29" xfId="0" applyBorder="1" applyAlignment="1">
      <alignment horizontal="center"/>
    </xf>
    <xf numFmtId="0" fontId="0" fillId="4" borderId="38" xfId="0" applyFill="1" applyBorder="1" applyAlignment="1">
      <alignment horizontal="center" vertical="top" wrapText="1"/>
    </xf>
    <xf numFmtId="0" fontId="0" fillId="4" borderId="39" xfId="0" applyFill="1" applyBorder="1" applyAlignment="1">
      <alignment horizontal="center" vertical="top" wrapText="1"/>
    </xf>
    <xf numFmtId="0" fontId="0" fillId="4" borderId="40" xfId="0" applyFill="1" applyBorder="1" applyAlignment="1">
      <alignment horizontal="center" vertical="top" wrapText="1"/>
    </xf>
    <xf numFmtId="0" fontId="4" fillId="5" borderId="20" xfId="0" applyFont="1" applyFill="1" applyBorder="1" applyAlignment="1">
      <alignment horizontal="center"/>
    </xf>
    <xf numFmtId="0" fontId="4" fillId="5" borderId="21" xfId="0" applyFont="1" applyFill="1" applyBorder="1" applyAlignment="1">
      <alignment horizontal="center"/>
    </xf>
    <xf numFmtId="0" fontId="4" fillId="5" borderId="22" xfId="0" applyFont="1" applyFill="1" applyBorder="1" applyAlignment="1">
      <alignment horizontal="center"/>
    </xf>
    <xf numFmtId="0" fontId="0" fillId="5" borderId="5" xfId="0" applyFill="1" applyBorder="1" applyAlignment="1">
      <alignment horizontal="center" wrapText="1"/>
    </xf>
    <xf numFmtId="0" fontId="0" fillId="5" borderId="9" xfId="0" applyFill="1" applyBorder="1" applyAlignment="1">
      <alignment horizontal="center" wrapText="1"/>
    </xf>
    <xf numFmtId="0" fontId="0" fillId="5" borderId="6" xfId="0" applyFill="1" applyBorder="1" applyAlignment="1">
      <alignment horizontal="center" wrapText="1"/>
    </xf>
    <xf numFmtId="2" fontId="0" fillId="0" borderId="41" xfId="0" applyNumberFormat="1" applyBorder="1" applyAlignment="1">
      <alignment horizontal="left" vertical="top" wrapText="1"/>
    </xf>
    <xf numFmtId="2" fontId="0" fillId="0" borderId="5" xfId="0" applyNumberFormat="1" applyFont="1"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Dataset</a:t>
            </a:r>
            <a:r>
              <a:rPr lang="en-GB" baseline="0"/>
              <a:t> 1 - Normalised Spot Confidence % Distribution</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Michaelian_Proability_Theory!$B$25:$Q$25</c:f>
              <c:numCache>
                <c:formatCode>0.00</c:formatCode>
                <c:ptCount val="16"/>
                <c:pt idx="0">
                  <c:v>-6</c:v>
                </c:pt>
                <c:pt idx="1">
                  <c:v>-5</c:v>
                </c:pt>
                <c:pt idx="2">
                  <c:v>-4</c:v>
                </c:pt>
                <c:pt idx="3">
                  <c:v>-3</c:v>
                </c:pt>
                <c:pt idx="4">
                  <c:v>-2</c:v>
                </c:pt>
                <c:pt idx="5">
                  <c:v>-1</c:v>
                </c:pt>
                <c:pt idx="6">
                  <c:v>0</c:v>
                </c:pt>
                <c:pt idx="7">
                  <c:v>1</c:v>
                </c:pt>
                <c:pt idx="8">
                  <c:v>2</c:v>
                </c:pt>
                <c:pt idx="9">
                  <c:v>3</c:v>
                </c:pt>
                <c:pt idx="10">
                  <c:v>4</c:v>
                </c:pt>
                <c:pt idx="11">
                  <c:v>5</c:v>
                </c:pt>
                <c:pt idx="12">
                  <c:v>6</c:v>
                </c:pt>
                <c:pt idx="13">
                  <c:v>7</c:v>
                </c:pt>
                <c:pt idx="14">
                  <c:v>8</c:v>
                </c:pt>
                <c:pt idx="15">
                  <c:v>9</c:v>
                </c:pt>
              </c:numCache>
            </c:numRef>
          </c:xVal>
          <c:yVal>
            <c:numRef>
              <c:f>Michaelian_Proability_Theory!$B$36:$Q$36</c:f>
              <c:numCache>
                <c:formatCode>0.00</c:formatCode>
                <c:ptCount val="16"/>
                <c:pt idx="0">
                  <c:v>0</c:v>
                </c:pt>
                <c:pt idx="1">
                  <c:v>37.507811686367411</c:v>
                </c:pt>
                <c:pt idx="2">
                  <c:v>31.388616711330293</c:v>
                </c:pt>
                <c:pt idx="3">
                  <c:v>42.866070498705618</c:v>
                </c:pt>
                <c:pt idx="4">
                  <c:v>33.194143909448876</c:v>
                </c:pt>
                <c:pt idx="5">
                  <c:v>33.194143909448883</c:v>
                </c:pt>
                <c:pt idx="6">
                  <c:v>42.866070498705618</c:v>
                </c:pt>
                <c:pt idx="7">
                  <c:v>31.388616711330293</c:v>
                </c:pt>
                <c:pt idx="8">
                  <c:v>37.507811686367411</c:v>
                </c:pt>
                <c:pt idx="9">
                  <c:v>29.742400736575114</c:v>
                </c:pt>
                <c:pt idx="10">
                  <c:v>18.608881744274271</c:v>
                </c:pt>
                <c:pt idx="11">
                  <c:v>11.096985706025862</c:v>
                </c:pt>
                <c:pt idx="12">
                  <c:v>11.887278973767172</c:v>
                </c:pt>
                <c:pt idx="13">
                  <c:v>15.481893391180611</c:v>
                </c:pt>
                <c:pt idx="14">
                  <c:v>16.074776437014606</c:v>
                </c:pt>
                <c:pt idx="15">
                  <c:v>0</c:v>
                </c:pt>
              </c:numCache>
            </c:numRef>
          </c:yVal>
          <c:smooth val="1"/>
          <c:extLst>
            <c:ext xmlns:c16="http://schemas.microsoft.com/office/drawing/2014/chart" uri="{C3380CC4-5D6E-409C-BE32-E72D297353CC}">
              <c16:uniqueId val="{00000000-D6F4-41DA-A25D-37EE26072906}"/>
            </c:ext>
          </c:extLst>
        </c:ser>
        <c:dLbls>
          <c:showLegendKey val="0"/>
          <c:showVal val="0"/>
          <c:showCatName val="0"/>
          <c:showSerName val="0"/>
          <c:showPercent val="0"/>
          <c:showBubbleSize val="0"/>
        </c:dLbls>
        <c:axId val="903516047"/>
        <c:axId val="903520623"/>
      </c:scatterChart>
      <c:valAx>
        <c:axId val="903516047"/>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3520623"/>
        <c:crosses val="autoZero"/>
        <c:crossBetween val="midCat"/>
      </c:valAx>
      <c:valAx>
        <c:axId val="903520623"/>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351604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9525</xdr:colOff>
      <xdr:row>39</xdr:row>
      <xdr:rowOff>4762</xdr:rowOff>
    </xdr:from>
    <xdr:to>
      <xdr:col>6</xdr:col>
      <xdr:colOff>0</xdr:colOff>
      <xdr:row>54</xdr:row>
      <xdr:rowOff>0</xdr:rowOff>
    </xdr:to>
    <xdr:graphicFrame macro="">
      <xdr:nvGraphicFramePr>
        <xdr:cNvPr id="3" name="Chart 2">
          <a:extLst>
            <a:ext uri="{FF2B5EF4-FFF2-40B4-BE49-F238E27FC236}">
              <a16:creationId xmlns:a16="http://schemas.microsoft.com/office/drawing/2014/main" id="{2810F91E-7CA1-4434-87A2-D26CAC67F0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67"/>
  <sheetViews>
    <sheetView tabSelected="1" zoomScale="85" zoomScaleNormal="85" workbookViewId="0">
      <selection activeCell="B12" sqref="B12"/>
    </sheetView>
  </sheetViews>
  <sheetFormatPr defaultRowHeight="15" x14ac:dyDescent="0.25"/>
  <cols>
    <col min="1" max="1" width="49.7109375" customWidth="1"/>
    <col min="2" max="2" width="10.5703125" bestFit="1" customWidth="1"/>
    <col min="3" max="3" width="10.7109375" customWidth="1"/>
    <col min="4" max="4" width="13.42578125" customWidth="1"/>
    <col min="5" max="5" width="10.5703125" bestFit="1" customWidth="1"/>
    <col min="6" max="6" width="10.140625" customWidth="1"/>
    <col min="7" max="7" width="13.28515625" customWidth="1"/>
    <col min="8" max="8" width="10.85546875" customWidth="1"/>
    <col min="9" max="9" width="9.5703125" customWidth="1"/>
    <col min="10" max="10" width="13.42578125" customWidth="1"/>
    <col min="11" max="13" width="12" customWidth="1"/>
    <col min="14" max="15" width="9.7109375" bestFit="1" customWidth="1"/>
  </cols>
  <sheetData>
    <row r="1" spans="1:13" x14ac:dyDescent="0.25">
      <c r="A1" t="s">
        <v>37</v>
      </c>
    </row>
    <row r="2" spans="1:13" x14ac:dyDescent="0.25">
      <c r="A2" s="16" t="s">
        <v>43</v>
      </c>
    </row>
    <row r="3" spans="1:13" ht="15.75" thickBot="1" x14ac:dyDescent="0.3"/>
    <row r="4" spans="1:13" ht="15.75" thickBot="1" x14ac:dyDescent="0.3">
      <c r="A4" t="s">
        <v>36</v>
      </c>
      <c r="B4" s="43">
        <v>50</v>
      </c>
    </row>
    <row r="5" spans="1:13" x14ac:dyDescent="0.25">
      <c r="A5" s="16" t="s">
        <v>47</v>
      </c>
    </row>
    <row r="6" spans="1:13" ht="15.75" thickBot="1" x14ac:dyDescent="0.3"/>
    <row r="7" spans="1:13" ht="15.75" thickBot="1" x14ac:dyDescent="0.3">
      <c r="A7" s="3" t="s">
        <v>4</v>
      </c>
      <c r="B7" s="83" t="s">
        <v>9</v>
      </c>
      <c r="C7" s="84"/>
      <c r="D7" s="85"/>
      <c r="E7" s="86" t="s">
        <v>10</v>
      </c>
      <c r="F7" s="87"/>
      <c r="G7" s="88"/>
      <c r="H7" s="89" t="s">
        <v>11</v>
      </c>
      <c r="I7" s="89"/>
      <c r="J7" s="90"/>
      <c r="K7" s="10"/>
      <c r="L7" s="11"/>
      <c r="M7" s="11"/>
    </row>
    <row r="8" spans="1:13" ht="60.75" thickBot="1" x14ac:dyDescent="0.3">
      <c r="A8" s="4" t="s">
        <v>3</v>
      </c>
      <c r="B8" s="8" t="s">
        <v>12</v>
      </c>
      <c r="C8" s="9" t="s">
        <v>38</v>
      </c>
      <c r="D8" s="57" t="s">
        <v>45</v>
      </c>
      <c r="E8" s="5" t="s">
        <v>12</v>
      </c>
      <c r="F8" s="6" t="s">
        <v>38</v>
      </c>
      <c r="G8" s="51" t="s">
        <v>45</v>
      </c>
      <c r="H8" s="5" t="s">
        <v>12</v>
      </c>
      <c r="I8" s="6" t="s">
        <v>38</v>
      </c>
      <c r="J8" s="51" t="s">
        <v>45</v>
      </c>
      <c r="K8" s="10"/>
      <c r="L8" s="7"/>
      <c r="M8" s="7"/>
    </row>
    <row r="9" spans="1:13" x14ac:dyDescent="0.25">
      <c r="A9" s="12" t="s">
        <v>26</v>
      </c>
      <c r="B9" s="74">
        <v>0</v>
      </c>
      <c r="C9" s="20">
        <v>1</v>
      </c>
      <c r="D9" s="58">
        <f>(((SUMIF(B$9:B$16,"&gt;="&amp;($B9-(($B$18-$B$17)*(B$4/100))),C$9:C$16)+SUMIF(B$9:B$16,"&lt;="&amp;($B9+(($B$18-$B$17)*(B$4/100))),C$9:C$16))-(SUM(C$9:C$16)-1))*(1-(1/SUM($C$9:$C$16))))</f>
        <v>7</v>
      </c>
      <c r="E9" s="21"/>
      <c r="F9" s="22"/>
      <c r="G9" s="56"/>
      <c r="H9" s="21"/>
      <c r="I9" s="22"/>
      <c r="J9" s="22"/>
      <c r="K9" s="10"/>
      <c r="L9" s="10"/>
      <c r="M9" s="10"/>
    </row>
    <row r="10" spans="1:13" x14ac:dyDescent="0.25">
      <c r="A10" s="13" t="s">
        <v>27</v>
      </c>
      <c r="B10" s="75">
        <v>0</v>
      </c>
      <c r="C10" s="23">
        <v>1</v>
      </c>
      <c r="D10" s="27">
        <f t="shared" ref="D10:D16" si="0">(((SUMIF(B$9:B$16,"&gt;="&amp;($B10-(($B$18-$B$17)*(B$4/100))),C$9:C$16)+SUMIF(B$9:B$16,"&lt;="&amp;($B10+(($B$18-$B$17)*(B$4/100))),C$9:C$16))-(SUM(C$9:C$16)-1))*(1-(1/SUM($C$9:$C$16))))</f>
        <v>7</v>
      </c>
      <c r="E10" s="24"/>
      <c r="F10" s="25"/>
      <c r="G10" s="55"/>
      <c r="H10" s="24"/>
      <c r="I10" s="25"/>
      <c r="J10" s="25"/>
      <c r="K10" s="10"/>
      <c r="L10" s="10"/>
      <c r="M10" s="10"/>
    </row>
    <row r="11" spans="1:13" x14ac:dyDescent="0.25">
      <c r="A11" s="13" t="s">
        <v>28</v>
      </c>
      <c r="B11" s="75">
        <v>0</v>
      </c>
      <c r="C11" s="23">
        <v>1</v>
      </c>
      <c r="D11" s="27">
        <f t="shared" si="0"/>
        <v>7</v>
      </c>
      <c r="E11" s="24"/>
      <c r="F11" s="25"/>
      <c r="G11" s="55"/>
      <c r="H11" s="24"/>
      <c r="I11" s="25"/>
      <c r="J11" s="25"/>
      <c r="K11" s="10"/>
      <c r="L11" s="10"/>
      <c r="M11" s="71"/>
    </row>
    <row r="12" spans="1:13" x14ac:dyDescent="0.25">
      <c r="A12" s="13" t="s">
        <v>29</v>
      </c>
      <c r="B12" s="75">
        <v>-5</v>
      </c>
      <c r="C12" s="23">
        <v>1</v>
      </c>
      <c r="D12" s="27">
        <f t="shared" si="0"/>
        <v>6.125</v>
      </c>
      <c r="E12" s="24"/>
      <c r="F12" s="25"/>
      <c r="G12" s="55"/>
      <c r="H12" s="24"/>
      <c r="I12" s="25"/>
      <c r="J12" s="25"/>
      <c r="K12" s="10"/>
      <c r="L12" s="10"/>
      <c r="M12" s="10"/>
    </row>
    <row r="13" spans="1:13" x14ac:dyDescent="0.25">
      <c r="A13" s="13" t="s">
        <v>30</v>
      </c>
      <c r="B13" s="75">
        <v>-5</v>
      </c>
      <c r="C13" s="23">
        <v>1</v>
      </c>
      <c r="D13" s="27">
        <f t="shared" si="0"/>
        <v>6.125</v>
      </c>
      <c r="E13" s="26">
        <v>1</v>
      </c>
      <c r="F13" s="23">
        <v>1</v>
      </c>
      <c r="G13" s="27" t="s">
        <v>8</v>
      </c>
      <c r="H13" s="24"/>
      <c r="I13" s="25"/>
      <c r="J13" s="25"/>
      <c r="K13" s="10"/>
      <c r="L13" s="10"/>
      <c r="M13" s="10"/>
    </row>
    <row r="14" spans="1:13" x14ac:dyDescent="0.25">
      <c r="A14" s="13" t="s">
        <v>31</v>
      </c>
      <c r="B14" s="75">
        <v>-3</v>
      </c>
      <c r="C14" s="23">
        <v>1</v>
      </c>
      <c r="D14" s="27">
        <f t="shared" si="0"/>
        <v>7</v>
      </c>
      <c r="E14" s="26">
        <v>3</v>
      </c>
      <c r="F14" s="23">
        <v>1</v>
      </c>
      <c r="G14" s="27" t="s">
        <v>8</v>
      </c>
      <c r="H14" s="26">
        <v>1</v>
      </c>
      <c r="I14" s="23">
        <v>1</v>
      </c>
      <c r="J14" s="23" t="s">
        <v>8</v>
      </c>
      <c r="K14" s="10"/>
      <c r="L14" s="10"/>
      <c r="M14" s="10"/>
    </row>
    <row r="15" spans="1:13" x14ac:dyDescent="0.25">
      <c r="A15" s="13" t="s">
        <v>32</v>
      </c>
      <c r="B15" s="75">
        <v>2</v>
      </c>
      <c r="C15" s="23">
        <v>1</v>
      </c>
      <c r="D15" s="27">
        <f t="shared" si="0"/>
        <v>6.125</v>
      </c>
      <c r="E15" s="26">
        <v>5</v>
      </c>
      <c r="F15" s="23">
        <v>1</v>
      </c>
      <c r="G15" s="27" t="s">
        <v>8</v>
      </c>
      <c r="H15" s="26">
        <v>5</v>
      </c>
      <c r="I15" s="23">
        <v>1</v>
      </c>
      <c r="J15" s="23" t="s">
        <v>8</v>
      </c>
      <c r="K15" s="10"/>
      <c r="L15" s="10"/>
      <c r="M15" s="10"/>
    </row>
    <row r="16" spans="1:13" ht="15.75" thickBot="1" x14ac:dyDescent="0.3">
      <c r="A16" s="14" t="s">
        <v>33</v>
      </c>
      <c r="B16" s="101">
        <v>8</v>
      </c>
      <c r="C16" s="28">
        <v>1</v>
      </c>
      <c r="D16" s="59">
        <f t="shared" si="0"/>
        <v>2.625</v>
      </c>
      <c r="E16" s="29">
        <v>7</v>
      </c>
      <c r="F16" s="30">
        <v>1</v>
      </c>
      <c r="G16" s="31" t="s">
        <v>8</v>
      </c>
      <c r="H16" s="29">
        <v>9</v>
      </c>
      <c r="I16" s="30">
        <v>1</v>
      </c>
      <c r="J16" s="30" t="s">
        <v>8</v>
      </c>
      <c r="K16" s="10"/>
      <c r="L16" s="10"/>
      <c r="M16" s="10"/>
    </row>
    <row r="17" spans="1:17" x14ac:dyDescent="0.25">
      <c r="A17" s="68" t="s">
        <v>1</v>
      </c>
      <c r="B17" s="32">
        <f>MIN($B$9,$B$10,$B$11,$B$12,$B$13,$B$14,$B$15,$B$16)</f>
        <v>-5</v>
      </c>
      <c r="C17" s="33"/>
      <c r="D17" s="52"/>
      <c r="E17" s="34">
        <f>MIN($E$13,$E$14,$E$15,$E$16)</f>
        <v>1</v>
      </c>
      <c r="F17" s="35"/>
      <c r="G17" s="36"/>
      <c r="H17" s="48">
        <f>MIN($H$14,$H$15,$H$16)</f>
        <v>1</v>
      </c>
      <c r="I17" s="35"/>
      <c r="J17" s="36"/>
      <c r="K17" s="10"/>
      <c r="L17" s="10"/>
      <c r="M17" s="10"/>
    </row>
    <row r="18" spans="1:17" x14ac:dyDescent="0.25">
      <c r="A18" s="69" t="s">
        <v>2</v>
      </c>
      <c r="B18" s="37">
        <f>MAX($B$9,$B$10,$B$11,$B$12,$B$13,$B$14,$B$15,$B$16)</f>
        <v>8</v>
      </c>
      <c r="C18" s="38"/>
      <c r="D18" s="53"/>
      <c r="E18" s="37">
        <f>MAX($E$13,$E$14,$E$15,$E$16)</f>
        <v>7</v>
      </c>
      <c r="F18" s="38"/>
      <c r="G18" s="39"/>
      <c r="H18" s="49">
        <f>MAX($H$14,$H$15,$H$16)</f>
        <v>9</v>
      </c>
      <c r="I18" s="38"/>
      <c r="J18" s="39"/>
      <c r="K18" s="10"/>
      <c r="L18" s="10"/>
      <c r="M18" s="10"/>
    </row>
    <row r="19" spans="1:17" x14ac:dyDescent="0.25">
      <c r="A19" s="69" t="s">
        <v>0</v>
      </c>
      <c r="B19" s="37">
        <f>((SUM($B$9:$B$16)-(($B$17-1)*SUM($C$9:$C$16)))/SUM($C$9:$C$16))</f>
        <v>5.625</v>
      </c>
      <c r="C19" s="38"/>
      <c r="D19" s="53"/>
      <c r="E19" s="37">
        <f>((SUM($E$9:$E$16)-(($E$17-1)*SUM($F$9:$F$16)))/SUM($F$9:$F$16))</f>
        <v>4</v>
      </c>
      <c r="F19" s="38"/>
      <c r="G19" s="39"/>
      <c r="H19" s="49">
        <f>((SUM($H$9:$H$16)-(($H$17-1)*SUM($I$9:$I$16)))/SUM($I$9:$I$16))</f>
        <v>5</v>
      </c>
      <c r="I19" s="38"/>
      <c r="J19" s="39"/>
      <c r="K19" s="10"/>
      <c r="L19" s="10"/>
      <c r="M19" s="10"/>
    </row>
    <row r="20" spans="1:17" x14ac:dyDescent="0.25">
      <c r="A20" s="69" t="s">
        <v>6</v>
      </c>
      <c r="B20" s="37">
        <f>(((SQRT((($B$9-($B$17-1))-$B$19)^2)+SQRT((($B$10-($B$17-1))-$B$19)^2)+SQRT((($B$11-($B$17-1))-$B$19)^2)+SQRT((($B$12-($B$17-1))-$B$19)^2)+SQRT((($B$13-($B$17-1))-$B$19)^2)+SQRT((($B$14-($B$17-1))-$B$19)^2)+SQRT((($B$15-($B$17-1))-$B$19)^2)+SQRT((($B$16-($B$17-1))-$B$19)^2))/SUM($C$9:$C$16))*100)</f>
        <v>296.875</v>
      </c>
      <c r="C20" s="38"/>
      <c r="D20" s="53"/>
      <c r="E20" s="37">
        <f>(((SQRT((($E$13-($E$17-1))-$E$19)^2)+SQRT((($E$14-($E$17-1))-$E$19)^2)+SQRT((($E$15-($E$17-1))-$E$19)^2)+SQRT((($E$16-($E$17-1))-$E$19)^2))/SUM($F$9:$F$16))*100)</f>
        <v>200</v>
      </c>
      <c r="F20" s="38"/>
      <c r="G20" s="39"/>
      <c r="H20" s="49">
        <f>(((SQRT((($H$14-($H$17-1))-$H$19)^2)+SQRT((($H$15-($H$17-1))-$H$19)^2)+SQRT((($H$16-($H$17-1))-$H$19)^2))/SUM($I$9:$I$16))*100)</f>
        <v>266.66666666666663</v>
      </c>
      <c r="I20" s="38"/>
      <c r="J20" s="39"/>
      <c r="K20" s="10"/>
      <c r="L20" s="10"/>
      <c r="M20" s="10"/>
    </row>
    <row r="21" spans="1:17" ht="15.75" thickBot="1" x14ac:dyDescent="0.3">
      <c r="A21" s="70" t="s">
        <v>42</v>
      </c>
      <c r="B21" s="40">
        <f>(((B$20*(SUM($F$9:$F$16)+SUM($I$9:$I$16)))/SUM($C$9:$C$16))/SUM($I$9:$I$16))</f>
        <v>86.588541666666671</v>
      </c>
      <c r="C21" s="41"/>
      <c r="D21" s="54"/>
      <c r="E21" s="40">
        <f>(((E$20*(SUM($C$9:$C$16)+SUM($I$9:$I$16)))/SUM($F$9:$F$16))/SUM($I$9:$I$16))</f>
        <v>183.33333333333334</v>
      </c>
      <c r="F21" s="41"/>
      <c r="G21" s="42"/>
      <c r="H21" s="50">
        <f>(((H$20*(SUM($C$9:$C$16)+SUM($F$9:$F$16)))/SUM($I$9:$I$16))/SUM($I$9:$I$16))</f>
        <v>355.55555555555549</v>
      </c>
      <c r="I21" s="41"/>
      <c r="J21" s="42"/>
      <c r="K21" s="10"/>
      <c r="L21" s="10"/>
      <c r="M21" s="10"/>
    </row>
    <row r="22" spans="1:17" x14ac:dyDescent="0.25">
      <c r="A22" s="17" t="s">
        <v>46</v>
      </c>
      <c r="B22" s="3"/>
      <c r="C22" s="3"/>
      <c r="D22" s="3"/>
      <c r="E22" s="3"/>
      <c r="F22" s="1"/>
    </row>
    <row r="23" spans="1:17" ht="15.75" thickBot="1" x14ac:dyDescent="0.3">
      <c r="A23" s="3"/>
      <c r="B23" s="3"/>
      <c r="C23" s="3"/>
      <c r="D23" s="3"/>
      <c r="E23" s="3"/>
      <c r="F23" s="1"/>
    </row>
    <row r="24" spans="1:17" ht="15.75" thickBot="1" x14ac:dyDescent="0.3">
      <c r="A24" s="3" t="s">
        <v>5</v>
      </c>
      <c r="B24" s="91" t="s">
        <v>9</v>
      </c>
      <c r="C24" s="92"/>
      <c r="D24" s="92"/>
      <c r="E24" s="92"/>
      <c r="F24" s="92"/>
      <c r="G24" s="92"/>
      <c r="H24" s="92"/>
      <c r="I24" s="92"/>
      <c r="J24" s="92"/>
      <c r="K24" s="92"/>
      <c r="L24" s="92"/>
      <c r="M24" s="92"/>
      <c r="N24" s="92"/>
      <c r="O24" s="92"/>
      <c r="P24" s="92"/>
      <c r="Q24" s="93"/>
    </row>
    <row r="25" spans="1:17" ht="15.75" thickBot="1" x14ac:dyDescent="0.3">
      <c r="A25" s="60" t="s">
        <v>7</v>
      </c>
      <c r="B25" s="72">
        <v>-6</v>
      </c>
      <c r="C25" s="73">
        <v>-5</v>
      </c>
      <c r="D25" s="73">
        <v>-4</v>
      </c>
      <c r="E25" s="73">
        <v>-3</v>
      </c>
      <c r="F25" s="73">
        <v>-2</v>
      </c>
      <c r="G25" s="73">
        <v>-1</v>
      </c>
      <c r="H25" s="73">
        <v>0</v>
      </c>
      <c r="I25" s="73">
        <v>1</v>
      </c>
      <c r="J25" s="73">
        <v>2</v>
      </c>
      <c r="K25" s="73">
        <v>3</v>
      </c>
      <c r="L25" s="73">
        <v>4</v>
      </c>
      <c r="M25" s="73">
        <v>5</v>
      </c>
      <c r="N25" s="73">
        <v>6</v>
      </c>
      <c r="O25" s="73">
        <v>7</v>
      </c>
      <c r="P25" s="73">
        <v>8</v>
      </c>
      <c r="Q25" s="100">
        <v>9</v>
      </c>
    </row>
    <row r="26" spans="1:17" x14ac:dyDescent="0.25">
      <c r="A26" s="65" t="s">
        <v>14</v>
      </c>
      <c r="B26" s="61" t="str">
        <f t="shared" ref="B26:O26" si="1">(IF(B$25&gt;$B$18,"OOR",IF(B$25&lt;$B$17,"OOR",LARGE($B$9:$B$16,COUNTIF($B$9:$B$16,"&gt;"&amp;B$25)+1))))</f>
        <v>OOR</v>
      </c>
      <c r="C26" s="62">
        <f t="shared" si="1"/>
        <v>-5</v>
      </c>
      <c r="D26" s="62">
        <f t="shared" si="1"/>
        <v>-5</v>
      </c>
      <c r="E26" s="62">
        <f t="shared" si="1"/>
        <v>-3</v>
      </c>
      <c r="F26" s="62">
        <f t="shared" si="1"/>
        <v>-3</v>
      </c>
      <c r="G26" s="62">
        <f t="shared" si="1"/>
        <v>-3</v>
      </c>
      <c r="H26" s="62">
        <f t="shared" si="1"/>
        <v>0</v>
      </c>
      <c r="I26" s="62">
        <f t="shared" si="1"/>
        <v>0</v>
      </c>
      <c r="J26" s="62">
        <f t="shared" si="1"/>
        <v>2</v>
      </c>
      <c r="K26" s="62">
        <f t="shared" si="1"/>
        <v>2</v>
      </c>
      <c r="L26" s="62">
        <f t="shared" si="1"/>
        <v>2</v>
      </c>
      <c r="M26" s="62">
        <f t="shared" si="1"/>
        <v>2</v>
      </c>
      <c r="N26" s="62">
        <f t="shared" si="1"/>
        <v>2</v>
      </c>
      <c r="O26" s="62">
        <f t="shared" si="1"/>
        <v>2</v>
      </c>
      <c r="P26" s="62">
        <f t="shared" ref="P26:Q26" si="2">(IF(P$25&gt;$B$18,"OOR",IF(P$25&lt;$B$17,"OOR",LARGE($B$9:$B$16,COUNTIF($B$9:$B$16,"&gt;"&amp;P$25)+1))))</f>
        <v>8</v>
      </c>
      <c r="Q26" s="63" t="str">
        <f t="shared" si="2"/>
        <v>OOR</v>
      </c>
    </row>
    <row r="27" spans="1:17" x14ac:dyDescent="0.25">
      <c r="A27" s="66" t="s">
        <v>13</v>
      </c>
      <c r="B27" s="18" t="str">
        <f t="shared" ref="B27:O27" si="3">(IF(B$25&gt;$B$18,"OOR",IF(B$25&lt;$B$17,"OOR",SMALL($B$9:$B$16,COUNTIF($B$9:$B$16,"&lt;"&amp;B$25)+1))))</f>
        <v>OOR</v>
      </c>
      <c r="C27" s="44">
        <f t="shared" si="3"/>
        <v>-5</v>
      </c>
      <c r="D27" s="44">
        <f t="shared" si="3"/>
        <v>-3</v>
      </c>
      <c r="E27" s="44">
        <f t="shared" si="3"/>
        <v>-3</v>
      </c>
      <c r="F27" s="44">
        <f t="shared" si="3"/>
        <v>0</v>
      </c>
      <c r="G27" s="44">
        <f t="shared" si="3"/>
        <v>0</v>
      </c>
      <c r="H27" s="44">
        <f t="shared" si="3"/>
        <v>0</v>
      </c>
      <c r="I27" s="44">
        <f t="shared" si="3"/>
        <v>2</v>
      </c>
      <c r="J27" s="44">
        <f t="shared" si="3"/>
        <v>2</v>
      </c>
      <c r="K27" s="44">
        <f t="shared" si="3"/>
        <v>8</v>
      </c>
      <c r="L27" s="44">
        <f t="shared" si="3"/>
        <v>8</v>
      </c>
      <c r="M27" s="44">
        <f t="shared" si="3"/>
        <v>8</v>
      </c>
      <c r="N27" s="44">
        <f t="shared" si="3"/>
        <v>8</v>
      </c>
      <c r="O27" s="44">
        <f t="shared" si="3"/>
        <v>8</v>
      </c>
      <c r="P27" s="44">
        <f t="shared" ref="P27:Q27" si="4">(IF(P$25&gt;$B$18,"OOR",IF(P$25&lt;$B$17,"OOR",SMALL($B$9:$B$16,COUNTIF($B$9:$B$16,"&lt;"&amp;P$25)+1))))</f>
        <v>8</v>
      </c>
      <c r="Q27" s="45" t="str">
        <f t="shared" si="4"/>
        <v>OOR</v>
      </c>
    </row>
    <row r="28" spans="1:17" x14ac:dyDescent="0.25">
      <c r="A28" s="66" t="s">
        <v>21</v>
      </c>
      <c r="B28" s="18">
        <f t="shared" ref="B28:O28" si="5">(SQRT((IF(B$25&gt;$B$18,0,IF(B$25&lt;$B$17,0,(50-(100/SUM($C$9:$C$16)))))*(IF(ISNUMBER(B$26),(VLOOKUP(B$26,$B$9:$D$16,3,FALSE)*IF(B$27=B$26,1,((B$25-B$26)/(B$27-B$26)))),0))^2))/(SUM($C$9:$C$16)/8))</f>
        <v>0</v>
      </c>
      <c r="C28" s="44">
        <f t="shared" si="5"/>
        <v>37.507811686367411</v>
      </c>
      <c r="D28" s="44">
        <f t="shared" si="5"/>
        <v>18.753905843183706</v>
      </c>
      <c r="E28" s="44">
        <f t="shared" si="5"/>
        <v>42.866070498705618</v>
      </c>
      <c r="F28" s="44">
        <f t="shared" si="5"/>
        <v>14.288690166235202</v>
      </c>
      <c r="G28" s="44">
        <f t="shared" si="5"/>
        <v>28.577380332470405</v>
      </c>
      <c r="H28" s="44">
        <f t="shared" si="5"/>
        <v>42.866070498705618</v>
      </c>
      <c r="I28" s="44">
        <f t="shared" si="5"/>
        <v>21.433035249352809</v>
      </c>
      <c r="J28" s="44">
        <f t="shared" si="5"/>
        <v>37.507811686367411</v>
      </c>
      <c r="K28" s="44">
        <f t="shared" si="5"/>
        <v>6.2513019477279013</v>
      </c>
      <c r="L28" s="44">
        <f t="shared" si="5"/>
        <v>12.502603895455803</v>
      </c>
      <c r="M28" s="44">
        <f t="shared" si="5"/>
        <v>18.753905843183706</v>
      </c>
      <c r="N28" s="44">
        <f t="shared" si="5"/>
        <v>25.005207790911605</v>
      </c>
      <c r="O28" s="44">
        <f t="shared" si="5"/>
        <v>31.256509738639512</v>
      </c>
      <c r="P28" s="44">
        <f t="shared" ref="P28:Q28" si="6">(SQRT((IF(P$25&gt;$B$18,0,IF(P$25&lt;$B$17,0,(50-(100/SUM($C$9:$C$16)))))*(IF(ISNUMBER(P$26),(VLOOKUP(P$26,$B$9:$D$16,3,FALSE)*IF(P$27=P$26,1,((P$25-P$26)/(P$27-P$26)))),0))^2))/(SUM($C$9:$C$16)/8))</f>
        <v>16.074776437014606</v>
      </c>
      <c r="Q28" s="45">
        <f t="shared" si="6"/>
        <v>0</v>
      </c>
    </row>
    <row r="29" spans="1:17" x14ac:dyDescent="0.25">
      <c r="A29" s="66" t="s">
        <v>23</v>
      </c>
      <c r="B29" s="18">
        <f t="shared" ref="B29:O29" si="7">(SQRT((IF(B$25&gt;$B$18,0,IF(B$25&lt;$B$17,0,(50-((100/SUM($C$9:$C$16))))))*(IF(ISNUMBER(B$26),(VLOOKUP(B$27,$B$9:$D$16,3,FALSE)*IF(B$27=B$26,1,((B$25-B$26)/(B$27-B$26)))),0))^2))/(SUM($C$9:$C$16)/8))</f>
        <v>0</v>
      </c>
      <c r="C29" s="44">
        <f t="shared" si="7"/>
        <v>37.507811686367411</v>
      </c>
      <c r="D29" s="44">
        <f t="shared" si="7"/>
        <v>21.433035249352809</v>
      </c>
      <c r="E29" s="44">
        <f t="shared" si="7"/>
        <v>42.866070498705618</v>
      </c>
      <c r="F29" s="44">
        <f t="shared" si="7"/>
        <v>14.288690166235202</v>
      </c>
      <c r="G29" s="44">
        <f t="shared" si="7"/>
        <v>28.577380332470405</v>
      </c>
      <c r="H29" s="44">
        <f t="shared" si="7"/>
        <v>42.866070498705618</v>
      </c>
      <c r="I29" s="44">
        <f t="shared" si="7"/>
        <v>18.753905843183706</v>
      </c>
      <c r="J29" s="44">
        <f t="shared" si="7"/>
        <v>37.507811686367411</v>
      </c>
      <c r="K29" s="44">
        <f t="shared" si="7"/>
        <v>2.6791294061691011</v>
      </c>
      <c r="L29" s="44">
        <f t="shared" si="7"/>
        <v>5.3582588123382022</v>
      </c>
      <c r="M29" s="44">
        <f t="shared" si="7"/>
        <v>8.0373882185073029</v>
      </c>
      <c r="N29" s="44">
        <f t="shared" si="7"/>
        <v>10.716517624676404</v>
      </c>
      <c r="O29" s="44">
        <f t="shared" si="7"/>
        <v>13.395647030845506</v>
      </c>
      <c r="P29" s="44">
        <f t="shared" ref="P29:Q29" si="8">(SQRT((IF(P$25&gt;$B$18,0,IF(P$25&lt;$B$17,0,(50-((100/SUM($C$9:$C$16))))))*(IF(ISNUMBER(P$26),(VLOOKUP(P$27,$B$9:$D$16,3,FALSE)*IF(P$27=P$26,1,((P$25-P$26)/(P$27-P$26)))),0))^2))/(SUM($C$9:$C$16)/8))</f>
        <v>16.074776437014606</v>
      </c>
      <c r="Q29" s="45">
        <f t="shared" si="8"/>
        <v>0</v>
      </c>
    </row>
    <row r="30" spans="1:17" x14ac:dyDescent="0.25">
      <c r="A30" s="66" t="s">
        <v>22</v>
      </c>
      <c r="B30" s="18">
        <f t="shared" ref="B30:O30" si="9">(SQRT((IF(B$25&gt;$B$18,0,IF(B$25&lt;$B$17,0,(50-((100/SUM($C$9:$C$16))))))*(IF(ISNUMBER(B$26),(VLOOKUP(B$26,$B$9:$D$16,3,FALSE)*IF(B$27=B$26,1,((B$27-B$25)/(B$27-B$26)))),0))^2))/(SUM($C$9:$C$16)/8))</f>
        <v>0</v>
      </c>
      <c r="C30" s="44">
        <f t="shared" si="9"/>
        <v>37.507811686367411</v>
      </c>
      <c r="D30" s="44">
        <f t="shared" si="9"/>
        <v>18.753905843183706</v>
      </c>
      <c r="E30" s="44">
        <f t="shared" si="9"/>
        <v>42.866070498705618</v>
      </c>
      <c r="F30" s="44">
        <f t="shared" si="9"/>
        <v>28.577380332470405</v>
      </c>
      <c r="G30" s="44">
        <f t="shared" si="9"/>
        <v>14.288690166235202</v>
      </c>
      <c r="H30" s="44">
        <f t="shared" si="9"/>
        <v>42.866070498705618</v>
      </c>
      <c r="I30" s="44">
        <f t="shared" si="9"/>
        <v>21.433035249352809</v>
      </c>
      <c r="J30" s="44">
        <f t="shared" si="9"/>
        <v>37.507811686367411</v>
      </c>
      <c r="K30" s="44">
        <f t="shared" si="9"/>
        <v>31.256509738639512</v>
      </c>
      <c r="L30" s="44">
        <f t="shared" si="9"/>
        <v>25.005207790911605</v>
      </c>
      <c r="M30" s="44">
        <f t="shared" si="9"/>
        <v>18.753905843183706</v>
      </c>
      <c r="N30" s="44">
        <f t="shared" si="9"/>
        <v>12.502603895455803</v>
      </c>
      <c r="O30" s="44">
        <f t="shared" si="9"/>
        <v>6.2513019477279013</v>
      </c>
      <c r="P30" s="44">
        <f t="shared" ref="P30:Q30" si="10">(SQRT((IF(P$25&gt;$B$18,0,IF(P$25&lt;$B$17,0,(50-((100/SUM($C$9:$C$16))))))*(IF(ISNUMBER(P$26),(VLOOKUP(P$26,$B$9:$D$16,3,FALSE)*IF(P$27=P$26,1,((P$27-P$25)/(P$27-P$26)))),0))^2))/(SUM($C$9:$C$16)/8))</f>
        <v>16.074776437014606</v>
      </c>
      <c r="Q30" s="45">
        <f t="shared" si="10"/>
        <v>0</v>
      </c>
    </row>
    <row r="31" spans="1:17" x14ac:dyDescent="0.25">
      <c r="A31" s="66" t="s">
        <v>24</v>
      </c>
      <c r="B31" s="18">
        <f t="shared" ref="B31:O31" si="11">(SQRT((IF(B$25&gt;$B$18,0,IF(B$25&lt;$B$17,0,(50-((100/SUM($C$9:$C$16))))))*(IF(ISNUMBER(B$26),(VLOOKUP(B$27,$B$9:$D$16,3,FALSE)*IF(B$27=B$26,1,((B$27-B$25)/(B$27-B$26)))),0))^2))/(SUM($C$9:$C$16)/8))</f>
        <v>0</v>
      </c>
      <c r="C31" s="44">
        <f t="shared" si="11"/>
        <v>37.507811686367411</v>
      </c>
      <c r="D31" s="44">
        <f t="shared" si="11"/>
        <v>21.433035249352809</v>
      </c>
      <c r="E31" s="44">
        <f t="shared" si="11"/>
        <v>42.866070498705618</v>
      </c>
      <c r="F31" s="44">
        <f t="shared" si="11"/>
        <v>28.577380332470405</v>
      </c>
      <c r="G31" s="44">
        <f t="shared" si="11"/>
        <v>14.288690166235202</v>
      </c>
      <c r="H31" s="44">
        <f t="shared" si="11"/>
        <v>42.866070498705618</v>
      </c>
      <c r="I31" s="44">
        <f t="shared" si="11"/>
        <v>18.753905843183706</v>
      </c>
      <c r="J31" s="44">
        <f t="shared" si="11"/>
        <v>37.507811686367411</v>
      </c>
      <c r="K31" s="44">
        <f t="shared" si="11"/>
        <v>13.395647030845506</v>
      </c>
      <c r="L31" s="44">
        <f t="shared" si="11"/>
        <v>10.716517624676404</v>
      </c>
      <c r="M31" s="44">
        <f t="shared" si="11"/>
        <v>8.0373882185073029</v>
      </c>
      <c r="N31" s="44">
        <f t="shared" si="11"/>
        <v>5.3582588123382022</v>
      </c>
      <c r="O31" s="44">
        <f t="shared" si="11"/>
        <v>2.6791294061691011</v>
      </c>
      <c r="P31" s="44">
        <f t="shared" ref="P31:Q31" si="12">(SQRT((IF(P$25&gt;$B$18,0,IF(P$25&lt;$B$17,0,(50-((100/SUM($C$9:$C$16))))))*(IF(ISNUMBER(P$26),(VLOOKUP(P$27,$B$9:$D$16,3,FALSE)*IF(P$27=P$26,1,((P$27-P$25)/(P$27-P$26)))),0))^2))/(SUM($C$9:$C$16)/8))</f>
        <v>16.074776437014606</v>
      </c>
      <c r="Q31" s="45">
        <f t="shared" si="12"/>
        <v>0</v>
      </c>
    </row>
    <row r="32" spans="1:17" x14ac:dyDescent="0.25">
      <c r="A32" s="66" t="s">
        <v>25</v>
      </c>
      <c r="B32" s="18">
        <f>(IF(ISNUMBER(B$26),IF(B$26=B$27,B$28,(((B$28*(1-((B$25-B$26)/(B$27-B$26))))*((B$27-B$25)/(B$27-B$26)))+((B$29*(1-((B$27-B$25)/(B$27-B$26))))*((B$25-B$26)/(B$27-B$26)))+((B$30*(1-((B$25-B$26)/(B$27-B$26))))*((B$27-B$25)/(B$27-B$26)))+((B$31*(1-((B$27-B$25)/(B$27-B$26))))*((B$25-B$26)/(B$27-B$26))))),0))</f>
        <v>0</v>
      </c>
      <c r="C32" s="44">
        <f t="shared" ref="C32:Q32" si="13">(IF(ISNUMBER(C$26),IF(C$26=C$27,C$28,(((C$28*(1-((C$25-C$26)/(C$27-C$26))))*((C$27-C$25)/(C$27-C$26)))+((C$29*(1-((C$27-C$25)/(C$27-C$26))))*((C$25-C$26)/(C$27-C$26)))+((C$30*(1-((C$25-C$26)/(C$27-C$26))))*((C$27-C$25)/(C$27-C$26)))+((C$31*(1-((C$27-C$25)/(C$27-C$26))))*((C$25-C$26)/(C$27-C$26))))),0))</f>
        <v>37.507811686367411</v>
      </c>
      <c r="D32" s="44">
        <f t="shared" si="13"/>
        <v>20.093470546268257</v>
      </c>
      <c r="E32" s="44">
        <f t="shared" si="13"/>
        <v>42.866070498705618</v>
      </c>
      <c r="F32" s="44">
        <f t="shared" si="13"/>
        <v>23.814483610392003</v>
      </c>
      <c r="G32" s="44">
        <f t="shared" si="13"/>
        <v>23.814483610392003</v>
      </c>
      <c r="H32" s="44">
        <f t="shared" si="13"/>
        <v>42.866070498705618</v>
      </c>
      <c r="I32" s="44">
        <f t="shared" si="13"/>
        <v>20.093470546268257</v>
      </c>
      <c r="J32" s="44">
        <f t="shared" si="13"/>
        <v>37.507811686367411</v>
      </c>
      <c r="K32" s="44">
        <f t="shared" si="13"/>
        <v>26.493613016561113</v>
      </c>
      <c r="L32" s="44">
        <f t="shared" si="13"/>
        <v>18.45622479805381</v>
      </c>
      <c r="M32" s="44">
        <f t="shared" si="13"/>
        <v>13.395647030845504</v>
      </c>
      <c r="N32" s="44">
        <f t="shared" si="13"/>
        <v>11.311879714936204</v>
      </c>
      <c r="O32" s="44">
        <f t="shared" si="13"/>
        <v>12.204922850325907</v>
      </c>
      <c r="P32" s="44">
        <f t="shared" si="13"/>
        <v>16.074776437014606</v>
      </c>
      <c r="Q32" s="45">
        <f t="shared" si="13"/>
        <v>0</v>
      </c>
    </row>
    <row r="33" spans="1:17" x14ac:dyDescent="0.25">
      <c r="A33" s="66" t="s">
        <v>35</v>
      </c>
      <c r="B33" s="18">
        <f>(IF(ISNUMBER(B$26),IF(B$26=B$27,0,(((B$28*((B$25-B$26)/(B$27-B$26)))*((B$27-B$25)/(B$27-B$26)))+((B$29*((B$27-B$25)/(B$27-B$26)))*((B$25-B$26)/(B$27-B$26)))+((B$30*((B$25-B$26)/(B$27-B$26)))*((B$27-B$25)/(B$27-B$26)))+((B$31*((B$27-B$25)/(B$27-B$26)))*((B$25-B$26)/(B$27-B$26))))),0))</f>
        <v>0</v>
      </c>
      <c r="C33" s="44">
        <f t="shared" ref="C33:Q33" si="14">(IF(ISNUMBER(C$26),IF(C$26=C$27,0,(((C$28*((C$25-C$26)/(C$27-C$26)))*((C$27-C$25)/(C$27-C$26)))+((C$29*((C$27-C$25)/(C$27-C$26)))*((C$25-C$26)/(C$27-C$26)))+((C$30*((C$25-C$26)/(C$27-C$26)))*((C$27-C$25)/(C$27-C$26)))+((C$31*((C$27-C$25)/(C$27-C$26)))*((C$25-C$26)/(C$27-C$26))))),0))</f>
        <v>0</v>
      </c>
      <c r="D33" s="44">
        <f t="shared" si="14"/>
        <v>20.093470546268257</v>
      </c>
      <c r="E33" s="44">
        <f t="shared" si="14"/>
        <v>0</v>
      </c>
      <c r="F33" s="44">
        <f t="shared" si="14"/>
        <v>19.051586888313601</v>
      </c>
      <c r="G33" s="44">
        <f t="shared" si="14"/>
        <v>19.051586888313601</v>
      </c>
      <c r="H33" s="44">
        <f t="shared" si="14"/>
        <v>0</v>
      </c>
      <c r="I33" s="44">
        <f t="shared" si="14"/>
        <v>20.093470546268257</v>
      </c>
      <c r="J33" s="44">
        <f t="shared" si="14"/>
        <v>0</v>
      </c>
      <c r="K33" s="44">
        <f t="shared" si="14"/>
        <v>7.4420261282475035</v>
      </c>
      <c r="L33" s="44">
        <f t="shared" si="14"/>
        <v>11.907241805196003</v>
      </c>
      <c r="M33" s="44">
        <f t="shared" si="14"/>
        <v>13.395647030845504</v>
      </c>
      <c r="N33" s="44">
        <f t="shared" si="14"/>
        <v>11.907241805196003</v>
      </c>
      <c r="O33" s="44">
        <f t="shared" si="14"/>
        <v>7.4420261282475018</v>
      </c>
      <c r="P33" s="44">
        <f t="shared" si="14"/>
        <v>0</v>
      </c>
      <c r="Q33" s="45">
        <f t="shared" si="14"/>
        <v>0</v>
      </c>
    </row>
    <row r="34" spans="1:17" x14ac:dyDescent="0.25">
      <c r="A34" s="66" t="s">
        <v>34</v>
      </c>
      <c r="B34" s="18">
        <f>(IF(ISNUMBER(B$26),(((IF(B$26=B$27, 1, IF(B$25&lt;=((B$26+(B$27-B$26)/2)), (1-(SQRT(((B$25-B$26)/(B$27-B$26))^2))), (SQRT(((B$25-B$26)/(B$27-B$26))^2)))))-0.5)*2),0))</f>
        <v>0</v>
      </c>
      <c r="C34" s="44">
        <f t="shared" ref="C34:Q34" si="15">(IF(ISNUMBER(C$26),(((IF(C$26=C$27, 1, IF(C$25&lt;=((C$26+(C$27-C$26)/2)), (1-(SQRT(((C$25-C$26)/(C$27-C$26))^2))), (SQRT(((C$25-C$26)/(C$27-C$26))^2)))))-0.5)*2),0))</f>
        <v>1</v>
      </c>
      <c r="D34" s="44">
        <f t="shared" si="15"/>
        <v>0</v>
      </c>
      <c r="E34" s="44">
        <f t="shared" si="15"/>
        <v>1</v>
      </c>
      <c r="F34" s="44">
        <f t="shared" si="15"/>
        <v>0.33333333333333348</v>
      </c>
      <c r="G34" s="44">
        <f t="shared" si="15"/>
        <v>0.33333333333333326</v>
      </c>
      <c r="H34" s="44">
        <f t="shared" si="15"/>
        <v>1</v>
      </c>
      <c r="I34" s="44">
        <f t="shared" si="15"/>
        <v>0</v>
      </c>
      <c r="J34" s="44">
        <f t="shared" si="15"/>
        <v>1</v>
      </c>
      <c r="K34" s="44">
        <f t="shared" si="15"/>
        <v>0.66666666666666674</v>
      </c>
      <c r="L34" s="44">
        <f t="shared" si="15"/>
        <v>0.33333333333333348</v>
      </c>
      <c r="M34" s="44">
        <f t="shared" si="15"/>
        <v>0</v>
      </c>
      <c r="N34" s="44">
        <f t="shared" si="15"/>
        <v>0.33333333333333326</v>
      </c>
      <c r="O34" s="44">
        <f t="shared" si="15"/>
        <v>0.66666666666666674</v>
      </c>
      <c r="P34" s="44">
        <f t="shared" si="15"/>
        <v>1</v>
      </c>
      <c r="Q34" s="45">
        <f t="shared" si="15"/>
        <v>0</v>
      </c>
    </row>
    <row r="35" spans="1:17" x14ac:dyDescent="0.25">
      <c r="A35" s="66" t="s">
        <v>39</v>
      </c>
      <c r="B35" s="18">
        <f>(IF(B$26="OOR",0,(((B$32*(1-B$34))+((B$32+(B$33*B34))*B$34))*(1-((1-B$34)*(((B$27-B$26)/($B18-$B17))))))+((((B$32*(1-B$34))+((B$32+(B$33*B34))*B$34))*(1-((1-B$34)*(((B$27-B$26)/($B18-$B17))))))*((1-B$34)*(1-((B$27-B$26)/($B$18-$B$17)))))))</f>
        <v>0</v>
      </c>
      <c r="C35" s="44">
        <f t="shared" ref="C35:Q35" si="16">(IF(C$26="OOR",0,(((C$32*(1-C$34))+((C$32+(C$33*C34))*C$34))*(1-((1-C$34)*(((C$27-C$26)/($B18-$B17))))))+((((C$32*(1-C$34))+((C$32+(C$33*C34))*C$34))*(1-((1-C$34)*(((C$27-C$26)/($B18-$B17))))))*((1-C$34)*(1-((C$27-C$26)/($B$18-$B$17)))))))</f>
        <v>37.507811686367411</v>
      </c>
      <c r="D35" s="44">
        <f t="shared" si="16"/>
        <v>31.388616711330293</v>
      </c>
      <c r="E35" s="44">
        <f t="shared" si="16"/>
        <v>42.866070498705618</v>
      </c>
      <c r="F35" s="44">
        <f t="shared" si="16"/>
        <v>33.194143909448876</v>
      </c>
      <c r="G35" s="44">
        <f t="shared" si="16"/>
        <v>33.194143909448883</v>
      </c>
      <c r="H35" s="44">
        <f t="shared" si="16"/>
        <v>42.866070498705618</v>
      </c>
      <c r="I35" s="44">
        <f t="shared" si="16"/>
        <v>31.388616711330293</v>
      </c>
      <c r="J35" s="44">
        <f t="shared" si="16"/>
        <v>37.507811686367411</v>
      </c>
      <c r="K35" s="44">
        <f t="shared" si="16"/>
        <v>29.742400736575114</v>
      </c>
      <c r="L35" s="44">
        <f t="shared" si="16"/>
        <v>18.608881744274271</v>
      </c>
      <c r="M35" s="44">
        <f t="shared" si="16"/>
        <v>11.096985706025862</v>
      </c>
      <c r="N35" s="44">
        <f t="shared" si="16"/>
        <v>11.887278973767172</v>
      </c>
      <c r="O35" s="44">
        <f t="shared" si="16"/>
        <v>15.481893391180611</v>
      </c>
      <c r="P35" s="44">
        <f t="shared" si="16"/>
        <v>16.074776437014606</v>
      </c>
      <c r="Q35" s="45">
        <f t="shared" si="16"/>
        <v>0</v>
      </c>
    </row>
    <row r="36" spans="1:17" x14ac:dyDescent="0.25">
      <c r="A36" s="66" t="s">
        <v>40</v>
      </c>
      <c r="B36" s="18">
        <f>(IF(B$35=0,0,((IF(B$35&lt;0,(B$35+(0-B$35)),0)+IF(B$35&gt;50,(B$35-(B$35-50)),0)+IF(B$35&gt;=0,IF(B$35&lt;=100,B$35,0),0)))))</f>
        <v>0</v>
      </c>
      <c r="C36" s="44">
        <f t="shared" ref="C36:Q36" si="17">(IF(C$35=0,0,((IF(C$35&lt;0,(C$35+(0-C$35)),0)+IF(C$35&gt;50,(C$35-(C$35-50)),0)+IF(C$35&gt;=0,IF(C$35&lt;=100,C$35,0),0)))))</f>
        <v>37.507811686367411</v>
      </c>
      <c r="D36" s="44">
        <f t="shared" si="17"/>
        <v>31.388616711330293</v>
      </c>
      <c r="E36" s="44">
        <f t="shared" si="17"/>
        <v>42.866070498705618</v>
      </c>
      <c r="F36" s="44">
        <f t="shared" si="17"/>
        <v>33.194143909448876</v>
      </c>
      <c r="G36" s="44">
        <f t="shared" si="17"/>
        <v>33.194143909448883</v>
      </c>
      <c r="H36" s="44">
        <f t="shared" si="17"/>
        <v>42.866070498705618</v>
      </c>
      <c r="I36" s="44">
        <f t="shared" si="17"/>
        <v>31.388616711330293</v>
      </c>
      <c r="J36" s="44">
        <f t="shared" si="17"/>
        <v>37.507811686367411</v>
      </c>
      <c r="K36" s="44">
        <f t="shared" si="17"/>
        <v>29.742400736575114</v>
      </c>
      <c r="L36" s="44">
        <f t="shared" si="17"/>
        <v>18.608881744274271</v>
      </c>
      <c r="M36" s="44">
        <f t="shared" si="17"/>
        <v>11.096985706025862</v>
      </c>
      <c r="N36" s="44">
        <f t="shared" si="17"/>
        <v>11.887278973767172</v>
      </c>
      <c r="O36" s="44">
        <f t="shared" si="17"/>
        <v>15.481893391180611</v>
      </c>
      <c r="P36" s="44">
        <f t="shared" si="17"/>
        <v>16.074776437014606</v>
      </c>
      <c r="Q36" s="45">
        <f t="shared" si="17"/>
        <v>0</v>
      </c>
    </row>
    <row r="37" spans="1:17" ht="15.75" thickBot="1" x14ac:dyDescent="0.3">
      <c r="A37" s="67" t="s">
        <v>41</v>
      </c>
      <c r="B37" s="19">
        <f>(100-B$36)</f>
        <v>100</v>
      </c>
      <c r="C37" s="46">
        <f t="shared" ref="C37:Q37" si="18">(100-C$36)</f>
        <v>62.492188313632589</v>
      </c>
      <c r="D37" s="46">
        <f t="shared" si="18"/>
        <v>68.611383288669714</v>
      </c>
      <c r="E37" s="46">
        <f t="shared" si="18"/>
        <v>57.133929501294382</v>
      </c>
      <c r="F37" s="46">
        <f t="shared" si="18"/>
        <v>66.805856090551117</v>
      </c>
      <c r="G37" s="46">
        <f t="shared" si="18"/>
        <v>66.805856090551117</v>
      </c>
      <c r="H37" s="46">
        <f t="shared" si="18"/>
        <v>57.133929501294382</v>
      </c>
      <c r="I37" s="46">
        <f t="shared" si="18"/>
        <v>68.611383288669714</v>
      </c>
      <c r="J37" s="46">
        <f t="shared" si="18"/>
        <v>62.492188313632589</v>
      </c>
      <c r="K37" s="46">
        <f t="shared" si="18"/>
        <v>70.257599263424879</v>
      </c>
      <c r="L37" s="46">
        <f t="shared" si="18"/>
        <v>81.391118255725729</v>
      </c>
      <c r="M37" s="46">
        <f t="shared" si="18"/>
        <v>88.903014293974138</v>
      </c>
      <c r="N37" s="46">
        <f t="shared" si="18"/>
        <v>88.112721026232833</v>
      </c>
      <c r="O37" s="46">
        <f t="shared" si="18"/>
        <v>84.518106608819394</v>
      </c>
      <c r="P37" s="46">
        <f t="shared" si="18"/>
        <v>83.925223562985394</v>
      </c>
      <c r="Q37" s="47">
        <f t="shared" si="18"/>
        <v>100</v>
      </c>
    </row>
    <row r="38" spans="1:17" x14ac:dyDescent="0.25">
      <c r="A38" s="17" t="s">
        <v>52</v>
      </c>
      <c r="B38" s="1"/>
      <c r="C38" s="1"/>
      <c r="D38" s="1"/>
      <c r="E38" s="1"/>
      <c r="F38" s="1"/>
      <c r="N38" s="10"/>
      <c r="O38" s="10"/>
    </row>
    <row r="39" spans="1:17" x14ac:dyDescent="0.25">
      <c r="B39" s="1"/>
      <c r="C39" s="1"/>
      <c r="D39" s="1"/>
      <c r="E39" s="1"/>
      <c r="N39" s="10"/>
      <c r="O39" s="10"/>
    </row>
    <row r="40" spans="1:17" x14ac:dyDescent="0.25">
      <c r="A40" s="1"/>
      <c r="B40" s="1"/>
      <c r="C40" s="1"/>
      <c r="D40" s="1"/>
      <c r="E40" s="1"/>
    </row>
    <row r="41" spans="1:17" x14ac:dyDescent="0.25">
      <c r="A41" s="2"/>
      <c r="B41" s="1"/>
      <c r="C41" s="1"/>
      <c r="D41" s="1"/>
      <c r="E41" s="1"/>
      <c r="H41" s="15"/>
      <c r="I41" s="15"/>
      <c r="J41" s="15"/>
      <c r="K41" s="15"/>
      <c r="L41" s="15"/>
      <c r="M41" s="76"/>
    </row>
    <row r="42" spans="1:17" x14ac:dyDescent="0.25">
      <c r="A42" s="1"/>
      <c r="H42" s="15"/>
      <c r="J42" s="15"/>
      <c r="K42" s="15"/>
    </row>
    <row r="43" spans="1:17" x14ac:dyDescent="0.25">
      <c r="I43" s="15"/>
      <c r="J43" s="15"/>
      <c r="K43" s="15"/>
    </row>
    <row r="44" spans="1:17" x14ac:dyDescent="0.25">
      <c r="H44" s="15"/>
      <c r="I44" s="15"/>
      <c r="J44" s="15"/>
      <c r="K44" s="15"/>
    </row>
    <row r="45" spans="1:17" x14ac:dyDescent="0.25">
      <c r="H45" s="15"/>
      <c r="I45" s="15"/>
      <c r="J45" s="15"/>
      <c r="K45" s="15"/>
    </row>
    <row r="46" spans="1:17" x14ac:dyDescent="0.25">
      <c r="H46" s="15"/>
      <c r="I46" s="15"/>
      <c r="J46" s="15"/>
      <c r="K46" s="15"/>
    </row>
    <row r="47" spans="1:17" x14ac:dyDescent="0.25">
      <c r="H47" s="15"/>
      <c r="I47" s="15"/>
      <c r="J47" s="15"/>
      <c r="K47" s="15"/>
    </row>
    <row r="48" spans="1:17" x14ac:dyDescent="0.25">
      <c r="H48" s="15"/>
    </row>
    <row r="49" spans="1:8" x14ac:dyDescent="0.25">
      <c r="H49" s="15"/>
    </row>
    <row r="50" spans="1:8" x14ac:dyDescent="0.25">
      <c r="H50" s="15"/>
    </row>
    <row r="51" spans="1:8" x14ac:dyDescent="0.25">
      <c r="H51" s="15"/>
    </row>
    <row r="52" spans="1:8" x14ac:dyDescent="0.25">
      <c r="H52" s="15"/>
    </row>
    <row r="53" spans="1:8" x14ac:dyDescent="0.25">
      <c r="H53" s="15"/>
    </row>
    <row r="54" spans="1:8" x14ac:dyDescent="0.25">
      <c r="H54" s="15"/>
    </row>
    <row r="55" spans="1:8" x14ac:dyDescent="0.25">
      <c r="A55" s="17" t="s">
        <v>44</v>
      </c>
      <c r="H55" s="15"/>
    </row>
    <row r="56" spans="1:8" x14ac:dyDescent="0.25">
      <c r="A56" s="64"/>
      <c r="H56" s="15"/>
    </row>
    <row r="57" spans="1:8" ht="15.75" thickBot="1" x14ac:dyDescent="0.3"/>
    <row r="58" spans="1:8" ht="19.5" thickBot="1" x14ac:dyDescent="0.35">
      <c r="A58" s="94" t="s">
        <v>16</v>
      </c>
      <c r="B58" s="95"/>
      <c r="C58" s="95"/>
      <c r="D58" s="95"/>
      <c r="E58" s="95"/>
      <c r="F58" s="95"/>
      <c r="G58" s="95"/>
      <c r="H58" s="96"/>
    </row>
    <row r="59" spans="1:8" x14ac:dyDescent="0.25">
      <c r="A59" s="77" t="s">
        <v>50</v>
      </c>
      <c r="B59" s="78"/>
      <c r="C59" s="78"/>
      <c r="D59" s="78"/>
      <c r="E59" s="78"/>
      <c r="F59" s="78"/>
      <c r="G59" s="78"/>
      <c r="H59" s="79"/>
    </row>
    <row r="60" spans="1:8" x14ac:dyDescent="0.25">
      <c r="A60" s="80" t="s">
        <v>48</v>
      </c>
      <c r="B60" s="81"/>
      <c r="C60" s="81"/>
      <c r="D60" s="81"/>
      <c r="E60" s="81"/>
      <c r="F60" s="81"/>
      <c r="G60" s="81"/>
      <c r="H60" s="82"/>
    </row>
    <row r="61" spans="1:8" x14ac:dyDescent="0.25">
      <c r="A61" s="80" t="s">
        <v>49</v>
      </c>
      <c r="B61" s="81"/>
      <c r="C61" s="81"/>
      <c r="D61" s="81"/>
      <c r="E61" s="81"/>
      <c r="F61" s="81"/>
      <c r="G61" s="81"/>
      <c r="H61" s="82"/>
    </row>
    <row r="62" spans="1:8" x14ac:dyDescent="0.25">
      <c r="A62" s="80" t="s">
        <v>15</v>
      </c>
      <c r="B62" s="81"/>
      <c r="C62" s="81"/>
      <c r="D62" s="81"/>
      <c r="E62" s="81"/>
      <c r="F62" s="81"/>
      <c r="G62" s="81"/>
      <c r="H62" s="82"/>
    </row>
    <row r="63" spans="1:8" x14ac:dyDescent="0.25">
      <c r="A63" s="80" t="s">
        <v>17</v>
      </c>
      <c r="B63" s="81"/>
      <c r="C63" s="81"/>
      <c r="D63" s="81"/>
      <c r="E63" s="81"/>
      <c r="F63" s="81"/>
      <c r="G63" s="81"/>
      <c r="H63" s="82"/>
    </row>
    <row r="64" spans="1:8" x14ac:dyDescent="0.25">
      <c r="A64" s="80" t="s">
        <v>20</v>
      </c>
      <c r="B64" s="81"/>
      <c r="C64" s="81"/>
      <c r="D64" s="81"/>
      <c r="E64" s="81"/>
      <c r="F64" s="81"/>
      <c r="G64" s="81"/>
      <c r="H64" s="82"/>
    </row>
    <row r="65" spans="1:8" x14ac:dyDescent="0.25">
      <c r="A65" s="80" t="s">
        <v>18</v>
      </c>
      <c r="B65" s="81"/>
      <c r="C65" s="81"/>
      <c r="D65" s="81"/>
      <c r="E65" s="81"/>
      <c r="F65" s="81"/>
      <c r="G65" s="81"/>
      <c r="H65" s="82"/>
    </row>
    <row r="66" spans="1:8" x14ac:dyDescent="0.25">
      <c r="A66" s="80" t="s">
        <v>51</v>
      </c>
      <c r="B66" s="81"/>
      <c r="C66" s="81"/>
      <c r="D66" s="81"/>
      <c r="E66" s="81"/>
      <c r="F66" s="81"/>
      <c r="G66" s="81"/>
      <c r="H66" s="82"/>
    </row>
    <row r="67" spans="1:8" ht="15.75" thickBot="1" x14ac:dyDescent="0.3">
      <c r="A67" s="97" t="s">
        <v>19</v>
      </c>
      <c r="B67" s="98"/>
      <c r="C67" s="98"/>
      <c r="D67" s="98"/>
      <c r="E67" s="98"/>
      <c r="F67" s="98"/>
      <c r="G67" s="98"/>
      <c r="H67" s="99"/>
    </row>
  </sheetData>
  <mergeCells count="14">
    <mergeCell ref="A63:H63"/>
    <mergeCell ref="A64:H64"/>
    <mergeCell ref="A65:H65"/>
    <mergeCell ref="A66:H66"/>
    <mergeCell ref="A67:H67"/>
    <mergeCell ref="A59:H59"/>
    <mergeCell ref="A60:H60"/>
    <mergeCell ref="A61:H61"/>
    <mergeCell ref="A62:H62"/>
    <mergeCell ref="B7:D7"/>
    <mergeCell ref="E7:G7"/>
    <mergeCell ref="H7:J7"/>
    <mergeCell ref="B24:Q24"/>
    <mergeCell ref="A58:H58"/>
  </mergeCells>
  <phoneticPr fontId="1" type="noConversion"/>
  <pageMargins left="0.7" right="0.7" top="0.75" bottom="0.75" header="0.3" footer="0.3"/>
  <pageSetup paperSize="9" orientation="portrait" horizontalDpi="4294967293"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Michaelian_Proability_Theory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Sinyangwe</dc:creator>
  <cp:lastModifiedBy>Michael Sinyangwe</cp:lastModifiedBy>
  <dcterms:created xsi:type="dcterms:W3CDTF">2015-06-05T18:17:20Z</dcterms:created>
  <dcterms:modified xsi:type="dcterms:W3CDTF">2021-04-09T11:44:32Z</dcterms:modified>
</cp:coreProperties>
</file>