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icha\Dropbox\Projects - Personal\Sanctum\Michael Sinyangwe\Books\The Science of Artificial Intelligence - Part 5 - Mastering the Probabilistic Learning Surface\"/>
    </mc:Choice>
  </mc:AlternateContent>
  <xr:revisionPtr revIDLastSave="0" documentId="13_ncr:1_{5AE49FFA-051D-452E-954D-341DD5883FB4}" xr6:coauthVersionLast="46" xr6:coauthVersionMax="46" xr10:uidLastSave="{00000000-0000-0000-0000-000000000000}"/>
  <bookViews>
    <workbookView xWindow="0" yWindow="0" windowWidth="21600" windowHeight="12900" xr2:uid="{00000000-000D-0000-FFFF-FFFF00000000}"/>
  </bookViews>
  <sheets>
    <sheet name="Michaelian_Proability_Theory" sheetId="1" r:id="rId1"/>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 i="1" l="1"/>
  <c r="E18" i="1"/>
  <c r="H18" i="1"/>
  <c r="H17" i="1"/>
  <c r="E17" i="1"/>
  <c r="E19" i="1" s="1"/>
  <c r="E20" i="1" s="1"/>
  <c r="E21" i="1" s="1"/>
  <c r="B17" i="1"/>
  <c r="C26" i="1" l="1"/>
  <c r="G26" i="1"/>
  <c r="K26" i="1"/>
  <c r="O26" i="1"/>
  <c r="F27" i="1"/>
  <c r="J27" i="1"/>
  <c r="N27" i="1"/>
  <c r="F26" i="1"/>
  <c r="E27" i="1"/>
  <c r="M27" i="1"/>
  <c r="D26" i="1"/>
  <c r="H26" i="1"/>
  <c r="L26" i="1"/>
  <c r="C27" i="1"/>
  <c r="G27" i="1"/>
  <c r="K27" i="1"/>
  <c r="O27" i="1"/>
  <c r="N26" i="1"/>
  <c r="E26" i="1"/>
  <c r="I26" i="1"/>
  <c r="M26" i="1"/>
  <c r="D27" i="1"/>
  <c r="H27" i="1"/>
  <c r="L27" i="1"/>
  <c r="B27" i="1"/>
  <c r="J26" i="1"/>
  <c r="I27" i="1"/>
  <c r="B26" i="1"/>
  <c r="H19" i="1"/>
  <c r="H20" i="1" s="1"/>
  <c r="H21" i="1" s="1"/>
  <c r="B19" i="1"/>
  <c r="B20" i="1" s="1"/>
  <c r="D12" i="1"/>
  <c r="D15" i="1"/>
  <c r="D11" i="1"/>
  <c r="D14" i="1"/>
  <c r="D10" i="1"/>
  <c r="D9" i="1"/>
  <c r="D13" i="1"/>
  <c r="D16" i="1"/>
  <c r="E28" i="1" l="1"/>
  <c r="E31" i="1"/>
  <c r="E30" i="1"/>
  <c r="E29" i="1"/>
  <c r="K30" i="1"/>
  <c r="K31" i="1"/>
  <c r="K29" i="1"/>
  <c r="K28" i="1"/>
  <c r="H31" i="1"/>
  <c r="H30" i="1"/>
  <c r="H29" i="1"/>
  <c r="H28" i="1"/>
  <c r="J29" i="1"/>
  <c r="J28" i="1"/>
  <c r="J31" i="1"/>
  <c r="J30" i="1"/>
  <c r="N29" i="1"/>
  <c r="N30" i="1"/>
  <c r="N28" i="1"/>
  <c r="N31" i="1"/>
  <c r="G30" i="1"/>
  <c r="G29" i="1"/>
  <c r="G31" i="1"/>
  <c r="G28" i="1"/>
  <c r="I28" i="1"/>
  <c r="I29" i="1"/>
  <c r="I31" i="1"/>
  <c r="I30" i="1"/>
  <c r="F29" i="1"/>
  <c r="F28" i="1"/>
  <c r="F30" i="1"/>
  <c r="F31" i="1"/>
  <c r="O30" i="1"/>
  <c r="O29" i="1"/>
  <c r="O28" i="1"/>
  <c r="O31" i="1"/>
  <c r="M28" i="1"/>
  <c r="M31" i="1"/>
  <c r="M30" i="1"/>
  <c r="M29" i="1"/>
  <c r="L31" i="1"/>
  <c r="L30" i="1"/>
  <c r="L29" i="1"/>
  <c r="L28" i="1"/>
  <c r="D29" i="1"/>
  <c r="D30" i="1"/>
  <c r="D31" i="1"/>
  <c r="D28" i="1"/>
  <c r="C28" i="1"/>
  <c r="C29" i="1"/>
  <c r="C30" i="1"/>
  <c r="C31" i="1"/>
  <c r="B31" i="1"/>
  <c r="B30" i="1"/>
  <c r="B29" i="1"/>
  <c r="B28" i="1"/>
  <c r="K34" i="1"/>
  <c r="C34" i="1"/>
  <c r="N34" i="1"/>
  <c r="F34" i="1"/>
  <c r="E34" i="1"/>
  <c r="M34" i="1"/>
  <c r="J34" i="1"/>
  <c r="I34" i="1"/>
  <c r="H34" i="1"/>
  <c r="B32" i="1"/>
  <c r="L34" i="1"/>
  <c r="G34" i="1"/>
  <c r="D34" i="1"/>
  <c r="O34" i="1"/>
  <c r="B33" i="1"/>
  <c r="B34" i="1"/>
  <c r="B21" i="1"/>
  <c r="O32" i="1" l="1"/>
  <c r="E33" i="1"/>
  <c r="J32" i="1"/>
  <c r="C33" i="1"/>
  <c r="H33" i="1"/>
  <c r="E32" i="1"/>
  <c r="E35" i="1" s="1"/>
  <c r="H32" i="1"/>
  <c r="J33" i="1"/>
  <c r="C32" i="1"/>
  <c r="I33" i="1"/>
  <c r="O33" i="1"/>
  <c r="M33" i="1"/>
  <c r="I32" i="1"/>
  <c r="L33" i="1"/>
  <c r="F32" i="1"/>
  <c r="L32" i="1"/>
  <c r="G33" i="1"/>
  <c r="D33" i="1"/>
  <c r="K33" i="1"/>
  <c r="K32" i="1"/>
  <c r="D32" i="1"/>
  <c r="M32" i="1"/>
  <c r="F33" i="1"/>
  <c r="G32" i="1"/>
  <c r="N33" i="1"/>
  <c r="N32" i="1"/>
  <c r="B35" i="1"/>
  <c r="C35" i="1" l="1"/>
  <c r="H35" i="1"/>
  <c r="N35" i="1"/>
  <c r="G35" i="1"/>
  <c r="J35" i="1"/>
  <c r="I35" i="1"/>
  <c r="O35" i="1"/>
  <c r="K35" i="1"/>
  <c r="M35" i="1"/>
  <c r="L35" i="1"/>
  <c r="F35" i="1"/>
  <c r="D35" i="1"/>
  <c r="Q35" i="1" l="1"/>
  <c r="P35" i="1"/>
  <c r="B36" i="1" s="1"/>
  <c r="E36" i="1" l="1"/>
  <c r="E37" i="1" s="1"/>
  <c r="F36" i="1"/>
  <c r="F37" i="1" s="1"/>
  <c r="D36" i="1"/>
  <c r="D37" i="1" s="1"/>
  <c r="K36" i="1"/>
  <c r="K37" i="1" s="1"/>
  <c r="N36" i="1"/>
  <c r="N37" i="1" s="1"/>
  <c r="M36" i="1"/>
  <c r="M37" i="1" s="1"/>
  <c r="C36" i="1"/>
  <c r="C37" i="1" s="1"/>
  <c r="H36" i="1"/>
  <c r="H37" i="1" s="1"/>
  <c r="J36" i="1"/>
  <c r="J37" i="1" s="1"/>
  <c r="B37" i="1"/>
  <c r="G36" i="1"/>
  <c r="G37" i="1" s="1"/>
  <c r="L36" i="1"/>
  <c r="L37" i="1" s="1"/>
  <c r="I36" i="1"/>
  <c r="I37" i="1" s="1"/>
  <c r="O36" i="1"/>
  <c r="O37" i="1" s="1"/>
</calcChain>
</file>

<file path=xl/sharedStrings.xml><?xml version="1.0" encoding="utf-8"?>
<sst xmlns="http://schemas.openxmlformats.org/spreadsheetml/2006/main" count="69" uniqueCount="56">
  <si>
    <t>Normalised Mean Average</t>
  </si>
  <si>
    <t>Minimum Sample</t>
  </si>
  <si>
    <t>Maximum Sample</t>
  </si>
  <si>
    <t>Variable</t>
  </si>
  <si>
    <t>SIGNIFICANCE (Of Deviation From the Mean Average)</t>
  </si>
  <si>
    <t>CONFIDENCE (Of Convergence On the Mean Average)</t>
  </si>
  <si>
    <t>Significance Of Deviation /%</t>
  </si>
  <si>
    <t>Scenario Projection Datapoint</t>
  </si>
  <si>
    <t>No Example</t>
  </si>
  <si>
    <t>Dataset 1</t>
  </si>
  <si>
    <t>Dataset 2</t>
  </si>
  <si>
    <t>Dataset 3</t>
  </si>
  <si>
    <t>Parameter</t>
  </si>
  <si>
    <t>Mean Or Closest Greater Sample</t>
  </si>
  <si>
    <t>Mean Or Closest Lesser Sample</t>
  </si>
  <si>
    <t>Smaller and Larger datasets e.g. 4 samples and 64 samples aswell</t>
  </si>
  <si>
    <t>Correct distribution profile</t>
  </si>
  <si>
    <t>Correctly skewed density peaks (parameters) and troughs (gaps)</t>
  </si>
  <si>
    <t>Unit Tests To Be Carried Out By Each Developer In Order To Satisfy That the Theory Has Been Correctly Applied</t>
  </si>
  <si>
    <t>Maximal confidence of &lt;100%, and minimal confidence &gt;0%, where there is actually a distribution</t>
  </si>
  <si>
    <t>Large low density sub-ranges &gt;0%</t>
  </si>
  <si>
    <t>When median and mean are the same, i.e. where no skew exists, that mean confidence is correct</t>
  </si>
  <si>
    <t>Your code produces the same values as those in the tables above, given the same variable parameters as the input dataset</t>
  </si>
  <si>
    <t>Incorporation of skewness</t>
  </si>
  <si>
    <t>Outer Sigmoid Alpha Density Confidence /%</t>
  </si>
  <si>
    <t>Outer Sigmoid Beta Density Confidence /%</t>
  </si>
  <si>
    <t>Inner Sigmoid Alpha Density Confidence /%</t>
  </si>
  <si>
    <t>Inner Sigmoid Beta Density Confidence /%</t>
  </si>
  <si>
    <t>Projection Convex (Spot) Confidence /%</t>
  </si>
  <si>
    <t>Sample 1 - Non-Null</t>
  </si>
  <si>
    <t>Sample 2 - Non-Null</t>
  </si>
  <si>
    <t>Sample 3 - Non-Null</t>
  </si>
  <si>
    <t>Sample 4 - Non-Null</t>
  </si>
  <si>
    <t>Sample 5 - Non-Null</t>
  </si>
  <si>
    <t>Sample 6 - Non-Null</t>
  </si>
  <si>
    <t>Sample 7 - Non-Null</t>
  </si>
  <si>
    <t>Sample 8 - Non-Null</t>
  </si>
  <si>
    <t>Split Polarity Of Density Depression</t>
  </si>
  <si>
    <t>Projection Concave (Spot) Confidence /%</t>
  </si>
  <si>
    <t>PARAMETER GRANULARITY GLOBAL VARIABLE /%</t>
  </si>
  <si>
    <t>MICHAELIAN PROBABILITY THEORY</t>
  </si>
  <si>
    <t>Granularised Duplicate Count</t>
  </si>
  <si>
    <t>Count</t>
  </si>
  <si>
    <t>Raw Projection (Spot) Confidence /%</t>
  </si>
  <si>
    <t>Normalised Projection (Spot) Confidence /%</t>
  </si>
  <si>
    <t>Normalised Percentile (Spread) Confidence /%</t>
  </si>
  <si>
    <t>Average sample dataset integral equals ~&lt;100% as you approach a sample parameter granularity percentage of 1/infinity</t>
  </si>
  <si>
    <t>Nota Bene 3: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</si>
  <si>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Dataset Cross-Normalised Significance /%</t>
  </si>
  <si>
    <t>Nota Bene 1: Traditional probability theory assumes an un-skewed distribution. This outdated probability theory also omits the reality of parameter density. As such, my following probability theory is superior. It both handles distribution skew and density with ease, and should outperform traditional probability on the vast majority of applied real-world solutions, which usually deal with skewed and mostly sparse datasets!</t>
  </si>
  <si>
    <t>Negative and zero parameters</t>
  </si>
  <si>
    <t>Nota Bene 2: This parameter granularity global variable must be restricted to (0 =&lt; x &lt;= 100), and is used in order to set the duplicate count lookup range. It thereby effectively broadens curve peaks as desired for a given application of the theory. For example, you would want wider curve peaks if you want greater accuracy of probability, but you would want narrower curve peaks if you instead want greater precision of probability. The recommended value for this global variable is anywhere 0% and 50%. A value of 25% would nominally simulate the classical normal distribution curve either side of the mean, which originates from the older Bayesian probability theory.</t>
  </si>
  <si>
    <t>Nota Bene 5: Please remember to sufficiently search the dataset range distribution space. Your set of scenario projection datapoints should start at the range minima, finish at the range maxima, and have no more than a 10% dataset range gap between any two members, and ideally a lot less. If you do not sufficiently search the probability space, then the resulting confidence percentages will be sub-optimal.</t>
  </si>
  <si>
    <t>Exg. P-Mode</t>
  </si>
  <si>
    <t>Exg. T-Mode</t>
  </si>
  <si>
    <t>Nota Bene 4: If you are calculating normalised confidence, significance is the core method you must calculate. In addition to this, you need to assign a mean or closest lesser sample, and a mean or closest greater sample to each projection datapoint, in order to deal with duplicate values properly. The significance is subtracted from 50, because we want to invert the distribution, such that the normalised scenario mean average has the greatest base distribution spot confidence %. You also need to proportionally normalise the output value by dividing by dataset sample count. Additionally, you have to 'inject' synthetic duplicate data. This is because otherwise the confidence % calculated will be too low due to the 'effective' sample loss where duplicate-to-duplicate divergence can't otherwise be modelled. As you can see, the synthesis of the duplicate data requires the application of a sample parameter duplication granularity range. On top of this, you must apply a total of 8 complex concave and convex sigmoid methods in order to generate smooth s-curve confidence percentages for projection datapoints which are not contained within the sample dataset. Additionally, you need to split polarise these convex and concave spot confidence methods, so that they form curves across density depression ranges where there are no sample parameters present. Then you divide by (Significance divided by 100) in order to maintain a 100% scale no matter what size or range of dataset you apply the calculation to. Then you subtract the single parameter weighting, which is multiplied by the granularity % divided by 100, from each projection datapoint. As a result of the usage of the single parameter weighting, and granularity threshold, you also need to correct the highest modal peak to 100%, and the lowest modal trough to 0%, by setting upper and lower limits. In effect, these two limits (100% and 0 %) act by squashing the intrinsic sigmoidal peak and trough exaggeration, and therefore the algorithm avoids overshoot and undershoot errors. Penultimately, you must make sure that you give all out-of-dataset range projections a confidence of 0%. Finally you naturalise the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</si>
</sst>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
      <b/>
      <sz val="14"/>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s>
  <borders count="4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02">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15"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0" xfId="0"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0" xfId="0" applyFill="1" applyBorder="1"/>
    <xf numFmtId="0" fontId="0" fillId="0" borderId="0" xfId="0" applyFill="1" applyBorder="1" applyAlignment="1"/>
    <xf numFmtId="0" fontId="0" fillId="5" borderId="28" xfId="0" applyFill="1" applyBorder="1"/>
    <xf numFmtId="0" fontId="0" fillId="5" borderId="29" xfId="0" applyFill="1" applyBorder="1"/>
    <xf numFmtId="0" fontId="0" fillId="5" borderId="30" xfId="0" applyFill="1" applyBorder="1"/>
    <xf numFmtId="0" fontId="4" fillId="5" borderId="31" xfId="0" applyFont="1" applyFill="1" applyBorder="1"/>
    <xf numFmtId="0" fontId="0" fillId="5" borderId="32" xfId="0" applyFill="1" applyBorder="1"/>
    <xf numFmtId="0" fontId="0" fillId="6" borderId="10" xfId="0" applyFill="1" applyBorder="1" applyAlignment="1">
      <alignment horizontal="left" vertical="top" wrapText="1"/>
    </xf>
    <xf numFmtId="0" fontId="0" fillId="6" borderId="11" xfId="0" applyFill="1" applyBorder="1" applyAlignment="1">
      <alignment horizontal="left" vertical="top" wrapText="1"/>
    </xf>
    <xf numFmtId="0" fontId="0" fillId="6" borderId="16" xfId="0" applyFill="1" applyBorder="1" applyAlignment="1">
      <alignment horizontal="left" vertical="top" wrapText="1"/>
    </xf>
    <xf numFmtId="0" fontId="0" fillId="0" borderId="0" xfId="0" applyFill="1"/>
    <xf numFmtId="0" fontId="2" fillId="6" borderId="0" xfId="0" applyFont="1" applyFill="1"/>
    <xf numFmtId="0" fontId="2" fillId="6" borderId="0" xfId="0" applyFont="1" applyFill="1" applyAlignment="1">
      <alignment horizontal="left" vertical="top"/>
    </xf>
    <xf numFmtId="2" fontId="0" fillId="2" borderId="3" xfId="0" applyNumberFormat="1" applyFill="1" applyBorder="1" applyAlignment="1">
      <alignment horizontal="left" vertical="top" wrapText="1"/>
    </xf>
    <xf numFmtId="2" fontId="0" fillId="2" borderId="5" xfId="0" applyNumberFormat="1" applyFill="1" applyBorder="1" applyAlignment="1">
      <alignment horizontal="left" vertical="top"/>
    </xf>
    <xf numFmtId="2" fontId="0" fillId="0" borderId="1" xfId="0" applyNumberFormat="1" applyBorder="1" applyAlignment="1">
      <alignment horizontal="left" vertical="top" wrapText="1"/>
    </xf>
    <xf numFmtId="2" fontId="0" fillId="2" borderId="8" xfId="0" applyNumberFormat="1" applyFill="1" applyBorder="1"/>
    <xf numFmtId="2" fontId="0" fillId="3" borderId="25" xfId="0" applyNumberFormat="1" applyFill="1" applyBorder="1" applyAlignment="1">
      <alignment horizontal="left" vertical="top" wrapText="1"/>
    </xf>
    <xf numFmtId="2" fontId="0" fillId="3" borderId="18" xfId="0" applyNumberFormat="1" applyFill="1" applyBorder="1"/>
    <xf numFmtId="2" fontId="0" fillId="0" borderId="3" xfId="0" applyNumberFormat="1" applyBorder="1" applyAlignment="1">
      <alignment horizontal="left" vertical="top" wrapText="1"/>
    </xf>
    <xf numFmtId="2" fontId="0" fillId="2" borderId="7" xfId="0" applyNumberFormat="1" applyFill="1" applyBorder="1"/>
    <xf numFmtId="2" fontId="0" fillId="3" borderId="26" xfId="0" applyNumberFormat="1" applyFill="1" applyBorder="1" applyAlignment="1">
      <alignment horizontal="left" vertical="top" wrapText="1"/>
    </xf>
    <xf numFmtId="2" fontId="0" fillId="3" borderId="7" xfId="0" applyNumberFormat="1" applyFill="1" applyBorder="1"/>
    <xf numFmtId="2" fontId="0" fillId="0" borderId="26" xfId="0" applyNumberFormat="1" applyBorder="1" applyAlignment="1">
      <alignment horizontal="left" vertical="top" wrapText="1"/>
    </xf>
    <xf numFmtId="2" fontId="0" fillId="2" borderId="4" xfId="0" applyNumberFormat="1" applyFill="1" applyBorder="1"/>
    <xf numFmtId="2" fontId="0" fillId="0" borderId="5" xfId="0" applyNumberFormat="1" applyBorder="1" applyAlignment="1">
      <alignment horizontal="left" vertical="top" wrapText="1"/>
    </xf>
    <xf numFmtId="2" fontId="0" fillId="2" borderId="9" xfId="0" applyNumberFormat="1" applyFill="1" applyBorder="1"/>
    <xf numFmtId="2" fontId="0" fillId="0" borderId="27" xfId="0" applyNumberFormat="1" applyBorder="1" applyAlignment="1">
      <alignment horizontal="left" vertical="top" wrapText="1"/>
    </xf>
    <xf numFmtId="2" fontId="0" fillId="2" borderId="23" xfId="0" applyNumberFormat="1" applyFill="1" applyBorder="1"/>
    <xf numFmtId="2" fontId="0" fillId="2" borderId="24" xfId="0" applyNumberFormat="1" applyFill="1" applyBorder="1"/>
    <xf numFmtId="2" fontId="3" fillId="2" borderId="17" xfId="0" applyNumberFormat="1" applyFont="1" applyFill="1" applyBorder="1" applyAlignment="1">
      <alignment horizontal="left" vertical="top" wrapText="1"/>
    </xf>
    <xf numFmtId="2" fontId="3" fillId="3" borderId="18" xfId="0" applyNumberFormat="1" applyFont="1" applyFill="1" applyBorder="1"/>
    <xf numFmtId="2" fontId="3" fillId="2" borderId="1" xfId="0" applyNumberFormat="1" applyFont="1" applyFill="1" applyBorder="1" applyAlignment="1">
      <alignment horizontal="left" vertical="top" wrapText="1"/>
    </xf>
    <xf numFmtId="2" fontId="3" fillId="3" borderId="8" xfId="0" applyNumberFormat="1" applyFont="1" applyFill="1" applyBorder="1"/>
    <xf numFmtId="2" fontId="3" fillId="3" borderId="2" xfId="0" applyNumberFormat="1" applyFont="1" applyFill="1" applyBorder="1"/>
    <xf numFmtId="2" fontId="3" fillId="2" borderId="3" xfId="0" applyNumberFormat="1" applyFont="1" applyFill="1" applyBorder="1" applyAlignment="1">
      <alignment horizontal="left" vertical="top" wrapText="1"/>
    </xf>
    <xf numFmtId="2" fontId="3" fillId="3" borderId="7" xfId="0" applyNumberFormat="1" applyFont="1" applyFill="1" applyBorder="1"/>
    <xf numFmtId="2" fontId="3" fillId="3" borderId="4" xfId="0" applyNumberFormat="1" applyFont="1" applyFill="1" applyBorder="1"/>
    <xf numFmtId="2" fontId="3" fillId="2" borderId="5" xfId="0" applyNumberFormat="1" applyFont="1" applyFill="1" applyBorder="1" applyAlignment="1">
      <alignment horizontal="left" vertical="top" wrapText="1"/>
    </xf>
    <xf numFmtId="2" fontId="3" fillId="3" borderId="9" xfId="0" applyNumberFormat="1" applyFont="1" applyFill="1" applyBorder="1"/>
    <xf numFmtId="2" fontId="3" fillId="3" borderId="6" xfId="0" applyNumberFormat="1" applyFont="1" applyFill="1" applyBorder="1"/>
    <xf numFmtId="0" fontId="0" fillId="0" borderId="35" xfId="0" applyBorder="1"/>
    <xf numFmtId="2" fontId="0" fillId="2" borderId="7" xfId="0" applyNumberFormat="1" applyFill="1" applyBorder="1" applyAlignment="1">
      <alignment horizontal="left" vertical="top" wrapText="1"/>
    </xf>
    <xf numFmtId="2" fontId="0" fillId="2" borderId="4" xfId="0" applyNumberFormat="1" applyFill="1" applyBorder="1" applyAlignment="1">
      <alignment horizontal="left" vertical="top" wrapText="1"/>
    </xf>
    <xf numFmtId="2" fontId="0" fillId="2" borderId="9" xfId="0" applyNumberFormat="1" applyFill="1" applyBorder="1" applyAlignment="1">
      <alignment horizontal="left" vertical="top"/>
    </xf>
    <xf numFmtId="2" fontId="0" fillId="2" borderId="6" xfId="0" applyNumberFormat="1" applyFill="1" applyBorder="1" applyAlignment="1">
      <alignment horizontal="left" vertical="top"/>
    </xf>
    <xf numFmtId="2" fontId="3" fillId="2" borderId="36" xfId="0" applyNumberFormat="1" applyFont="1" applyFill="1" applyBorder="1" applyAlignment="1">
      <alignment horizontal="left" vertical="top" wrapText="1"/>
    </xf>
    <xf numFmtId="2" fontId="3" fillId="2" borderId="26" xfId="0" applyNumberFormat="1" applyFont="1" applyFill="1" applyBorder="1" applyAlignment="1">
      <alignment horizontal="left" vertical="top" wrapText="1"/>
    </xf>
    <xf numFmtId="2" fontId="3" fillId="2" borderId="37" xfId="0" applyNumberFormat="1" applyFont="1" applyFill="1" applyBorder="1" applyAlignment="1">
      <alignment horizontal="left" vertical="top" wrapText="1"/>
    </xf>
    <xf numFmtId="0" fontId="0" fillId="0" borderId="22" xfId="0" applyFill="1" applyBorder="1" applyAlignment="1">
      <alignment horizontal="left" vertical="top" wrapText="1"/>
    </xf>
    <xf numFmtId="2" fontId="3" fillId="3" borderId="40" xfId="0" applyNumberFormat="1" applyFont="1" applyFill="1" applyBorder="1"/>
    <xf numFmtId="2" fontId="3" fillId="3" borderId="38" xfId="0" applyNumberFormat="1" applyFont="1" applyFill="1" applyBorder="1"/>
    <xf numFmtId="2" fontId="3" fillId="3" borderId="39" xfId="0" applyNumberFormat="1" applyFont="1" applyFill="1" applyBorder="1"/>
    <xf numFmtId="2" fontId="0" fillId="3" borderId="4" xfId="0" applyNumberFormat="1" applyFill="1" applyBorder="1" applyAlignment="1">
      <alignment horizontal="left" vertical="top" wrapText="1"/>
    </xf>
    <xf numFmtId="2" fontId="0" fillId="3" borderId="19" xfId="0" applyNumberFormat="1" applyFill="1" applyBorder="1" applyAlignment="1">
      <alignment horizontal="left" vertical="top" wrapText="1"/>
    </xf>
    <xf numFmtId="0" fontId="0" fillId="0" borderId="41" xfId="0" applyBorder="1" applyAlignment="1">
      <alignment horizontal="left" vertical="top" wrapText="1"/>
    </xf>
    <xf numFmtId="0" fontId="0" fillId="0" borderId="42" xfId="0" applyFill="1" applyBorder="1" applyAlignment="1">
      <alignment horizontal="left" vertical="top" wrapText="1"/>
    </xf>
    <xf numFmtId="2" fontId="0" fillId="2" borderId="2" xfId="0" applyNumberFormat="1" applyFill="1" applyBorder="1"/>
    <xf numFmtId="2" fontId="0" fillId="2" borderId="6" xfId="0" applyNumberFormat="1" applyFill="1" applyBorder="1"/>
    <xf numFmtId="0" fontId="0" fillId="0" borderId="35" xfId="0" applyBorder="1" applyAlignment="1">
      <alignment horizontal="left" vertical="top" wrapText="1"/>
    </xf>
    <xf numFmtId="2" fontId="0" fillId="0" borderId="13" xfId="0" applyNumberFormat="1" applyBorder="1" applyAlignment="1">
      <alignment horizontal="left" vertical="top" wrapText="1"/>
    </xf>
    <xf numFmtId="2" fontId="0" fillId="0" borderId="14" xfId="0" applyNumberFormat="1" applyBorder="1" applyAlignment="1">
      <alignment horizontal="left" vertical="top" wrapText="1"/>
    </xf>
    <xf numFmtId="2" fontId="0" fillId="2" borderId="1" xfId="0" applyNumberFormat="1" applyFill="1" applyBorder="1" applyAlignment="1">
      <alignment horizontal="left" vertical="top" wrapText="1"/>
    </xf>
    <xf numFmtId="2" fontId="0" fillId="2" borderId="8" xfId="0" applyNumberFormat="1" applyFill="1" applyBorder="1" applyAlignment="1">
      <alignment horizontal="left" vertical="top" wrapText="1"/>
    </xf>
    <xf numFmtId="2" fontId="0" fillId="2" borderId="2" xfId="0" applyNumberFormat="1" applyFill="1" applyBorder="1" applyAlignment="1">
      <alignment horizontal="left" vertical="top" wrapText="1"/>
    </xf>
    <xf numFmtId="0" fontId="2" fillId="0" borderId="0" xfId="0" applyFont="1" applyFill="1" applyAlignment="1">
      <alignment horizontal="left" vertical="top"/>
    </xf>
    <xf numFmtId="2" fontId="0" fillId="0" borderId="42" xfId="0" applyNumberFormat="1" applyBorder="1" applyAlignment="1">
      <alignment horizontal="left" vertical="top" wrapText="1"/>
    </xf>
    <xf numFmtId="2" fontId="3" fillId="3" borderId="19" xfId="0" applyNumberFormat="1" applyFont="1" applyFill="1" applyBorder="1"/>
    <xf numFmtId="2" fontId="3" fillId="3" borderId="25" xfId="0" applyNumberFormat="1" applyFont="1" applyFill="1" applyBorder="1"/>
    <xf numFmtId="2" fontId="3" fillId="3" borderId="26" xfId="0" applyNumberFormat="1" applyFont="1" applyFill="1" applyBorder="1"/>
    <xf numFmtId="2" fontId="0" fillId="2" borderId="26" xfId="0" applyNumberFormat="1" applyFill="1" applyBorder="1" applyAlignment="1">
      <alignment horizontal="left" vertical="top" wrapText="1"/>
    </xf>
    <xf numFmtId="2" fontId="3" fillId="3" borderId="37" xfId="0" applyNumberFormat="1" applyFont="1" applyFill="1" applyBorder="1"/>
    <xf numFmtId="0" fontId="0" fillId="0" borderId="43" xfId="0" applyFill="1" applyBorder="1" applyAlignment="1">
      <alignment horizontal="left" vertical="top" wrapText="1"/>
    </xf>
    <xf numFmtId="0" fontId="0" fillId="0" borderId="11" xfId="0" applyFill="1" applyBorder="1" applyAlignment="1">
      <alignment horizontal="left" vertical="top" wrapText="1"/>
    </xf>
    <xf numFmtId="0" fontId="0" fillId="0" borderId="12" xfId="0" applyFill="1" applyBorder="1" applyAlignment="1">
      <alignment horizontal="left" vertical="top"/>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0" fontId="3" fillId="0" borderId="12" xfId="0" applyFont="1" applyFill="1" applyBorder="1" applyAlignment="1">
      <alignment horizontal="left" vertical="top" wrapText="1"/>
    </xf>
    <xf numFmtId="2" fontId="0" fillId="0" borderId="20" xfId="0" applyNumberFormat="1" applyBorder="1"/>
    <xf numFmtId="2" fontId="0" fillId="0" borderId="22" xfId="0" applyNumberFormat="1" applyBorder="1"/>
    <xf numFmtId="0" fontId="0" fillId="4" borderId="15" xfId="0" applyFill="1" applyBorder="1" applyAlignment="1">
      <alignment horizontal="center" vertical="top" wrapText="1"/>
    </xf>
    <xf numFmtId="0" fontId="0" fillId="4" borderId="33" xfId="0" applyFill="1" applyBorder="1" applyAlignment="1">
      <alignment horizontal="center" vertical="top" wrapText="1"/>
    </xf>
    <xf numFmtId="0" fontId="0" fillId="4" borderId="34" xfId="0" applyFill="1" applyBorder="1" applyAlignment="1">
      <alignment horizontal="center" vertical="top" wrapText="1"/>
    </xf>
    <xf numFmtId="0" fontId="0" fillId="0" borderId="15" xfId="0" applyBorder="1" applyAlignment="1">
      <alignment horizontal="center" vertical="top"/>
    </xf>
    <xf numFmtId="0" fontId="0" fillId="0" borderId="33" xfId="0" applyBorder="1" applyAlignment="1">
      <alignment horizontal="center" vertical="top"/>
    </xf>
    <xf numFmtId="0" fontId="0" fillId="0" borderId="34" xfId="0" applyBorder="1" applyAlignment="1">
      <alignment horizontal="center" vertical="top"/>
    </xf>
    <xf numFmtId="0" fontId="0" fillId="0" borderId="33" xfId="0" applyBorder="1" applyAlignment="1">
      <alignment horizontal="center"/>
    </xf>
    <xf numFmtId="0" fontId="0" fillId="0" borderId="34" xfId="0" applyBorder="1" applyAlignment="1">
      <alignment horizontal="center"/>
    </xf>
    <xf numFmtId="0" fontId="0" fillId="4" borderId="44" xfId="0" applyFill="1" applyBorder="1" applyAlignment="1">
      <alignment horizontal="center" vertical="top" wrapText="1"/>
    </xf>
    <xf numFmtId="0" fontId="0" fillId="4" borderId="45" xfId="0" applyFill="1" applyBorder="1" applyAlignment="1">
      <alignment horizontal="center" vertical="top" wrapText="1"/>
    </xf>
    <xf numFmtId="0" fontId="0" fillId="4" borderId="46" xfId="0" applyFill="1" applyBorder="1" applyAlignment="1">
      <alignment horizontal="center" vertical="top" wrapText="1"/>
    </xf>
    <xf numFmtId="0" fontId="0" fillId="7" borderId="29"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Dataset</a:t>
            </a:r>
            <a:r>
              <a:rPr lang="en-GB" baseline="0"/>
              <a:t> 1 - Normalised Spot Confidence %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Michaelian_Proability_Theory!$B$25:$O$25</c:f>
              <c:numCache>
                <c:formatCode>0.00</c:formatCode>
                <c:ptCount val="14"/>
                <c:pt idx="0">
                  <c:v>-6</c:v>
                </c:pt>
                <c:pt idx="1">
                  <c:v>-5</c:v>
                </c:pt>
                <c:pt idx="2">
                  <c:v>-4</c:v>
                </c:pt>
                <c:pt idx="3">
                  <c:v>-3</c:v>
                </c:pt>
                <c:pt idx="4">
                  <c:v>-2</c:v>
                </c:pt>
                <c:pt idx="5">
                  <c:v>-1</c:v>
                </c:pt>
                <c:pt idx="6">
                  <c:v>0</c:v>
                </c:pt>
                <c:pt idx="7">
                  <c:v>1</c:v>
                </c:pt>
                <c:pt idx="8">
                  <c:v>2</c:v>
                </c:pt>
                <c:pt idx="9">
                  <c:v>3</c:v>
                </c:pt>
                <c:pt idx="10">
                  <c:v>4</c:v>
                </c:pt>
                <c:pt idx="11">
                  <c:v>5</c:v>
                </c:pt>
                <c:pt idx="12">
                  <c:v>6</c:v>
                </c:pt>
                <c:pt idx="13">
                  <c:v>9</c:v>
                </c:pt>
              </c:numCache>
            </c:numRef>
          </c:xVal>
          <c:yVal>
            <c:numRef>
              <c:f>Michaelian_Proability_Theory!$B$36:$O$36</c:f>
              <c:numCache>
                <c:formatCode>0.00</c:formatCode>
                <c:ptCount val="14"/>
                <c:pt idx="0">
                  <c:v>0</c:v>
                </c:pt>
                <c:pt idx="1">
                  <c:v>13.026315789473685</c:v>
                </c:pt>
                <c:pt idx="2">
                  <c:v>9.7697368421052637</c:v>
                </c:pt>
                <c:pt idx="3">
                  <c:v>26.05263157894737</c:v>
                </c:pt>
                <c:pt idx="4">
                  <c:v>15.170565302144251</c:v>
                </c:pt>
                <c:pt idx="5">
                  <c:v>13.723196881091617</c:v>
                </c:pt>
                <c:pt idx="6">
                  <c:v>21.710526315789473</c:v>
                </c:pt>
                <c:pt idx="7">
                  <c:v>9.7697368421052637</c:v>
                </c:pt>
                <c:pt idx="8">
                  <c:v>17.368421052631579</c:v>
                </c:pt>
                <c:pt idx="9">
                  <c:v>13.522173489278753</c:v>
                </c:pt>
                <c:pt idx="10">
                  <c:v>8.737816764132555</c:v>
                </c:pt>
                <c:pt idx="11">
                  <c:v>5.427631578947369</c:v>
                </c:pt>
                <c:pt idx="12">
                  <c:v>4.3957115009746595</c:v>
                </c:pt>
                <c:pt idx="13">
                  <c:v>0</c:v>
                </c:pt>
              </c:numCache>
            </c:numRef>
          </c:yVal>
          <c:smooth val="1"/>
          <c:extLst>
            <c:ext xmlns:c16="http://schemas.microsoft.com/office/drawing/2014/chart" uri="{C3380CC4-5D6E-409C-BE32-E72D297353CC}">
              <c16:uniqueId val="{00000000-D6F4-41DA-A25D-37EE26072906}"/>
            </c:ext>
          </c:extLst>
        </c:ser>
        <c:dLbls>
          <c:showLegendKey val="0"/>
          <c:showVal val="0"/>
          <c:showCatName val="0"/>
          <c:showSerName val="0"/>
          <c:showPercent val="0"/>
          <c:showBubbleSize val="0"/>
        </c:dLbls>
        <c:axId val="903516047"/>
        <c:axId val="903520623"/>
      </c:scatterChart>
      <c:valAx>
        <c:axId val="9035160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0623"/>
        <c:crosses val="autoZero"/>
        <c:crossBetween val="midCat"/>
      </c:valAx>
      <c:valAx>
        <c:axId val="903520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16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39</xdr:row>
      <xdr:rowOff>4762</xdr:rowOff>
    </xdr:from>
    <xdr:to>
      <xdr:col>6</xdr:col>
      <xdr:colOff>0</xdr:colOff>
      <xdr:row>54</xdr:row>
      <xdr:rowOff>0</xdr:rowOff>
    </xdr:to>
    <xdr:graphicFrame macro="">
      <xdr:nvGraphicFramePr>
        <xdr:cNvPr id="3" name="Chart 2">
          <a:extLst>
            <a:ext uri="{FF2B5EF4-FFF2-40B4-BE49-F238E27FC236}">
              <a16:creationId xmlns:a16="http://schemas.microsoft.com/office/drawing/2014/main" id="{2810F91E-7CA1-4434-87A2-D26CAC67F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8"/>
  <sheetViews>
    <sheetView tabSelected="1" zoomScale="85" zoomScaleNormal="85" workbookViewId="0"/>
  </sheetViews>
  <sheetFormatPr defaultRowHeight="15" x14ac:dyDescent="0.25"/>
  <cols>
    <col min="1" max="1" width="49.7109375" customWidth="1"/>
    <col min="2" max="2" width="10.5703125" bestFit="1" customWidth="1"/>
    <col min="3" max="3" width="6.42578125" bestFit="1" customWidth="1"/>
    <col min="4" max="4" width="13.42578125" customWidth="1"/>
    <col min="5" max="5" width="10.5703125" bestFit="1" customWidth="1"/>
    <col min="6" max="6" width="6.42578125" bestFit="1" customWidth="1"/>
    <col min="7" max="7" width="13.28515625" customWidth="1"/>
    <col min="8" max="8" width="10.85546875" customWidth="1"/>
    <col min="9" max="9" width="6.42578125" bestFit="1" customWidth="1"/>
    <col min="10" max="10" width="13.42578125" customWidth="1"/>
    <col min="11" max="13" width="12" customWidth="1"/>
    <col min="14" max="15" width="9.7109375" bestFit="1" customWidth="1"/>
    <col min="16" max="17" width="12" bestFit="1" customWidth="1"/>
  </cols>
  <sheetData>
    <row r="1" spans="1:13" x14ac:dyDescent="0.25">
      <c r="A1" t="s">
        <v>40</v>
      </c>
    </row>
    <row r="2" spans="1:13" x14ac:dyDescent="0.25">
      <c r="A2" s="21" t="s">
        <v>49</v>
      </c>
    </row>
    <row r="3" spans="1:13" ht="15.75" thickBot="1" x14ac:dyDescent="0.3"/>
    <row r="4" spans="1:13" ht="15.75" thickBot="1" x14ac:dyDescent="0.3">
      <c r="A4" t="s">
        <v>39</v>
      </c>
      <c r="B4" s="51">
        <v>25</v>
      </c>
    </row>
    <row r="5" spans="1:13" x14ac:dyDescent="0.25">
      <c r="A5" s="21" t="s">
        <v>51</v>
      </c>
    </row>
    <row r="6" spans="1:13" ht="15.75" thickBot="1" x14ac:dyDescent="0.3"/>
    <row r="7" spans="1:13" ht="15.75" thickBot="1" x14ac:dyDescent="0.3">
      <c r="A7" s="3" t="s">
        <v>4</v>
      </c>
      <c r="B7" s="90" t="s">
        <v>9</v>
      </c>
      <c r="C7" s="91"/>
      <c r="D7" s="92"/>
      <c r="E7" s="93" t="s">
        <v>10</v>
      </c>
      <c r="F7" s="94"/>
      <c r="G7" s="95"/>
      <c r="H7" s="96" t="s">
        <v>11</v>
      </c>
      <c r="I7" s="96"/>
      <c r="J7" s="97"/>
      <c r="K7" s="10"/>
      <c r="L7" s="11"/>
      <c r="M7" s="11"/>
    </row>
    <row r="8" spans="1:13" ht="45.75" thickBot="1" x14ac:dyDescent="0.3">
      <c r="A8" s="4" t="s">
        <v>3</v>
      </c>
      <c r="B8" s="8" t="s">
        <v>12</v>
      </c>
      <c r="C8" s="9" t="s">
        <v>42</v>
      </c>
      <c r="D8" s="66" t="s">
        <v>41</v>
      </c>
      <c r="E8" s="5" t="s">
        <v>12</v>
      </c>
      <c r="F8" s="6" t="s">
        <v>42</v>
      </c>
      <c r="G8" s="59" t="s">
        <v>41</v>
      </c>
      <c r="H8" s="65" t="s">
        <v>12</v>
      </c>
      <c r="I8" s="6" t="s">
        <v>42</v>
      </c>
      <c r="J8" s="59" t="s">
        <v>41</v>
      </c>
      <c r="K8" s="10"/>
      <c r="L8" s="7"/>
      <c r="M8" s="7"/>
    </row>
    <row r="9" spans="1:13" x14ac:dyDescent="0.25">
      <c r="A9" s="17" t="s">
        <v>29</v>
      </c>
      <c r="B9" s="25">
        <v>0</v>
      </c>
      <c r="C9" s="26">
        <v>1</v>
      </c>
      <c r="D9" s="67">
        <f>((SUMIF(B$9:B$16,"&gt;="&amp;($B9-(($B$18-$B$17)*(B$4/100))),C$9:C$16)+SUMIF(B$9:B$16,"&lt;="&amp;($B9+(($B$18-$B$17)*(B$4/100))),C$9:C$16))-SUM(C$9:C$16))</f>
        <v>5</v>
      </c>
      <c r="E9" s="27"/>
      <c r="F9" s="28"/>
      <c r="G9" s="64"/>
      <c r="H9" s="27"/>
      <c r="I9" s="28"/>
      <c r="J9" s="28"/>
      <c r="K9" s="10"/>
      <c r="L9" s="10"/>
      <c r="M9" s="10"/>
    </row>
    <row r="10" spans="1:13" x14ac:dyDescent="0.25">
      <c r="A10" s="18" t="s">
        <v>30</v>
      </c>
      <c r="B10" s="29">
        <v>0</v>
      </c>
      <c r="C10" s="30">
        <v>1</v>
      </c>
      <c r="D10" s="34">
        <f t="shared" ref="D10:D16" si="0">((SUMIF(B$9:B$16,"&gt;="&amp;($B10-(($B$18-$B$17)*(B$4/100))),C$9:C$16)+SUMIF(B$9:B$16,"&lt;="&amp;($B10+(($B$18-$B$17)*(B$4/100))),C$9:C$16))-SUM(C$9:C$16))</f>
        <v>5</v>
      </c>
      <c r="E10" s="31"/>
      <c r="F10" s="32"/>
      <c r="G10" s="63"/>
      <c r="H10" s="31"/>
      <c r="I10" s="32"/>
      <c r="J10" s="32"/>
      <c r="K10" s="10"/>
      <c r="L10" s="10"/>
      <c r="M10" s="10"/>
    </row>
    <row r="11" spans="1:13" x14ac:dyDescent="0.25">
      <c r="A11" s="18" t="s">
        <v>31</v>
      </c>
      <c r="B11" s="29">
        <v>0</v>
      </c>
      <c r="C11" s="30">
        <v>1</v>
      </c>
      <c r="D11" s="34">
        <f t="shared" si="0"/>
        <v>5</v>
      </c>
      <c r="E11" s="31"/>
      <c r="F11" s="32"/>
      <c r="G11" s="63"/>
      <c r="H11" s="31"/>
      <c r="I11" s="32"/>
      <c r="J11" s="32"/>
      <c r="K11" s="10"/>
      <c r="L11" s="10"/>
      <c r="M11" s="10"/>
    </row>
    <row r="12" spans="1:13" x14ac:dyDescent="0.25">
      <c r="A12" s="18" t="s">
        <v>32</v>
      </c>
      <c r="B12" s="29">
        <v>-5</v>
      </c>
      <c r="C12" s="30">
        <v>1</v>
      </c>
      <c r="D12" s="34">
        <f t="shared" si="0"/>
        <v>3</v>
      </c>
      <c r="E12" s="31"/>
      <c r="F12" s="32"/>
      <c r="G12" s="63"/>
      <c r="H12" s="31"/>
      <c r="I12" s="32"/>
      <c r="J12" s="32"/>
      <c r="K12" s="10"/>
      <c r="L12" s="10"/>
      <c r="M12" s="10"/>
    </row>
    <row r="13" spans="1:13" x14ac:dyDescent="0.25">
      <c r="A13" s="18" t="s">
        <v>33</v>
      </c>
      <c r="B13" s="29">
        <v>-5</v>
      </c>
      <c r="C13" s="30">
        <v>1</v>
      </c>
      <c r="D13" s="34">
        <f t="shared" si="0"/>
        <v>3</v>
      </c>
      <c r="E13" s="33">
        <v>1</v>
      </c>
      <c r="F13" s="30">
        <v>1</v>
      </c>
      <c r="G13" s="34" t="s">
        <v>8</v>
      </c>
      <c r="H13" s="31"/>
      <c r="I13" s="32"/>
      <c r="J13" s="32"/>
      <c r="K13" s="10"/>
      <c r="L13" s="10"/>
      <c r="M13" s="10"/>
    </row>
    <row r="14" spans="1:13" x14ac:dyDescent="0.25">
      <c r="A14" s="18" t="s">
        <v>34</v>
      </c>
      <c r="B14" s="29">
        <v>-3</v>
      </c>
      <c r="C14" s="30">
        <v>1</v>
      </c>
      <c r="D14" s="34">
        <f t="shared" si="0"/>
        <v>6</v>
      </c>
      <c r="E14" s="33">
        <v>3</v>
      </c>
      <c r="F14" s="30">
        <v>1</v>
      </c>
      <c r="G14" s="34" t="s">
        <v>8</v>
      </c>
      <c r="H14" s="33">
        <v>1</v>
      </c>
      <c r="I14" s="30">
        <v>1</v>
      </c>
      <c r="J14" s="30" t="s">
        <v>8</v>
      </c>
      <c r="K14" s="10"/>
      <c r="L14" s="10"/>
      <c r="M14" s="10"/>
    </row>
    <row r="15" spans="1:13" x14ac:dyDescent="0.25">
      <c r="A15" s="18" t="s">
        <v>35</v>
      </c>
      <c r="B15" s="29">
        <v>2</v>
      </c>
      <c r="C15" s="30">
        <v>1</v>
      </c>
      <c r="D15" s="34">
        <f t="shared" si="0"/>
        <v>4</v>
      </c>
      <c r="E15" s="33">
        <v>5</v>
      </c>
      <c r="F15" s="30">
        <v>1</v>
      </c>
      <c r="G15" s="34" t="s">
        <v>8</v>
      </c>
      <c r="H15" s="33">
        <v>5</v>
      </c>
      <c r="I15" s="30">
        <v>1</v>
      </c>
      <c r="J15" s="30" t="s">
        <v>8</v>
      </c>
      <c r="K15" s="10"/>
      <c r="L15" s="10"/>
      <c r="M15" s="10"/>
    </row>
    <row r="16" spans="1:13" ht="15.75" thickBot="1" x14ac:dyDescent="0.3">
      <c r="A16" s="19" t="s">
        <v>36</v>
      </c>
      <c r="B16" s="35">
        <v>8</v>
      </c>
      <c r="C16" s="36">
        <v>1</v>
      </c>
      <c r="D16" s="68">
        <f t="shared" si="0"/>
        <v>1</v>
      </c>
      <c r="E16" s="37">
        <v>7</v>
      </c>
      <c r="F16" s="38">
        <v>1</v>
      </c>
      <c r="G16" s="39" t="s">
        <v>8</v>
      </c>
      <c r="H16" s="37">
        <v>9</v>
      </c>
      <c r="I16" s="38">
        <v>1</v>
      </c>
      <c r="J16" s="38" t="s">
        <v>8</v>
      </c>
      <c r="K16" s="10"/>
      <c r="L16" s="10"/>
      <c r="M16" s="10"/>
    </row>
    <row r="17" spans="1:17" x14ac:dyDescent="0.25">
      <c r="A17" s="85" t="s">
        <v>1</v>
      </c>
      <c r="B17" s="40">
        <f>MIN($B$9,$B$10,$B$11,$B$12,$B$13,$B$14,$B$15,$B$16)</f>
        <v>-5</v>
      </c>
      <c r="C17" s="41"/>
      <c r="D17" s="60"/>
      <c r="E17" s="42">
        <f>MIN($E$13,$E$14,$E$15,$E$16)</f>
        <v>1</v>
      </c>
      <c r="F17" s="43"/>
      <c r="G17" s="44"/>
      <c r="H17" s="56">
        <f>MIN($H$14,$H$15,$H$16)</f>
        <v>1</v>
      </c>
      <c r="I17" s="43"/>
      <c r="J17" s="44"/>
      <c r="K17" s="10"/>
      <c r="L17" s="10"/>
      <c r="M17" s="10"/>
    </row>
    <row r="18" spans="1:17" x14ac:dyDescent="0.25">
      <c r="A18" s="86" t="s">
        <v>2</v>
      </c>
      <c r="B18" s="45">
        <f>MAX($B$9,$B$10,$B$11,$B$12,$B$13,$B$14,$B$15,$B$16)</f>
        <v>8</v>
      </c>
      <c r="C18" s="46"/>
      <c r="D18" s="61"/>
      <c r="E18" s="45">
        <f>MAX($E$13,$E$14,$E$15,$E$16)</f>
        <v>7</v>
      </c>
      <c r="F18" s="46"/>
      <c r="G18" s="47"/>
      <c r="H18" s="57">
        <f>MAX($H$14,$H$15,$H$16)</f>
        <v>9</v>
      </c>
      <c r="I18" s="46"/>
      <c r="J18" s="47"/>
      <c r="K18" s="10"/>
      <c r="L18" s="10"/>
      <c r="M18" s="10"/>
    </row>
    <row r="19" spans="1:17" x14ac:dyDescent="0.25">
      <c r="A19" s="86" t="s">
        <v>0</v>
      </c>
      <c r="B19" s="45">
        <f>((SUM($B$9:$B$16)-(($B$17-1)*SUM($C$9:$C$16)))/SUM($C$9:$C$16))</f>
        <v>5.625</v>
      </c>
      <c r="C19" s="46"/>
      <c r="D19" s="61"/>
      <c r="E19" s="45">
        <f>((SUM($E$9:$E$16)-(($E$17-1)*SUM($F$9:$F$16)))/SUM($F$9:$F$16))</f>
        <v>4</v>
      </c>
      <c r="F19" s="46"/>
      <c r="G19" s="47"/>
      <c r="H19" s="57">
        <f>((SUM($H$9:$H$16)-(($H$17-1)*SUM($I$9:$I$16)))/SUM($I$9:$I$16))</f>
        <v>5</v>
      </c>
      <c r="I19" s="46"/>
      <c r="J19" s="47"/>
      <c r="K19" s="10"/>
      <c r="L19" s="10"/>
      <c r="M19" s="10"/>
    </row>
    <row r="20" spans="1:17" x14ac:dyDescent="0.25">
      <c r="A20" s="86" t="s">
        <v>6</v>
      </c>
      <c r="B20" s="45">
        <f>(((SQRT((($B$9-($B$17-1))-$B$19)^2)+SQRT((($B$10-($B$17-1))-$B$19)^2)+SQRT((($B$11-($B$17-1))-$B$19)^2)+SQRT((($B$12-($B$17-1))-$B$19)^2)+SQRT((($B$13-($B$17-1))-$B$19)^2)+SQRT((($B$14-($B$17-1))-$B$19)^2)+SQRT((($B$15-($B$17-1))-$B$19)^2)+SQRT((($B$16-($B$17-1))-$B$19)^2))/SUM($C$9:$C$16))*100)</f>
        <v>296.875</v>
      </c>
      <c r="C20" s="46"/>
      <c r="D20" s="61"/>
      <c r="E20" s="45">
        <f>(((SQRT((($E$13-($E$17-1))-$E$19)^2)+SQRT((($E$14-($E$17-1))-$E$19)^2)+SQRT((($E$15-($E$17-1))-$E$19)^2)+SQRT((($E$16-($E$17-1))-$E$19)^2))/SUM($F$9:$F$16))*100)</f>
        <v>200</v>
      </c>
      <c r="F20" s="46"/>
      <c r="G20" s="47"/>
      <c r="H20" s="57">
        <f>(((SQRT((($H$14-($H$17-1))-$H$19)^2)+SQRT((($H$15-($H$17-1))-$H$19)^2)+SQRT((($H$16-($H$17-1))-$H$19)^2))/SUM($I$9:$I$16))*100)</f>
        <v>266.66666666666663</v>
      </c>
      <c r="I20" s="46"/>
      <c r="J20" s="47"/>
      <c r="K20" s="10"/>
      <c r="L20" s="10"/>
      <c r="M20" s="10"/>
    </row>
    <row r="21" spans="1:17" ht="15.75" thickBot="1" x14ac:dyDescent="0.3">
      <c r="A21" s="87" t="s">
        <v>48</v>
      </c>
      <c r="B21" s="48">
        <f>(((B$20*(SUM($F$9:$F$16)+SUM($I$9:$I$16)))/SUM($C$9:$C$16))/SUM($I$9:$I$16))</f>
        <v>86.588541666666671</v>
      </c>
      <c r="C21" s="49"/>
      <c r="D21" s="62"/>
      <c r="E21" s="48">
        <f>(((E$20*(SUM($C$9:$C$16)+SUM($I$9:$I$16)))/SUM($F$9:$F$16))/SUM($I$9:$I$16))</f>
        <v>183.33333333333334</v>
      </c>
      <c r="F21" s="49"/>
      <c r="G21" s="50"/>
      <c r="H21" s="58">
        <f>(((H$20*(SUM($C$9:$C$16)+SUM($F$9:$F$16)))/SUM($I$9:$I$16))/SUM($I$9:$I$16))</f>
        <v>355.55555555555549</v>
      </c>
      <c r="I21" s="49"/>
      <c r="J21" s="50"/>
      <c r="K21" s="10"/>
      <c r="L21" s="10"/>
      <c r="M21" s="10"/>
    </row>
    <row r="22" spans="1:17" x14ac:dyDescent="0.25">
      <c r="A22" s="22" t="s">
        <v>47</v>
      </c>
      <c r="B22" s="3"/>
      <c r="C22" s="3"/>
      <c r="D22" s="3"/>
      <c r="E22" s="3"/>
      <c r="F22" s="1"/>
    </row>
    <row r="23" spans="1:17" ht="15.75" thickBot="1" x14ac:dyDescent="0.3">
      <c r="A23" s="3"/>
      <c r="B23" s="3"/>
      <c r="C23" s="3"/>
      <c r="D23" s="3"/>
      <c r="E23" s="3"/>
      <c r="F23" s="1"/>
    </row>
    <row r="24" spans="1:17" ht="15.75" thickBot="1" x14ac:dyDescent="0.3">
      <c r="A24" s="3" t="s">
        <v>5</v>
      </c>
      <c r="B24" s="98" t="s">
        <v>9</v>
      </c>
      <c r="C24" s="99"/>
      <c r="D24" s="99"/>
      <c r="E24" s="99"/>
      <c r="F24" s="99"/>
      <c r="G24" s="99"/>
      <c r="H24" s="99"/>
      <c r="I24" s="99"/>
      <c r="J24" s="99"/>
      <c r="K24" s="99"/>
      <c r="L24" s="99"/>
      <c r="M24" s="99"/>
      <c r="N24" s="99"/>
      <c r="O24" s="99"/>
      <c r="P24" s="99"/>
      <c r="Q24" s="100"/>
    </row>
    <row r="25" spans="1:17" ht="15.75" thickBot="1" x14ac:dyDescent="0.3">
      <c r="A25" s="69" t="s">
        <v>7</v>
      </c>
      <c r="B25" s="70">
        <v>-6</v>
      </c>
      <c r="C25" s="71">
        <v>-5</v>
      </c>
      <c r="D25" s="71">
        <v>-4</v>
      </c>
      <c r="E25" s="71">
        <v>-3</v>
      </c>
      <c r="F25" s="71">
        <v>-2</v>
      </c>
      <c r="G25" s="71">
        <v>-1</v>
      </c>
      <c r="H25" s="71">
        <v>0</v>
      </c>
      <c r="I25" s="71">
        <v>1</v>
      </c>
      <c r="J25" s="71">
        <v>2</v>
      </c>
      <c r="K25" s="71">
        <v>3</v>
      </c>
      <c r="L25" s="71">
        <v>4</v>
      </c>
      <c r="M25" s="71">
        <v>5</v>
      </c>
      <c r="N25" s="71">
        <v>6</v>
      </c>
      <c r="O25" s="76">
        <v>9</v>
      </c>
      <c r="P25" s="88" t="s">
        <v>54</v>
      </c>
      <c r="Q25" s="89" t="s">
        <v>53</v>
      </c>
    </row>
    <row r="26" spans="1:17" x14ac:dyDescent="0.25">
      <c r="A26" s="82" t="s">
        <v>14</v>
      </c>
      <c r="B26" s="72" t="str">
        <f>(IF(B$25&gt;$B$18,"OOR",IF(B$25&lt;$B$17,"OOR",LARGE($B$9:$B$16,COUNTIF($B$9:$B$16,"&gt;"&amp;B$25)+1))))</f>
        <v>OOR</v>
      </c>
      <c r="C26" s="73">
        <f t="shared" ref="C26:O26" si="1">(IF(C$25&gt;$B$18,"OOR",IF(C$25&lt;$B$17,"OOR",LARGE($B$9:$B$16,COUNTIF($B$9:$B$16,"&gt;"&amp;C$25)+1))))</f>
        <v>-5</v>
      </c>
      <c r="D26" s="73">
        <f t="shared" si="1"/>
        <v>-5</v>
      </c>
      <c r="E26" s="73">
        <f t="shared" si="1"/>
        <v>-3</v>
      </c>
      <c r="F26" s="73">
        <f t="shared" si="1"/>
        <v>-3</v>
      </c>
      <c r="G26" s="73">
        <f t="shared" si="1"/>
        <v>-3</v>
      </c>
      <c r="H26" s="73">
        <f t="shared" si="1"/>
        <v>0</v>
      </c>
      <c r="I26" s="73">
        <f t="shared" si="1"/>
        <v>0</v>
      </c>
      <c r="J26" s="73">
        <f t="shared" si="1"/>
        <v>2</v>
      </c>
      <c r="K26" s="73">
        <f t="shared" si="1"/>
        <v>2</v>
      </c>
      <c r="L26" s="73">
        <f t="shared" si="1"/>
        <v>2</v>
      </c>
      <c r="M26" s="73">
        <f t="shared" si="1"/>
        <v>2</v>
      </c>
      <c r="N26" s="73">
        <f t="shared" si="1"/>
        <v>2</v>
      </c>
      <c r="O26" s="74" t="str">
        <f t="shared" si="1"/>
        <v>OOR</v>
      </c>
      <c r="P26" s="78"/>
      <c r="Q26" s="77"/>
    </row>
    <row r="27" spans="1:17" x14ac:dyDescent="0.25">
      <c r="A27" s="83" t="s">
        <v>13</v>
      </c>
      <c r="B27" s="23" t="str">
        <f>(IF(B$25&gt;$B$18,"OOR",IF(B$25&lt;$B$17,"OOR",SMALL($B$9:$B$16,COUNTIF($B$9:$B$16,"&lt;"&amp;B$25)+1))))</f>
        <v>OOR</v>
      </c>
      <c r="C27" s="52">
        <f t="shared" ref="C27:O27" si="2">(IF(C$25&gt;$B$18,"OOR",IF(C$25&lt;$B$17,"OOR",SMALL($B$9:$B$16,COUNTIF($B$9:$B$16,"&lt;"&amp;C$25)+1))))</f>
        <v>-5</v>
      </c>
      <c r="D27" s="52">
        <f t="shared" si="2"/>
        <v>-3</v>
      </c>
      <c r="E27" s="52">
        <f t="shared" si="2"/>
        <v>-3</v>
      </c>
      <c r="F27" s="52">
        <f t="shared" si="2"/>
        <v>0</v>
      </c>
      <c r="G27" s="52">
        <f t="shared" si="2"/>
        <v>0</v>
      </c>
      <c r="H27" s="52">
        <f t="shared" si="2"/>
        <v>0</v>
      </c>
      <c r="I27" s="52">
        <f t="shared" si="2"/>
        <v>2</v>
      </c>
      <c r="J27" s="52">
        <f t="shared" si="2"/>
        <v>2</v>
      </c>
      <c r="K27" s="52">
        <f t="shared" si="2"/>
        <v>8</v>
      </c>
      <c r="L27" s="52">
        <f t="shared" si="2"/>
        <v>8</v>
      </c>
      <c r="M27" s="52">
        <f t="shared" si="2"/>
        <v>8</v>
      </c>
      <c r="N27" s="52">
        <f t="shared" si="2"/>
        <v>8</v>
      </c>
      <c r="O27" s="53" t="str">
        <f t="shared" si="2"/>
        <v>OOR</v>
      </c>
      <c r="P27" s="79"/>
      <c r="Q27" s="47"/>
    </row>
    <row r="28" spans="1:17" x14ac:dyDescent="0.25">
      <c r="A28" s="83" t="s">
        <v>24</v>
      </c>
      <c r="B28" s="23">
        <f>(SQRT((IF(B$25&gt;$B$18,0,IF(B$25&lt;$B$17,0,(50-(($B$20)/SUM($C$9:$C$16)))))*(IF(ISNUMBER(B$26),(VLOOKUP(B$26,$B$9:$D$16,3,FALSE)*IF(B$27=B$26,1,((B$25-B$26)/(B$27-B$26)))),0))/($B$20/100))^2))</f>
        <v>0</v>
      </c>
      <c r="C28" s="52">
        <f t="shared" ref="C28:O28" si="3">(SQRT((IF(C$25&gt;$B$18,0,IF(C$25&lt;$B$17,0,(50-(($B$20)/SUM($C$9:$C$16)))))*(IF(ISNUMBER(C$26),(VLOOKUP(C$26,$B$9:$D$16,3,FALSE)*IF(C$27=C$26,1,((C$25-C$26)/(C$27-C$26)))),0))/($B$20/100))^2))</f>
        <v>13.026315789473685</v>
      </c>
      <c r="D28" s="52">
        <f t="shared" si="3"/>
        <v>6.5131578947368425</v>
      </c>
      <c r="E28" s="52">
        <f t="shared" si="3"/>
        <v>26.05263157894737</v>
      </c>
      <c r="F28" s="52">
        <f t="shared" si="3"/>
        <v>8.6842105263157894</v>
      </c>
      <c r="G28" s="52">
        <f t="shared" si="3"/>
        <v>17.368421052631579</v>
      </c>
      <c r="H28" s="52">
        <f t="shared" si="3"/>
        <v>21.710526315789473</v>
      </c>
      <c r="I28" s="52">
        <f t="shared" si="3"/>
        <v>10.855263157894736</v>
      </c>
      <c r="J28" s="52">
        <f t="shared" si="3"/>
        <v>17.368421052631579</v>
      </c>
      <c r="K28" s="52">
        <f t="shared" si="3"/>
        <v>2.8947368421052633</v>
      </c>
      <c r="L28" s="52">
        <f t="shared" si="3"/>
        <v>5.7894736842105265</v>
      </c>
      <c r="M28" s="52">
        <f t="shared" si="3"/>
        <v>8.6842105263157894</v>
      </c>
      <c r="N28" s="52">
        <f t="shared" si="3"/>
        <v>11.578947368421053</v>
      </c>
      <c r="O28" s="53">
        <f t="shared" si="3"/>
        <v>0</v>
      </c>
      <c r="P28" s="79"/>
      <c r="Q28" s="47"/>
    </row>
    <row r="29" spans="1:17" x14ac:dyDescent="0.25">
      <c r="A29" s="83" t="s">
        <v>26</v>
      </c>
      <c r="B29" s="23">
        <f>(SQRT((IF(B$25&gt;$B$18,0,IF(B$25&lt;$B$17,0,(50-(($B$20/SUM($C$9:$C$16))))))*(IF(ISNUMBER(B$26),(VLOOKUP(B$27,$B$9:$D$16,3,FALSE)*IF(B$27=B$26,1,((B$25-B$26)/(B$27-B$26)))),0))/($B$20/100))^2))</f>
        <v>0</v>
      </c>
      <c r="C29" s="52">
        <f t="shared" ref="C29:O29" si="4">(SQRT((IF(C$25&gt;$B$18,0,IF(C$25&lt;$B$17,0,(50-(($B$20/SUM($C$9:$C$16))))))*(IF(ISNUMBER(C$26),(VLOOKUP(C$27,$B$9:$D$16,3,FALSE)*IF(C$27=C$26,1,((C$25-C$26)/(C$27-C$26)))),0))/($B$20/100))^2))</f>
        <v>13.026315789473685</v>
      </c>
      <c r="D29" s="52">
        <f t="shared" si="4"/>
        <v>13.026315789473685</v>
      </c>
      <c r="E29" s="52">
        <f t="shared" si="4"/>
        <v>26.05263157894737</v>
      </c>
      <c r="F29" s="52">
        <f t="shared" si="4"/>
        <v>7.2368421052631566</v>
      </c>
      <c r="G29" s="52">
        <f t="shared" si="4"/>
        <v>14.473684210526313</v>
      </c>
      <c r="H29" s="52">
        <f t="shared" si="4"/>
        <v>21.710526315789473</v>
      </c>
      <c r="I29" s="52">
        <f t="shared" si="4"/>
        <v>8.6842105263157894</v>
      </c>
      <c r="J29" s="52">
        <f t="shared" si="4"/>
        <v>17.368421052631579</v>
      </c>
      <c r="K29" s="52">
        <f t="shared" si="4"/>
        <v>0.72368421052631582</v>
      </c>
      <c r="L29" s="52">
        <f t="shared" si="4"/>
        <v>1.4473684210526316</v>
      </c>
      <c r="M29" s="52">
        <f t="shared" si="4"/>
        <v>2.1710526315789473</v>
      </c>
      <c r="N29" s="52">
        <f t="shared" si="4"/>
        <v>2.8947368421052633</v>
      </c>
      <c r="O29" s="53">
        <f t="shared" si="4"/>
        <v>0</v>
      </c>
      <c r="P29" s="79"/>
      <c r="Q29" s="47"/>
    </row>
    <row r="30" spans="1:17" x14ac:dyDescent="0.25">
      <c r="A30" s="83" t="s">
        <v>25</v>
      </c>
      <c r="B30" s="23">
        <f>(SQRT((IF(B$25&gt;$B$18,0,IF(B$25&lt;$B$17,0,(50-(($B$20/SUM($C$9:$C$16))))))*(IF(ISNUMBER(B$26),(VLOOKUP(B$26,$B$9:$D$16,3,FALSE)*IF(B$27=B$26,1,((B$27-B$25)/(B$27-B$26)))),0))/($B$20/100))^2))</f>
        <v>0</v>
      </c>
      <c r="C30" s="52">
        <f t="shared" ref="C30:O30" si="5">(SQRT((IF(C$25&gt;$B$18,0,IF(C$25&lt;$B$17,0,(50-(($B$20/SUM($C$9:$C$16))))))*(IF(ISNUMBER(C$26),(VLOOKUP(C$26,$B$9:$D$16,3,FALSE)*IF(C$27=C$26,1,((C$27-C$25)/(C$27-C$26)))),0))/($B$20/100))^2))</f>
        <v>13.026315789473685</v>
      </c>
      <c r="D30" s="52">
        <f t="shared" si="5"/>
        <v>6.5131578947368425</v>
      </c>
      <c r="E30" s="52">
        <f t="shared" si="5"/>
        <v>26.05263157894737</v>
      </c>
      <c r="F30" s="52">
        <f t="shared" si="5"/>
        <v>17.368421052631579</v>
      </c>
      <c r="G30" s="52">
        <f t="shared" si="5"/>
        <v>8.6842105263157894</v>
      </c>
      <c r="H30" s="52">
        <f t="shared" si="5"/>
        <v>21.710526315789473</v>
      </c>
      <c r="I30" s="52">
        <f t="shared" si="5"/>
        <v>10.855263157894736</v>
      </c>
      <c r="J30" s="52">
        <f t="shared" si="5"/>
        <v>17.368421052631579</v>
      </c>
      <c r="K30" s="52">
        <f t="shared" si="5"/>
        <v>14.473684210526315</v>
      </c>
      <c r="L30" s="52">
        <f t="shared" si="5"/>
        <v>11.578947368421053</v>
      </c>
      <c r="M30" s="52">
        <f t="shared" si="5"/>
        <v>8.6842105263157894</v>
      </c>
      <c r="N30" s="52">
        <f t="shared" si="5"/>
        <v>5.7894736842105265</v>
      </c>
      <c r="O30" s="53">
        <f t="shared" si="5"/>
        <v>0</v>
      </c>
      <c r="P30" s="79"/>
      <c r="Q30" s="47"/>
    </row>
    <row r="31" spans="1:17" x14ac:dyDescent="0.25">
      <c r="A31" s="83" t="s">
        <v>27</v>
      </c>
      <c r="B31" s="23">
        <f>(SQRT((IF(B$25&gt;$B$18,0,IF(B$25&lt;$B$17,0,(50-(($B$20/SUM($C$9:$C$16))))))*(IF(ISNUMBER(B$26),(VLOOKUP(B$27,$B$9:$D$16,3,FALSE)*IF(B$27=B$26,1,((B$27-B$25)/(B$27-B$26)))),0))/($B$20/100))^2))</f>
        <v>0</v>
      </c>
      <c r="C31" s="52">
        <f t="shared" ref="C31:O31" si="6">(SQRT((IF(C$25&gt;$B$18,0,IF(C$25&lt;$B$17,0,(50-(($B$20/SUM($C$9:$C$16))))))*(IF(ISNUMBER(C$26),(VLOOKUP(C$27,$B$9:$D$16,3,FALSE)*IF(C$27=C$26,1,((C$27-C$25)/(C$27-C$26)))),0))/($B$20/100))^2))</f>
        <v>13.026315789473685</v>
      </c>
      <c r="D31" s="52">
        <f t="shared" si="6"/>
        <v>13.026315789473685</v>
      </c>
      <c r="E31" s="52">
        <f t="shared" si="6"/>
        <v>26.05263157894737</v>
      </c>
      <c r="F31" s="52">
        <f t="shared" si="6"/>
        <v>14.473684210526313</v>
      </c>
      <c r="G31" s="52">
        <f t="shared" si="6"/>
        <v>7.2368421052631566</v>
      </c>
      <c r="H31" s="52">
        <f t="shared" si="6"/>
        <v>21.710526315789473</v>
      </c>
      <c r="I31" s="52">
        <f t="shared" si="6"/>
        <v>8.6842105263157894</v>
      </c>
      <c r="J31" s="52">
        <f t="shared" si="6"/>
        <v>17.368421052631579</v>
      </c>
      <c r="K31" s="52">
        <f t="shared" si="6"/>
        <v>3.6184210526315788</v>
      </c>
      <c r="L31" s="52">
        <f t="shared" si="6"/>
        <v>2.8947368421052633</v>
      </c>
      <c r="M31" s="52">
        <f t="shared" si="6"/>
        <v>2.1710526315789473</v>
      </c>
      <c r="N31" s="52">
        <f t="shared" si="6"/>
        <v>1.4473684210526316</v>
      </c>
      <c r="O31" s="53">
        <f t="shared" si="6"/>
        <v>0</v>
      </c>
      <c r="P31" s="79"/>
      <c r="Q31" s="47"/>
    </row>
    <row r="32" spans="1:17" x14ac:dyDescent="0.25">
      <c r="A32" s="83" t="s">
        <v>28</v>
      </c>
      <c r="B32" s="23">
        <f>(IF(ISNUMBER(B$26),IF(B$26=B$27,B$28,(((B$28*(1-((B$25-B$26)/(B$27-B$26))))*((B$27-B$25)/(B$27-B$26)))+((B$29*(1-((B$27-B$25)/(B$27-B$26))))*((B$25-B$26)/(B$27-B$26)))+((B$30*(1-((B$25-B$26)/(B$27-B$26))))*((B$27-B$25)/(B$27-B$26)))+((B$31*(1-((B$27-B$25)/(B$27-B$26))))*((B$25-B$26)/(B$27-B$26))))),0))</f>
        <v>0</v>
      </c>
      <c r="C32" s="52">
        <f t="shared" ref="C32:O32" si="7">(IF(ISNUMBER(C$26),IF(C$26=C$27,C$28,(((C$28*(1-((C$25-C$26)/(C$27-C$26))))*((C$27-C$25)/(C$27-C$26)))+((C$29*(1-((C$27-C$25)/(C$27-C$26))))*((C$25-C$26)/(C$27-C$26)))+((C$30*(1-((C$25-C$26)/(C$27-C$26))))*((C$27-C$25)/(C$27-C$26)))+((C$31*(1-((C$27-C$25)/(C$27-C$26))))*((C$25-C$26)/(C$27-C$26))))),0))</f>
        <v>13.026315789473685</v>
      </c>
      <c r="D32" s="52">
        <f t="shared" si="7"/>
        <v>9.7697368421052637</v>
      </c>
      <c r="E32" s="52">
        <f t="shared" si="7"/>
        <v>26.05263157894737</v>
      </c>
      <c r="F32" s="52">
        <f t="shared" si="7"/>
        <v>13.991228070175438</v>
      </c>
      <c r="G32" s="52">
        <f t="shared" si="7"/>
        <v>12.543859649122806</v>
      </c>
      <c r="H32" s="52">
        <f t="shared" si="7"/>
        <v>21.710526315789473</v>
      </c>
      <c r="I32" s="52">
        <f t="shared" si="7"/>
        <v>9.7697368421052637</v>
      </c>
      <c r="J32" s="52">
        <f t="shared" si="7"/>
        <v>17.368421052631579</v>
      </c>
      <c r="K32" s="52">
        <f t="shared" si="7"/>
        <v>12.182017543859649</v>
      </c>
      <c r="L32" s="52">
        <f t="shared" si="7"/>
        <v>8.2017543859649127</v>
      </c>
      <c r="M32" s="52">
        <f t="shared" si="7"/>
        <v>5.427631578947369</v>
      </c>
      <c r="N32" s="52">
        <f t="shared" si="7"/>
        <v>3.859649122807018</v>
      </c>
      <c r="O32" s="53">
        <f t="shared" si="7"/>
        <v>0</v>
      </c>
      <c r="P32" s="79"/>
      <c r="Q32" s="47"/>
    </row>
    <row r="33" spans="1:17" x14ac:dyDescent="0.25">
      <c r="A33" s="83" t="s">
        <v>38</v>
      </c>
      <c r="B33" s="23">
        <f>(IF(ISNUMBER(B$26),IF(B$26=B$27,0,(((B$28*((B$25-B$26)/(B$27-B$26)))*((B$27-B$25)/(B$27-B$26)))+((B$29*((B$27-B$25)/(B$27-B$26)))*((B$25-B$26)/(B$27-B$26)))+((B$30*((B$25-B$26)/(B$27-B$26)))*((B$27-B$25)/(B$27-B$26)))+((B$31*((B$27-B$25)/(B$27-B$26)))*((B$25-B$26)/(B$27-B$26))))),0))</f>
        <v>0</v>
      </c>
      <c r="C33" s="52">
        <f t="shared" ref="C33:O33" si="8">(IF(ISNUMBER(C$26),IF(C$26=C$27,0,(((C$28*((C$25-C$26)/(C$27-C$26)))*((C$27-C$25)/(C$27-C$26)))+((C$29*((C$27-C$25)/(C$27-C$26)))*((C$25-C$26)/(C$27-C$26)))+((C$30*((C$25-C$26)/(C$27-C$26)))*((C$27-C$25)/(C$27-C$26)))+((C$31*((C$27-C$25)/(C$27-C$26)))*((C$25-C$26)/(C$27-C$26))))),0))</f>
        <v>0</v>
      </c>
      <c r="D33" s="52">
        <f t="shared" si="8"/>
        <v>9.7697368421052637</v>
      </c>
      <c r="E33" s="52">
        <f t="shared" si="8"/>
        <v>0</v>
      </c>
      <c r="F33" s="52">
        <f t="shared" si="8"/>
        <v>10.614035087719296</v>
      </c>
      <c r="G33" s="52">
        <f t="shared" si="8"/>
        <v>10.614035087719296</v>
      </c>
      <c r="H33" s="52">
        <f t="shared" si="8"/>
        <v>0</v>
      </c>
      <c r="I33" s="52">
        <f t="shared" si="8"/>
        <v>9.7697368421052637</v>
      </c>
      <c r="J33" s="52">
        <f t="shared" si="8"/>
        <v>0</v>
      </c>
      <c r="K33" s="52">
        <f t="shared" si="8"/>
        <v>3.0153508771929824</v>
      </c>
      <c r="L33" s="52">
        <f t="shared" si="8"/>
        <v>4.8245614035087714</v>
      </c>
      <c r="M33" s="52">
        <f t="shared" si="8"/>
        <v>5.427631578947369</v>
      </c>
      <c r="N33" s="52">
        <f t="shared" si="8"/>
        <v>4.8245614035087723</v>
      </c>
      <c r="O33" s="53">
        <f t="shared" si="8"/>
        <v>0</v>
      </c>
      <c r="P33" s="79"/>
      <c r="Q33" s="47"/>
    </row>
    <row r="34" spans="1:17" x14ac:dyDescent="0.25">
      <c r="A34" s="83" t="s">
        <v>37</v>
      </c>
      <c r="B34" s="23">
        <f>(IF(ISNUMBER(B$26),(((IF(B$26=B$27, 1, IF(B$25&lt;=((B$26+(B$27-B$26)/2)), (1-(SQRT(((B$25-B$26)/(B$27-B$26))^2))), (SQRT(((B$25-B$26)/(B$27-B$26))^2)))))-0.5)*2),0))</f>
        <v>0</v>
      </c>
      <c r="C34" s="52">
        <f t="shared" ref="C34:O34" si="9">(IF(ISNUMBER(C$26),(((IF(C$26=C$27, 1, IF(C$25&lt;=((C$26+(C$27-C$26)/2)), (1-(SQRT(((C$25-C$26)/(C$27-C$26))^2))), (SQRT(((C$25-C$26)/(C$27-C$26))^2)))))-0.5)*2),0))</f>
        <v>1</v>
      </c>
      <c r="D34" s="52">
        <f t="shared" si="9"/>
        <v>0</v>
      </c>
      <c r="E34" s="52">
        <f t="shared" si="9"/>
        <v>1</v>
      </c>
      <c r="F34" s="52">
        <f t="shared" si="9"/>
        <v>0.33333333333333348</v>
      </c>
      <c r="G34" s="52">
        <f t="shared" si="9"/>
        <v>0.33333333333333326</v>
      </c>
      <c r="H34" s="52">
        <f t="shared" si="9"/>
        <v>1</v>
      </c>
      <c r="I34" s="52">
        <f t="shared" si="9"/>
        <v>0</v>
      </c>
      <c r="J34" s="52">
        <f t="shared" si="9"/>
        <v>1</v>
      </c>
      <c r="K34" s="52">
        <f t="shared" si="9"/>
        <v>0.66666666666666674</v>
      </c>
      <c r="L34" s="52">
        <f t="shared" si="9"/>
        <v>0.33333333333333348</v>
      </c>
      <c r="M34" s="52">
        <f t="shared" si="9"/>
        <v>0</v>
      </c>
      <c r="N34" s="52">
        <f t="shared" si="9"/>
        <v>0.33333333333333326</v>
      </c>
      <c r="O34" s="53">
        <f t="shared" si="9"/>
        <v>0</v>
      </c>
      <c r="P34" s="79"/>
      <c r="Q34" s="47"/>
    </row>
    <row r="35" spans="1:17" x14ac:dyDescent="0.25">
      <c r="A35" s="83" t="s">
        <v>43</v>
      </c>
      <c r="B35" s="23">
        <f>(((B$32*(1-B$34))+((B$32+(B$33*B34))*B$34))-((1/SUM($C$9:$C$16))*($B$4/100)))</f>
        <v>-3.125E-2</v>
      </c>
      <c r="C35" s="52">
        <f t="shared" ref="C35:O35" si="10">(((C$32*(1-C$34))+((C$32+(C$33*C34))*C$34))-((1/SUM($C$9:$C$16))*($B$4/100)))</f>
        <v>12.995065789473685</v>
      </c>
      <c r="D35" s="52">
        <f t="shared" si="10"/>
        <v>9.7384868421052637</v>
      </c>
      <c r="E35" s="52">
        <f t="shared" si="10"/>
        <v>26.02138157894737</v>
      </c>
      <c r="F35" s="52">
        <f t="shared" si="10"/>
        <v>15.139315302144251</v>
      </c>
      <c r="G35" s="52">
        <f t="shared" si="10"/>
        <v>13.691946881091617</v>
      </c>
      <c r="H35" s="52">
        <f t="shared" si="10"/>
        <v>21.679276315789473</v>
      </c>
      <c r="I35" s="52">
        <f t="shared" si="10"/>
        <v>9.7384868421052637</v>
      </c>
      <c r="J35" s="52">
        <f t="shared" si="10"/>
        <v>17.337171052631579</v>
      </c>
      <c r="K35" s="52">
        <f t="shared" si="10"/>
        <v>13.490923489278753</v>
      </c>
      <c r="L35" s="52">
        <f t="shared" si="10"/>
        <v>8.706566764132555</v>
      </c>
      <c r="M35" s="52">
        <f t="shared" si="10"/>
        <v>5.396381578947369</v>
      </c>
      <c r="N35" s="52">
        <f t="shared" si="10"/>
        <v>4.3644615009746595</v>
      </c>
      <c r="O35" s="53">
        <f t="shared" si="10"/>
        <v>-3.125E-2</v>
      </c>
      <c r="P35" s="80">
        <f>MIN($B$35,$C$35,$D$35,$E$35,$F$35,$G$35,$H$35,$I$35,$J$35,$K$35,$L$35,$M$35,$N$35,$O$35)</f>
        <v>-3.125E-2</v>
      </c>
      <c r="Q35" s="53">
        <f>MAX($B$35,$C$35,$D$35,$E$35,$F$35,$G$35,$H$35,$I$35,$J$35,$K$35,$L$35,$M$35,$N$35,$O$35)</f>
        <v>26.02138157894737</v>
      </c>
    </row>
    <row r="36" spans="1:17" x14ac:dyDescent="0.25">
      <c r="A36" s="83" t="s">
        <v>44</v>
      </c>
      <c r="B36" s="23">
        <f>(IF(B$35=0,0,(IF($P$35&lt;0,(B$35-$P$35),0)+IF($Q$35&gt;100,(B$35-(Q$35-100)),0)+IF($P$35&gt;=0,IF($Q$35&lt;=100,B$35,0),0))))</f>
        <v>0</v>
      </c>
      <c r="C36" s="52">
        <f t="shared" ref="C36:O36" si="11">(IF(C$35=0,0,(IF($P$35&lt;0,(C$35-$P$35),0)+IF($Q$35&gt;100,(C$35-(R$35-100)),0)+IF($P$35&gt;=0,IF($Q$35&lt;=100,C$35,0),0))))</f>
        <v>13.026315789473685</v>
      </c>
      <c r="D36" s="52">
        <f t="shared" si="11"/>
        <v>9.7697368421052637</v>
      </c>
      <c r="E36" s="52">
        <f t="shared" si="11"/>
        <v>26.05263157894737</v>
      </c>
      <c r="F36" s="52">
        <f t="shared" si="11"/>
        <v>15.170565302144251</v>
      </c>
      <c r="G36" s="52">
        <f t="shared" si="11"/>
        <v>13.723196881091617</v>
      </c>
      <c r="H36" s="52">
        <f t="shared" si="11"/>
        <v>21.710526315789473</v>
      </c>
      <c r="I36" s="52">
        <f t="shared" si="11"/>
        <v>9.7697368421052637</v>
      </c>
      <c r="J36" s="52">
        <f t="shared" si="11"/>
        <v>17.368421052631579</v>
      </c>
      <c r="K36" s="52">
        <f t="shared" si="11"/>
        <v>13.522173489278753</v>
      </c>
      <c r="L36" s="52">
        <f t="shared" si="11"/>
        <v>8.737816764132555</v>
      </c>
      <c r="M36" s="52">
        <f t="shared" si="11"/>
        <v>5.427631578947369</v>
      </c>
      <c r="N36" s="52">
        <f t="shared" si="11"/>
        <v>4.3957115009746595</v>
      </c>
      <c r="O36" s="53">
        <f t="shared" si="11"/>
        <v>0</v>
      </c>
      <c r="P36" s="31"/>
      <c r="Q36" s="63"/>
    </row>
    <row r="37" spans="1:17" ht="15.75" thickBot="1" x14ac:dyDescent="0.3">
      <c r="A37" s="84" t="s">
        <v>45</v>
      </c>
      <c r="B37" s="24">
        <f>(100-B$36)</f>
        <v>100</v>
      </c>
      <c r="C37" s="54">
        <f t="shared" ref="C37:O37" si="12">(100-C$36)</f>
        <v>86.973684210526315</v>
      </c>
      <c r="D37" s="54">
        <f t="shared" si="12"/>
        <v>90.23026315789474</v>
      </c>
      <c r="E37" s="54">
        <f t="shared" si="12"/>
        <v>73.94736842105263</v>
      </c>
      <c r="F37" s="54">
        <f t="shared" si="12"/>
        <v>84.829434697855746</v>
      </c>
      <c r="G37" s="54">
        <f t="shared" si="12"/>
        <v>86.27680311890839</v>
      </c>
      <c r="H37" s="54">
        <f t="shared" si="12"/>
        <v>78.28947368421052</v>
      </c>
      <c r="I37" s="54">
        <f t="shared" si="12"/>
        <v>90.23026315789474</v>
      </c>
      <c r="J37" s="54">
        <f t="shared" si="12"/>
        <v>82.631578947368425</v>
      </c>
      <c r="K37" s="54">
        <f t="shared" si="12"/>
        <v>86.477826510721243</v>
      </c>
      <c r="L37" s="54">
        <f t="shared" si="12"/>
        <v>91.26218323586744</v>
      </c>
      <c r="M37" s="54">
        <f t="shared" si="12"/>
        <v>94.57236842105263</v>
      </c>
      <c r="N37" s="54">
        <f t="shared" si="12"/>
        <v>95.604288499025344</v>
      </c>
      <c r="O37" s="55">
        <f t="shared" si="12"/>
        <v>100</v>
      </c>
      <c r="P37" s="81"/>
      <c r="Q37" s="50"/>
    </row>
    <row r="38" spans="1:17" x14ac:dyDescent="0.25">
      <c r="A38" s="22" t="s">
        <v>55</v>
      </c>
      <c r="B38" s="1"/>
      <c r="C38" s="1"/>
      <c r="D38" s="1"/>
      <c r="E38" s="1"/>
      <c r="F38" s="1"/>
      <c r="N38" s="10"/>
      <c r="O38" s="10"/>
    </row>
    <row r="39" spans="1:17" x14ac:dyDescent="0.25">
      <c r="B39" s="1"/>
      <c r="C39" s="1"/>
      <c r="D39" s="1"/>
      <c r="E39" s="1"/>
      <c r="N39" s="10"/>
      <c r="O39" s="10"/>
    </row>
    <row r="40" spans="1:17" x14ac:dyDescent="0.25">
      <c r="A40" s="1"/>
      <c r="B40" s="1"/>
      <c r="C40" s="1"/>
      <c r="D40" s="1"/>
      <c r="E40" s="1"/>
    </row>
    <row r="41" spans="1:17" x14ac:dyDescent="0.25">
      <c r="A41" s="2"/>
      <c r="B41" s="1"/>
      <c r="C41" s="1"/>
      <c r="D41" s="1"/>
      <c r="E41" s="1"/>
      <c r="H41" s="20"/>
      <c r="I41" s="20"/>
      <c r="J41" s="20"/>
      <c r="K41" s="20"/>
    </row>
    <row r="42" spans="1:17" x14ac:dyDescent="0.25">
      <c r="A42" s="1"/>
      <c r="H42" s="20"/>
      <c r="J42" s="20"/>
      <c r="K42" s="20"/>
    </row>
    <row r="43" spans="1:17" x14ac:dyDescent="0.25">
      <c r="I43" s="20"/>
      <c r="J43" s="20"/>
      <c r="K43" s="20"/>
    </row>
    <row r="44" spans="1:17" x14ac:dyDescent="0.25">
      <c r="H44" s="20"/>
      <c r="I44" s="20"/>
      <c r="J44" s="20"/>
      <c r="K44" s="20"/>
    </row>
    <row r="45" spans="1:17" x14ac:dyDescent="0.25">
      <c r="H45" s="20"/>
      <c r="I45" s="20"/>
      <c r="J45" s="20"/>
      <c r="K45" s="20"/>
    </row>
    <row r="46" spans="1:17" x14ac:dyDescent="0.25">
      <c r="H46" s="20"/>
      <c r="I46" s="20"/>
      <c r="J46" s="20"/>
      <c r="K46" s="20"/>
    </row>
    <row r="47" spans="1:17" x14ac:dyDescent="0.25">
      <c r="H47" s="20"/>
      <c r="I47" s="20"/>
      <c r="J47" s="20"/>
      <c r="K47" s="20"/>
    </row>
    <row r="48" spans="1:17" x14ac:dyDescent="0.25">
      <c r="H48" s="20"/>
    </row>
    <row r="49" spans="1:8" x14ac:dyDescent="0.25">
      <c r="H49" s="20"/>
    </row>
    <row r="50" spans="1:8" x14ac:dyDescent="0.25">
      <c r="H50" s="20"/>
    </row>
    <row r="51" spans="1:8" x14ac:dyDescent="0.25">
      <c r="H51" s="20"/>
    </row>
    <row r="52" spans="1:8" x14ac:dyDescent="0.25">
      <c r="H52" s="20"/>
    </row>
    <row r="53" spans="1:8" x14ac:dyDescent="0.25">
      <c r="H53" s="20"/>
    </row>
    <row r="54" spans="1:8" x14ac:dyDescent="0.25">
      <c r="H54" s="20"/>
    </row>
    <row r="55" spans="1:8" x14ac:dyDescent="0.25">
      <c r="A55" s="22" t="s">
        <v>52</v>
      </c>
      <c r="H55" s="20"/>
    </row>
    <row r="56" spans="1:8" x14ac:dyDescent="0.25">
      <c r="A56" s="75"/>
      <c r="H56" s="20"/>
    </row>
    <row r="57" spans="1:8" ht="15.75" thickBot="1" x14ac:dyDescent="0.3"/>
    <row r="58" spans="1:8" ht="19.5" thickBot="1" x14ac:dyDescent="0.35">
      <c r="A58" s="15" t="s">
        <v>18</v>
      </c>
    </row>
    <row r="59" spans="1:8" x14ac:dyDescent="0.25">
      <c r="A59" s="12" t="s">
        <v>50</v>
      </c>
    </row>
    <row r="60" spans="1:8" x14ac:dyDescent="0.25">
      <c r="A60" s="13" t="s">
        <v>19</v>
      </c>
    </row>
    <row r="61" spans="1:8" x14ac:dyDescent="0.25">
      <c r="A61" s="101" t="s">
        <v>15</v>
      </c>
    </row>
    <row r="62" spans="1:8" x14ac:dyDescent="0.25">
      <c r="A62" s="13" t="s">
        <v>16</v>
      </c>
    </row>
    <row r="63" spans="1:8" x14ac:dyDescent="0.25">
      <c r="A63" s="13" t="s">
        <v>17</v>
      </c>
    </row>
    <row r="64" spans="1:8" x14ac:dyDescent="0.25">
      <c r="A64" s="13" t="s">
        <v>20</v>
      </c>
    </row>
    <row r="65" spans="1:2" x14ac:dyDescent="0.25">
      <c r="A65" s="13" t="s">
        <v>23</v>
      </c>
    </row>
    <row r="66" spans="1:2" x14ac:dyDescent="0.25">
      <c r="A66" s="13" t="s">
        <v>21</v>
      </c>
    </row>
    <row r="67" spans="1:2" x14ac:dyDescent="0.25">
      <c r="A67" s="16" t="s">
        <v>46</v>
      </c>
      <c r="B67" s="7"/>
    </row>
    <row r="68" spans="1:2" ht="15.75" thickBot="1" x14ac:dyDescent="0.3">
      <c r="A68" s="14" t="s">
        <v>22</v>
      </c>
    </row>
  </sheetData>
  <mergeCells count="4">
    <mergeCell ref="B7:D7"/>
    <mergeCell ref="E7:G7"/>
    <mergeCell ref="H7:J7"/>
    <mergeCell ref="B24:Q24"/>
  </mergeCells>
  <phoneticPr fontId="1" type="noConversion"/>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Michaelian_Proability_Theory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2021-04-04T16:41:23Z</dcterms:modified>
</cp:coreProperties>
</file>