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E21C99B1-663E-44FB-9092-86FC2555C916}" xr6:coauthVersionLast="46" xr6:coauthVersionMax="46" xr10:uidLastSave="{00000000-0000-0000-0000-000000000000}"/>
  <bookViews>
    <workbookView xWindow="-120" yWindow="-120" windowWidth="21840" windowHeight="1314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1" l="1"/>
  <c r="D28" i="1"/>
  <c r="E28" i="1"/>
  <c r="F28" i="1"/>
  <c r="G28" i="1"/>
  <c r="H28" i="1"/>
  <c r="I28" i="1"/>
  <c r="J28" i="1"/>
  <c r="K28" i="1"/>
  <c r="L28" i="1"/>
  <c r="M28" i="1"/>
  <c r="N28" i="1"/>
  <c r="O28" i="1"/>
  <c r="P28" i="1"/>
  <c r="C29" i="1"/>
  <c r="D29" i="1"/>
  <c r="E29" i="1"/>
  <c r="F29" i="1"/>
  <c r="G29" i="1"/>
  <c r="H29" i="1"/>
  <c r="I29" i="1"/>
  <c r="J29" i="1"/>
  <c r="K29" i="1"/>
  <c r="L29" i="1"/>
  <c r="M29" i="1"/>
  <c r="N29" i="1"/>
  <c r="O29" i="1"/>
  <c r="P29" i="1"/>
  <c r="C30" i="1"/>
  <c r="D30" i="1"/>
  <c r="E30" i="1"/>
  <c r="F30" i="1"/>
  <c r="G30" i="1"/>
  <c r="H30" i="1"/>
  <c r="I30" i="1"/>
  <c r="J30" i="1"/>
  <c r="K30" i="1"/>
  <c r="L30" i="1"/>
  <c r="M30" i="1"/>
  <c r="N30" i="1"/>
  <c r="O30" i="1"/>
  <c r="P30" i="1"/>
  <c r="C31" i="1"/>
  <c r="D31" i="1"/>
  <c r="E31" i="1"/>
  <c r="F31" i="1"/>
  <c r="G31" i="1"/>
  <c r="H31" i="1"/>
  <c r="I31" i="1"/>
  <c r="J31" i="1"/>
  <c r="K31" i="1"/>
  <c r="L31" i="1"/>
  <c r="M31" i="1"/>
  <c r="N31" i="1"/>
  <c r="O31" i="1"/>
  <c r="P31" i="1"/>
  <c r="B31" i="1"/>
  <c r="B30" i="1"/>
  <c r="B29" i="1"/>
  <c r="B28" i="1"/>
  <c r="B18" i="1" l="1"/>
  <c r="E18" i="1"/>
  <c r="H18" i="1"/>
  <c r="H17" i="1"/>
  <c r="H19" i="1" s="1"/>
  <c r="H20" i="1" s="1"/>
  <c r="H21" i="1" s="1"/>
  <c r="E17" i="1"/>
  <c r="E19" i="1" s="1"/>
  <c r="B17" i="1"/>
  <c r="B19" i="1" s="1"/>
  <c r="D12" i="1" l="1"/>
  <c r="D15" i="1"/>
  <c r="D11" i="1"/>
  <c r="D14" i="1"/>
  <c r="D10" i="1"/>
  <c r="D9" i="1"/>
  <c r="D13" i="1"/>
  <c r="D16" i="1"/>
  <c r="C26" i="1"/>
  <c r="G26" i="1"/>
  <c r="K26" i="1"/>
  <c r="O26" i="1"/>
  <c r="E27" i="1"/>
  <c r="I27" i="1"/>
  <c r="M27" i="1"/>
  <c r="D26" i="1"/>
  <c r="H26" i="1"/>
  <c r="L26" i="1"/>
  <c r="P26" i="1"/>
  <c r="F27" i="1"/>
  <c r="J27" i="1"/>
  <c r="N27" i="1"/>
  <c r="B26" i="1"/>
  <c r="E26" i="1"/>
  <c r="I26" i="1"/>
  <c r="M26" i="1"/>
  <c r="C27" i="1"/>
  <c r="G27" i="1"/>
  <c r="K27" i="1"/>
  <c r="O27" i="1"/>
  <c r="F26" i="1"/>
  <c r="J26" i="1"/>
  <c r="N26" i="1"/>
  <c r="D27" i="1"/>
  <c r="H27" i="1"/>
  <c r="L27" i="1"/>
  <c r="P27" i="1"/>
  <c r="B27" i="1"/>
  <c r="B20" i="1"/>
  <c r="E20" i="1"/>
  <c r="E21" i="1" s="1"/>
  <c r="B34" i="1" l="1"/>
  <c r="E34" i="1"/>
  <c r="I34" i="1"/>
  <c r="J34" i="1"/>
  <c r="K34" i="1"/>
  <c r="P34" i="1"/>
  <c r="M34" i="1"/>
  <c r="L34" i="1"/>
  <c r="G34" i="1"/>
  <c r="N34" i="1"/>
  <c r="H34" i="1"/>
  <c r="C34" i="1"/>
  <c r="F34" i="1"/>
  <c r="D34" i="1"/>
  <c r="O34" i="1"/>
  <c r="B21" i="1"/>
  <c r="B33" i="1" l="1"/>
  <c r="B32" i="1"/>
  <c r="C33" i="1"/>
  <c r="M33" i="1"/>
  <c r="P33" i="1"/>
  <c r="L33" i="1"/>
  <c r="O32" i="1"/>
  <c r="N32" i="1"/>
  <c r="L32" i="1"/>
  <c r="O33" i="1"/>
  <c r="N33" i="1"/>
  <c r="M32" i="1"/>
  <c r="M35" i="1" s="1"/>
  <c r="P32" i="1"/>
  <c r="P35" i="1" s="1"/>
  <c r="F32" i="1"/>
  <c r="C32" i="1"/>
  <c r="C35" i="1" s="1"/>
  <c r="F33" i="1"/>
  <c r="D33" i="1"/>
  <c r="D32" i="1"/>
  <c r="H32" i="1"/>
  <c r="J33" i="1"/>
  <c r="J32" i="1"/>
  <c r="K32" i="1"/>
  <c r="K33" i="1"/>
  <c r="E32" i="1"/>
  <c r="E33" i="1"/>
  <c r="I32" i="1"/>
  <c r="I33" i="1"/>
  <c r="H33" i="1"/>
  <c r="G32" i="1"/>
  <c r="G33" i="1"/>
  <c r="K35" i="1" l="1"/>
  <c r="I35" i="1"/>
  <c r="D35" i="1"/>
  <c r="N35" i="1"/>
  <c r="B35" i="1"/>
  <c r="E35" i="1"/>
  <c r="H35" i="1"/>
  <c r="O35" i="1"/>
  <c r="F35" i="1"/>
  <c r="G35" i="1"/>
  <c r="J35" i="1"/>
  <c r="L35" i="1"/>
  <c r="Q35" i="1" l="1"/>
  <c r="B36" i="1" s="1"/>
  <c r="B37" i="1" s="1"/>
  <c r="H36" i="1"/>
  <c r="H37" i="1" s="1"/>
  <c r="D36" i="1" l="1"/>
  <c r="D37" i="1" s="1"/>
  <c r="K36" i="1"/>
  <c r="K37" i="1" s="1"/>
  <c r="M36" i="1"/>
  <c r="M37" i="1" s="1"/>
  <c r="I36" i="1"/>
  <c r="I37" i="1" s="1"/>
  <c r="F36" i="1"/>
  <c r="F37" i="1" s="1"/>
  <c r="P36" i="1"/>
  <c r="P37" i="1" s="1"/>
  <c r="E36" i="1"/>
  <c r="E37" i="1" s="1"/>
  <c r="L36" i="1"/>
  <c r="L37" i="1" s="1"/>
  <c r="O36" i="1"/>
  <c r="O37" i="1" s="1"/>
  <c r="G36" i="1"/>
  <c r="G37" i="1" s="1"/>
  <c r="C36" i="1"/>
  <c r="C37" i="1" s="1"/>
  <c r="N36" i="1"/>
  <c r="N37" i="1" s="1"/>
  <c r="J36" i="1"/>
  <c r="J37" i="1" s="1"/>
</calcChain>
</file>

<file path=xl/sharedStrings.xml><?xml version="1.0" encoding="utf-8"?>
<sst xmlns="http://schemas.openxmlformats.org/spreadsheetml/2006/main" count="74" uniqueCount="54">
  <si>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</si>
  <si>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</si>
  <si>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</si>
  <si>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</si>
  <si>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</si>
  <si>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</si>
  <si>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</si>
  <si>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</si>
  <si>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</si>
  <si>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</si>
  <si>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</si>
  <si>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</si>
  <si>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</si>
  <si>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</si>
  <si>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</si>
  <si>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</si>
  <si>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</si>
  <si>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</si>
  <si>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</si>
  <si>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</si>
  <si>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</si>
  <si>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</si>
  <si>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</si>
  <si>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</si>
  <si>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</si>
  <si>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</si>
  <si>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</si>
  <si>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</si>
  <si>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</si>
  <si>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</si>
  <si>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</si>
  <si>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</si>
  <si>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</si>
  <si>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</si>
  <si>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</si>
  <si>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</si>
  <si>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</si>
  <si>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</si>
  <si>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</si>
  <si>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</si>
  <si>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</si>
  <si>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Granularised Duplicate Count</t>
  </si>
  <si>
    <t>Count</t>
  </si>
  <si>
    <t>Raw Projection (Spot) Confidence /%</t>
  </si>
  <si>
    <t>Normalised Projection (Spot) Confidence /%</t>
  </si>
  <si>
    <t>Normalised Percentile (Spread) Confidence /%</t>
  </si>
  <si>
    <t>Exg. Mode</t>
  </si>
  <si>
    <t>Average sample dataset integral equals ~&lt;100% as you approach a sample parameter granularity percentage of 1/infinity</t>
  </si>
  <si>
    <t>Nota Bene 3: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</si>
  <si>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</si>
  <si>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</si>
  <si>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4: If you are calculating normalised confidence, you need to expand the original significance dataset to include the extra scenario projection datapoint. You also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multiply by 100 in order to convert this value into a percentage scale. You also need to proportionally normalise the output value by dividing by expanded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Additionally, you need to split polarise these convex and concave spot confidence methods, so that they form curves across density depression ranges where there are no sample parameters present. Then you divide by (Significance divided by 100) in order to maintain a 100% scale no matter what size or range of dataset you apply the calculation to. Penultimately, you normalise the highest modal peak to 100% (at a parameter granularity of 100%), in order to correct for intrinsic sigmoidal 'overshoot' errors, which arise due to the expansion of the dataset. Finally, you must make sure that you give all out-of-dataset range projections a confidence of 0%.</t>
  </si>
  <si>
    <t>Negative and zero parameters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</si>
  <si>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curve peaks if you want greater accuracy of probability, but you would want narrower curve peaks if you instead want greater precision of probability. The recommended value for this global variable is anywhere 0% and 50%. A value of 25% would nominally simulate the classical normal distribution curve either side of the mean, which originates from the older Bayesian probability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</si>
</sst>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46">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1">
    <xf numFmtId="0" fontId="0" fillId="0" borderId="0"/>
  </cellStyleXfs>
  <cellXfs count="97">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2" borderId="11" xfId="0" applyFill="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2" fillId="0" borderId="0" xfId="0" applyFont="1" applyAlignment="1">
      <alignment horizontal="left" vertical="top"/>
    </xf>
    <xf numFmtId="0" fontId="0" fillId="0" borderId="0" xfId="0"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2" xfId="0" applyFont="1"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2" borderId="12" xfId="0" applyFill="1" applyBorder="1" applyAlignment="1">
      <alignment horizontal="left" vertical="top"/>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0" borderId="1" xfId="0" applyNumberFormat="1" applyBorder="1" applyAlignment="1">
      <alignment horizontal="left" vertical="top" wrapText="1"/>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0" borderId="3" xfId="0" applyNumberFormat="1" applyBorder="1" applyAlignment="1">
      <alignment horizontal="left" vertical="top" wrapText="1"/>
    </xf>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0" borderId="5" xfId="0" applyNumberFormat="1" applyBorder="1" applyAlignment="1">
      <alignment horizontal="left" vertical="top" wrapText="1"/>
    </xf>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Border="1" applyAlignment="1">
      <alignment horizontal="left" vertical="top" wrapText="1"/>
    </xf>
    <xf numFmtId="0" fontId="0" fillId="0" borderId="42"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2" fontId="3" fillId="3" borderId="43" xfId="0" applyNumberFormat="1" applyFont="1" applyFill="1" applyBorder="1"/>
    <xf numFmtId="2" fontId="0" fillId="2" borderId="43" xfId="0" applyNumberFormat="1" applyFill="1" applyBorder="1" applyAlignment="1">
      <alignment horizontal="left" vertical="top" wrapText="1"/>
    </xf>
    <xf numFmtId="2" fontId="3" fillId="3" borderId="44" xfId="0" applyNumberFormat="1" applyFont="1" applyFill="1" applyBorder="1"/>
    <xf numFmtId="0" fontId="0" fillId="0" borderId="34" xfId="0" applyBorder="1"/>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7" borderId="29" xfId="0" applyFill="1" applyBorder="1"/>
    <xf numFmtId="2" fontId="0" fillId="3" borderId="43" xfId="0" applyNumberFormat="1" applyFill="1" applyBorder="1" applyAlignment="1">
      <alignment horizontal="left" vertical="top" wrapText="1"/>
    </xf>
    <xf numFmtId="0" fontId="0" fillId="2" borderId="45" xfId="0" applyFill="1" applyBorder="1" applyAlignment="1">
      <alignment horizontal="left" vertical="top" wrapText="1"/>
    </xf>
    <xf numFmtId="0" fontId="0" fillId="0" borderId="35"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Michaelian_Proability_Theory!$B$25:$P$25</c:f>
              <c:numCache>
                <c:formatCode>0.00</c:formatCode>
                <c:ptCount val="15"/>
                <c:pt idx="0">
                  <c:v>-6</c:v>
                </c:pt>
                <c:pt idx="1">
                  <c:v>-5</c:v>
                </c:pt>
                <c:pt idx="2">
                  <c:v>-4</c:v>
                </c:pt>
                <c:pt idx="3">
                  <c:v>-3</c:v>
                </c:pt>
                <c:pt idx="4">
                  <c:v>-2</c:v>
                </c:pt>
                <c:pt idx="5">
                  <c:v>-1</c:v>
                </c:pt>
                <c:pt idx="6">
                  <c:v>0</c:v>
                </c:pt>
                <c:pt idx="7">
                  <c:v>1</c:v>
                </c:pt>
                <c:pt idx="8">
                  <c:v>2</c:v>
                </c:pt>
                <c:pt idx="9">
                  <c:v>3</c:v>
                </c:pt>
                <c:pt idx="10">
                  <c:v>4</c:v>
                </c:pt>
                <c:pt idx="11">
                  <c:v>5</c:v>
                </c:pt>
                <c:pt idx="12">
                  <c:v>6</c:v>
                </c:pt>
                <c:pt idx="13">
                  <c:v>7</c:v>
                </c:pt>
                <c:pt idx="14">
                  <c:v>8</c:v>
                </c:pt>
              </c:numCache>
            </c:numRef>
          </c:xVal>
          <c:yVal>
            <c:numRef>
              <c:f>Michaelian_Proability_Theory!$B$36:$P$36</c:f>
              <c:numCache>
                <c:formatCode>0.00</c:formatCode>
                <c:ptCount val="15"/>
                <c:pt idx="0">
                  <c:v>0</c:v>
                </c:pt>
                <c:pt idx="1">
                  <c:v>13.026315789473685</c:v>
                </c:pt>
                <c:pt idx="2">
                  <c:v>9.7697368421052637</c:v>
                </c:pt>
                <c:pt idx="3">
                  <c:v>26.05263157894737</c:v>
                </c:pt>
                <c:pt idx="4">
                  <c:v>15.170565302144251</c:v>
                </c:pt>
                <c:pt idx="5">
                  <c:v>13.723196881091617</c:v>
                </c:pt>
                <c:pt idx="6">
                  <c:v>21.710526315789473</c:v>
                </c:pt>
                <c:pt idx="7">
                  <c:v>9.7697368421052637</c:v>
                </c:pt>
                <c:pt idx="8">
                  <c:v>17.368421052631579</c:v>
                </c:pt>
                <c:pt idx="9">
                  <c:v>13.522173489278753</c:v>
                </c:pt>
                <c:pt idx="10">
                  <c:v>8.737816764132555</c:v>
                </c:pt>
                <c:pt idx="11">
                  <c:v>5.427631578947369</c:v>
                </c:pt>
                <c:pt idx="12">
                  <c:v>4.3957115009746595</c:v>
                </c:pt>
                <c:pt idx="13">
                  <c:v>4.8379629629629637</c:v>
                </c:pt>
                <c:pt idx="14">
                  <c:v>4.3421052631578947</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40</xdr:row>
      <xdr:rowOff>4762</xdr:rowOff>
    </xdr:from>
    <xdr:to>
      <xdr:col>6</xdr:col>
      <xdr:colOff>0</xdr:colOff>
      <xdr:row>54</xdr:row>
      <xdr:rowOff>80962</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7"/>
  <sheetViews>
    <sheetView tabSelected="1" zoomScale="85" zoomScaleNormal="85" workbookViewId="0"/>
  </sheetViews>
  <sheetFormatPr defaultRowHeight="15" x14ac:dyDescent="0.25"/>
  <cols>
    <col min="1" max="1" width="49.7109375" customWidth="1"/>
    <col min="2" max="2" width="10.5703125" bestFit="1" customWidth="1"/>
    <col min="3" max="3" width="10" bestFit="1" customWidth="1"/>
    <col min="4" max="4" width="13.42578125" customWidth="1"/>
    <col min="5" max="5" width="10.5703125" bestFit="1" customWidth="1"/>
    <col min="6" max="6" width="11.85546875" bestFit="1" customWidth="1"/>
    <col min="7" max="7" width="13.28515625" customWidth="1"/>
    <col min="8" max="8" width="10.5703125" bestFit="1" customWidth="1"/>
    <col min="9" max="9" width="11.85546875" bestFit="1" customWidth="1"/>
    <col min="10" max="10" width="13.42578125" customWidth="1"/>
    <col min="11" max="13" width="12" customWidth="1"/>
    <col min="14" max="16" width="9.7109375" bestFit="1" customWidth="1"/>
    <col min="17" max="17" width="10.5703125" bestFit="1" customWidth="1"/>
  </cols>
  <sheetData>
    <row r="1" spans="1:13" x14ac:dyDescent="0.25">
      <c r="A1" t="s">
        <v>40</v>
      </c>
    </row>
    <row r="2" spans="1:13" x14ac:dyDescent="0.25">
      <c r="A2" s="27" t="s">
        <v>50</v>
      </c>
    </row>
    <row r="3" spans="1:13" ht="15.75" thickBot="1" x14ac:dyDescent="0.3"/>
    <row r="4" spans="1:13" ht="15.75" thickBot="1" x14ac:dyDescent="0.3">
      <c r="A4" t="s">
        <v>39</v>
      </c>
      <c r="B4" s="57">
        <v>25</v>
      </c>
    </row>
    <row r="5" spans="1:13" x14ac:dyDescent="0.25">
      <c r="A5" s="27" t="s">
        <v>53</v>
      </c>
    </row>
    <row r="6" spans="1:13" ht="15.75" thickBot="1" x14ac:dyDescent="0.3"/>
    <row r="7" spans="1:13" ht="15.75" thickBot="1" x14ac:dyDescent="0.3">
      <c r="A7" s="3" t="s">
        <v>4</v>
      </c>
      <c r="B7" s="85" t="s">
        <v>9</v>
      </c>
      <c r="C7" s="86"/>
      <c r="D7" s="87"/>
      <c r="E7" s="88" t="s">
        <v>10</v>
      </c>
      <c r="F7" s="89"/>
      <c r="G7" s="90"/>
      <c r="H7" s="91" t="s">
        <v>11</v>
      </c>
      <c r="I7" s="91"/>
      <c r="J7" s="92"/>
      <c r="K7" s="16"/>
      <c r="L7" s="17"/>
      <c r="M7" s="17"/>
    </row>
    <row r="8" spans="1:13" ht="45.75" thickBot="1" x14ac:dyDescent="0.3">
      <c r="A8" s="4" t="s">
        <v>3</v>
      </c>
      <c r="B8" s="13" t="s">
        <v>12</v>
      </c>
      <c r="C8" s="14" t="s">
        <v>42</v>
      </c>
      <c r="D8" s="72" t="s">
        <v>41</v>
      </c>
      <c r="E8" s="6" t="s">
        <v>12</v>
      </c>
      <c r="F8" s="7" t="s">
        <v>42</v>
      </c>
      <c r="G8" s="65" t="s">
        <v>41</v>
      </c>
      <c r="H8" s="71" t="s">
        <v>12</v>
      </c>
      <c r="I8" s="7" t="s">
        <v>42</v>
      </c>
      <c r="J8" s="65" t="s">
        <v>41</v>
      </c>
      <c r="K8" s="16"/>
      <c r="L8" s="9"/>
      <c r="M8" s="9"/>
    </row>
    <row r="9" spans="1:13" x14ac:dyDescent="0.25">
      <c r="A9" s="23" t="s">
        <v>29</v>
      </c>
      <c r="B9" s="31">
        <v>0</v>
      </c>
      <c r="C9" s="32">
        <v>1</v>
      </c>
      <c r="D9" s="73">
        <f>((SUMIF(B$9:B$16,"&gt;="&amp;($B9-(($B$18-$B$17)*(B$4/100))),C$9:C$16)+SUMIF(B$9:B$16,"&lt;="&amp;($B9+(($B$18-$B$17)*(B$4/100))),C$9:C$16))-SUM(C$9:C$16))</f>
        <v>5</v>
      </c>
      <c r="E9" s="33"/>
      <c r="F9" s="34"/>
      <c r="G9" s="70"/>
      <c r="H9" s="33"/>
      <c r="I9" s="34"/>
      <c r="J9" s="34"/>
      <c r="K9" s="16"/>
      <c r="L9" s="16"/>
      <c r="M9" s="16"/>
    </row>
    <row r="10" spans="1:13" x14ac:dyDescent="0.25">
      <c r="A10" s="24" t="s">
        <v>30</v>
      </c>
      <c r="B10" s="35">
        <v>0</v>
      </c>
      <c r="C10" s="36">
        <v>1</v>
      </c>
      <c r="D10" s="40">
        <f t="shared" ref="D10:D16" si="0">((SUMIF(B$9:B$16,"&gt;="&amp;($B10-(($B$18-$B$17)*(B$4/100))),C$9:C$16)+SUMIF(B$9:B$16,"&lt;="&amp;($B10+(($B$18-$B$17)*(B$4/100))),C$9:C$16))-SUM(C$9:C$16))</f>
        <v>5</v>
      </c>
      <c r="E10" s="37"/>
      <c r="F10" s="38"/>
      <c r="G10" s="69"/>
      <c r="H10" s="37"/>
      <c r="I10" s="38"/>
      <c r="J10" s="38"/>
      <c r="K10" s="16"/>
      <c r="L10" s="16"/>
      <c r="M10" s="16"/>
    </row>
    <row r="11" spans="1:13" x14ac:dyDescent="0.25">
      <c r="A11" s="24" t="s">
        <v>31</v>
      </c>
      <c r="B11" s="35">
        <v>0</v>
      </c>
      <c r="C11" s="36">
        <v>1</v>
      </c>
      <c r="D11" s="40">
        <f t="shared" si="0"/>
        <v>5</v>
      </c>
      <c r="E11" s="37"/>
      <c r="F11" s="38"/>
      <c r="G11" s="69"/>
      <c r="H11" s="37"/>
      <c r="I11" s="38"/>
      <c r="J11" s="38"/>
      <c r="K11" s="16"/>
      <c r="L11" s="16"/>
      <c r="M11" s="16"/>
    </row>
    <row r="12" spans="1:13" x14ac:dyDescent="0.25">
      <c r="A12" s="24" t="s">
        <v>32</v>
      </c>
      <c r="B12" s="35">
        <v>-5</v>
      </c>
      <c r="C12" s="36">
        <v>1</v>
      </c>
      <c r="D12" s="40">
        <f t="shared" si="0"/>
        <v>3</v>
      </c>
      <c r="E12" s="37"/>
      <c r="F12" s="38"/>
      <c r="G12" s="69"/>
      <c r="H12" s="37"/>
      <c r="I12" s="38"/>
      <c r="J12" s="38"/>
      <c r="K12" s="16"/>
      <c r="L12" s="16"/>
      <c r="M12" s="16"/>
    </row>
    <row r="13" spans="1:13" x14ac:dyDescent="0.25">
      <c r="A13" s="24" t="s">
        <v>33</v>
      </c>
      <c r="B13" s="35">
        <v>-5</v>
      </c>
      <c r="C13" s="36">
        <v>1</v>
      </c>
      <c r="D13" s="40">
        <f t="shared" si="0"/>
        <v>3</v>
      </c>
      <c r="E13" s="39">
        <v>1</v>
      </c>
      <c r="F13" s="36" t="s">
        <v>8</v>
      </c>
      <c r="G13" s="40" t="s">
        <v>8</v>
      </c>
      <c r="H13" s="37"/>
      <c r="I13" s="38"/>
      <c r="J13" s="38"/>
      <c r="K13" s="16"/>
      <c r="L13" s="16"/>
      <c r="M13" s="16"/>
    </row>
    <row r="14" spans="1:13" x14ac:dyDescent="0.25">
      <c r="A14" s="24" t="s">
        <v>34</v>
      </c>
      <c r="B14" s="35">
        <v>-3</v>
      </c>
      <c r="C14" s="36">
        <v>1</v>
      </c>
      <c r="D14" s="40">
        <f t="shared" si="0"/>
        <v>6</v>
      </c>
      <c r="E14" s="39">
        <v>3</v>
      </c>
      <c r="F14" s="36" t="s">
        <v>8</v>
      </c>
      <c r="G14" s="40" t="s">
        <v>8</v>
      </c>
      <c r="H14" s="39">
        <v>1</v>
      </c>
      <c r="I14" s="36" t="s">
        <v>8</v>
      </c>
      <c r="J14" s="36" t="s">
        <v>8</v>
      </c>
      <c r="K14" s="16"/>
      <c r="L14" s="16"/>
      <c r="M14" s="16"/>
    </row>
    <row r="15" spans="1:13" x14ac:dyDescent="0.25">
      <c r="A15" s="24" t="s">
        <v>35</v>
      </c>
      <c r="B15" s="35">
        <v>2</v>
      </c>
      <c r="C15" s="36">
        <v>1</v>
      </c>
      <c r="D15" s="40">
        <f t="shared" si="0"/>
        <v>4</v>
      </c>
      <c r="E15" s="39">
        <v>5</v>
      </c>
      <c r="F15" s="36" t="s">
        <v>8</v>
      </c>
      <c r="G15" s="40" t="s">
        <v>8</v>
      </c>
      <c r="H15" s="39">
        <v>5</v>
      </c>
      <c r="I15" s="36" t="s">
        <v>8</v>
      </c>
      <c r="J15" s="36" t="s">
        <v>8</v>
      </c>
      <c r="K15" s="16"/>
      <c r="L15" s="16"/>
      <c r="M15" s="16"/>
    </row>
    <row r="16" spans="1:13" ht="15.75" thickBot="1" x14ac:dyDescent="0.3">
      <c r="A16" s="25" t="s">
        <v>36</v>
      </c>
      <c r="B16" s="41">
        <v>8</v>
      </c>
      <c r="C16" s="42">
        <v>1</v>
      </c>
      <c r="D16" s="74">
        <f t="shared" si="0"/>
        <v>1</v>
      </c>
      <c r="E16" s="43">
        <v>7</v>
      </c>
      <c r="F16" s="44" t="s">
        <v>8</v>
      </c>
      <c r="G16" s="45" t="s">
        <v>8</v>
      </c>
      <c r="H16" s="43">
        <v>9</v>
      </c>
      <c r="I16" s="44" t="s">
        <v>8</v>
      </c>
      <c r="J16" s="44" t="s">
        <v>8</v>
      </c>
      <c r="K16" s="16"/>
      <c r="L16" s="16"/>
      <c r="M16" s="16"/>
    </row>
    <row r="17" spans="1:17" x14ac:dyDescent="0.25">
      <c r="A17" s="10" t="s">
        <v>1</v>
      </c>
      <c r="B17" s="46">
        <f>MIN($B$9,$B$10,$B$11,$B$12,$B$13,$B$14,$B$15,$B$16)</f>
        <v>-5</v>
      </c>
      <c r="C17" s="47"/>
      <c r="D17" s="66"/>
      <c r="E17" s="48">
        <f>MIN($E$13,$E$14,$E$15,$E$16)</f>
        <v>1</v>
      </c>
      <c r="F17" s="49"/>
      <c r="G17" s="50"/>
      <c r="H17" s="62">
        <f>MIN($H$14,$H$15,$H$16)</f>
        <v>1</v>
      </c>
      <c r="I17" s="49"/>
      <c r="J17" s="50"/>
      <c r="K17" s="16"/>
      <c r="L17" s="16"/>
      <c r="M17" s="16"/>
    </row>
    <row r="18" spans="1:17" x14ac:dyDescent="0.25">
      <c r="A18" s="11" t="s">
        <v>2</v>
      </c>
      <c r="B18" s="51">
        <f>MAX($B$9,$B$10,$B$11,$B$12,$B$13,$B$14,$B$15,$B$16)</f>
        <v>8</v>
      </c>
      <c r="C18" s="52"/>
      <c r="D18" s="67"/>
      <c r="E18" s="51">
        <f>MAX($E$13,$E$14,$E$15,$E$16)</f>
        <v>7</v>
      </c>
      <c r="F18" s="52"/>
      <c r="G18" s="53"/>
      <c r="H18" s="63">
        <f>MAX($H$14,$H$15,$H$16)</f>
        <v>9</v>
      </c>
      <c r="I18" s="52"/>
      <c r="J18" s="53"/>
      <c r="K18" s="16"/>
      <c r="L18" s="16"/>
      <c r="M18" s="16"/>
    </row>
    <row r="19" spans="1:17" x14ac:dyDescent="0.25">
      <c r="A19" s="11" t="s">
        <v>0</v>
      </c>
      <c r="B19" s="51">
        <f>((SUM($B$9:$B$16)-(($B$17-1)*8))/8)</f>
        <v>5.625</v>
      </c>
      <c r="C19" s="52"/>
      <c r="D19" s="67"/>
      <c r="E19" s="51">
        <f>((SUM($E$13:$E$16)-(($E$17-1)*4))/4)</f>
        <v>4</v>
      </c>
      <c r="F19" s="52"/>
      <c r="G19" s="53"/>
      <c r="H19" s="63">
        <f>((SUM($H$9:$H$16)-(($H$17-1)*3))/3)</f>
        <v>5</v>
      </c>
      <c r="I19" s="52"/>
      <c r="J19" s="53"/>
      <c r="K19" s="16"/>
      <c r="L19" s="16"/>
      <c r="M19" s="16"/>
    </row>
    <row r="20" spans="1:17" x14ac:dyDescent="0.25">
      <c r="A20" s="11" t="s">
        <v>6</v>
      </c>
      <c r="B20" s="51">
        <f>(((SQRT((($B$9-($B$17-1))-$B$19)^2)+SQRT((($B$10-($B$17-1))-$B$19)^2)+SQRT((($B$11-($B$17-1))-$B$19)^2)+SQRT((($B$12-($B$17-1))-$B$19)^2)+SQRT((($B$13-($B$17-1))-$B$19)^2)+SQRT((($B$14-($B$17-1))-$B$19)^2)+SQRT((($B$15-($B$17-1))-$B$19)^2)+SQRT((($B$16-($B$17-1))-$B$19)^2))/8)*100)</f>
        <v>296.875</v>
      </c>
      <c r="C20" s="52"/>
      <c r="D20" s="67"/>
      <c r="E20" s="51">
        <f>(((SQRT((($E$13-($E$17-1))-$E$19)^2)+SQRT((($E$14-($E$17-1))-$E$19)^2)+SQRT((($E$15-($E$17-1))-$E$19)^2)+SQRT((($E$16-($E$17-1))-$E$19)^2))/4)*100)</f>
        <v>200</v>
      </c>
      <c r="F20" s="52"/>
      <c r="G20" s="53"/>
      <c r="H20" s="63">
        <f>(((SQRT((($H$14-($H$17-1))-$H$19)^2)+SQRT((($H$15-($H$17-1))-$H$19)^2)+SQRT((($H$16-($H$17-1))-$H$19)^2))/3)*100)</f>
        <v>266.66666666666663</v>
      </c>
      <c r="I20" s="52"/>
      <c r="J20" s="53"/>
      <c r="K20" s="16"/>
      <c r="L20" s="16"/>
      <c r="M20" s="16"/>
    </row>
    <row r="21" spans="1:17" ht="15.75" thickBot="1" x14ac:dyDescent="0.3">
      <c r="A21" s="12" t="s">
        <v>49</v>
      </c>
      <c r="B21" s="54">
        <f>(((B$20*(4+3))/8)/3)</f>
        <v>86.588541666666671</v>
      </c>
      <c r="C21" s="55"/>
      <c r="D21" s="68"/>
      <c r="E21" s="54">
        <f>(((E$20*(8+3))/4)/3)</f>
        <v>183.33333333333334</v>
      </c>
      <c r="F21" s="55"/>
      <c r="G21" s="56"/>
      <c r="H21" s="64">
        <f>(((H$20*(8+4))/3)/3)</f>
        <v>355.55555555555549</v>
      </c>
      <c r="I21" s="55"/>
      <c r="J21" s="56"/>
      <c r="K21" s="16"/>
      <c r="L21" s="16"/>
      <c r="M21" s="16"/>
    </row>
    <row r="22" spans="1:17" x14ac:dyDescent="0.25">
      <c r="A22" s="28" t="s">
        <v>48</v>
      </c>
      <c r="B22" s="3"/>
      <c r="C22" s="3"/>
      <c r="D22" s="3"/>
      <c r="E22" s="3"/>
      <c r="F22" s="1"/>
    </row>
    <row r="23" spans="1:17" ht="15.75" thickBot="1" x14ac:dyDescent="0.3">
      <c r="A23" s="3"/>
      <c r="B23" s="3"/>
      <c r="C23" s="3"/>
      <c r="D23" s="3"/>
      <c r="E23" s="3"/>
      <c r="F23" s="1"/>
    </row>
    <row r="24" spans="1:17" ht="15.75" thickBot="1" x14ac:dyDescent="0.3">
      <c r="A24" s="3" t="s">
        <v>5</v>
      </c>
      <c r="B24" s="85" t="s">
        <v>9</v>
      </c>
      <c r="C24" s="86"/>
      <c r="D24" s="86"/>
      <c r="E24" s="86"/>
      <c r="F24" s="86"/>
      <c r="G24" s="86"/>
      <c r="H24" s="86"/>
      <c r="I24" s="86"/>
      <c r="J24" s="86"/>
      <c r="K24" s="86"/>
      <c r="L24" s="86"/>
      <c r="M24" s="86"/>
      <c r="N24" s="86"/>
      <c r="O24" s="86"/>
      <c r="P24" s="86"/>
      <c r="Q24" s="87"/>
    </row>
    <row r="25" spans="1:17" ht="15.75" thickBot="1" x14ac:dyDescent="0.3">
      <c r="A25" s="96" t="s">
        <v>7</v>
      </c>
      <c r="B25" s="82">
        <v>-6</v>
      </c>
      <c r="C25" s="83">
        <v>-5</v>
      </c>
      <c r="D25" s="83">
        <v>-4</v>
      </c>
      <c r="E25" s="83">
        <v>-3</v>
      </c>
      <c r="F25" s="83">
        <v>-2</v>
      </c>
      <c r="G25" s="83">
        <v>-1</v>
      </c>
      <c r="H25" s="83">
        <v>0</v>
      </c>
      <c r="I25" s="83">
        <v>1</v>
      </c>
      <c r="J25" s="83">
        <v>2</v>
      </c>
      <c r="K25" s="83">
        <v>3</v>
      </c>
      <c r="L25" s="83">
        <v>4</v>
      </c>
      <c r="M25" s="83">
        <v>5</v>
      </c>
      <c r="N25" s="83">
        <v>6</v>
      </c>
      <c r="O25" s="83">
        <v>7</v>
      </c>
      <c r="P25" s="84">
        <v>8</v>
      </c>
      <c r="Q25" s="78" t="s">
        <v>46</v>
      </c>
    </row>
    <row r="26" spans="1:17" x14ac:dyDescent="0.25">
      <c r="A26" s="95" t="s">
        <v>14</v>
      </c>
      <c r="B26" s="79">
        <f t="shared" ref="B26:P26" si="1">(IF(B$25&gt;$B$18,0,IF(B$25&lt;$B$17,0,LARGE($B$9:$B$16,COUNTIF($B$9:$B$16,"&gt;"&amp;B$25)+1))))</f>
        <v>0</v>
      </c>
      <c r="C26" s="80">
        <f>(IF(C$25&gt;$B$18,0,IF(C$25&lt;$B$17,0,LARGE($B$9:$B$16,COUNTIF($B$9:$B$16,"&gt;"&amp;C$25)+1))))</f>
        <v>-5</v>
      </c>
      <c r="D26" s="80">
        <f t="shared" si="1"/>
        <v>-5</v>
      </c>
      <c r="E26" s="80">
        <f t="shared" si="1"/>
        <v>-3</v>
      </c>
      <c r="F26" s="80">
        <f t="shared" si="1"/>
        <v>-3</v>
      </c>
      <c r="G26" s="80">
        <f t="shared" si="1"/>
        <v>-3</v>
      </c>
      <c r="H26" s="80">
        <f t="shared" si="1"/>
        <v>0</v>
      </c>
      <c r="I26" s="80">
        <f t="shared" si="1"/>
        <v>0</v>
      </c>
      <c r="J26" s="80">
        <f t="shared" si="1"/>
        <v>2</v>
      </c>
      <c r="K26" s="80">
        <f t="shared" si="1"/>
        <v>2</v>
      </c>
      <c r="L26" s="80">
        <f t="shared" si="1"/>
        <v>2</v>
      </c>
      <c r="M26" s="80">
        <f t="shared" si="1"/>
        <v>2</v>
      </c>
      <c r="N26" s="80">
        <f t="shared" si="1"/>
        <v>2</v>
      </c>
      <c r="O26" s="80">
        <f t="shared" si="1"/>
        <v>2</v>
      </c>
      <c r="P26" s="81">
        <f t="shared" si="1"/>
        <v>8</v>
      </c>
      <c r="Q26" s="75"/>
    </row>
    <row r="27" spans="1:17" x14ac:dyDescent="0.25">
      <c r="A27" s="5" t="s">
        <v>13</v>
      </c>
      <c r="B27" s="29">
        <f t="shared" ref="B27:P27" si="2">(IF(B$25&gt;$B$18,0,IF(B$25&lt;$B$17,0,SMALL($B$9:$B$16,COUNTIF($B$9:$B$16,"&lt;"&amp;B$25)+1))))</f>
        <v>0</v>
      </c>
      <c r="C27" s="58">
        <f>(IF(C$25&gt;$B$18,0,IF(C$25&lt;$B$17,0,SMALL($B$9:$B$16,COUNTIF($B$9:$B$16,"&lt;"&amp;C$25)+1))))</f>
        <v>-5</v>
      </c>
      <c r="D27" s="58">
        <f t="shared" si="2"/>
        <v>-3</v>
      </c>
      <c r="E27" s="58">
        <f t="shared" si="2"/>
        <v>-3</v>
      </c>
      <c r="F27" s="58">
        <f t="shared" si="2"/>
        <v>0</v>
      </c>
      <c r="G27" s="58">
        <f t="shared" si="2"/>
        <v>0</v>
      </c>
      <c r="H27" s="58">
        <f t="shared" si="2"/>
        <v>0</v>
      </c>
      <c r="I27" s="58">
        <f t="shared" si="2"/>
        <v>2</v>
      </c>
      <c r="J27" s="58">
        <f t="shared" si="2"/>
        <v>2</v>
      </c>
      <c r="K27" s="58">
        <f t="shared" si="2"/>
        <v>8</v>
      </c>
      <c r="L27" s="58">
        <f t="shared" si="2"/>
        <v>8</v>
      </c>
      <c r="M27" s="58">
        <f t="shared" si="2"/>
        <v>8</v>
      </c>
      <c r="N27" s="58">
        <f t="shared" si="2"/>
        <v>8</v>
      </c>
      <c r="O27" s="58">
        <f t="shared" si="2"/>
        <v>8</v>
      </c>
      <c r="P27" s="59">
        <f t="shared" si="2"/>
        <v>8</v>
      </c>
      <c r="Q27" s="75"/>
    </row>
    <row r="28" spans="1:17" x14ac:dyDescent="0.25">
      <c r="A28" s="5" t="s">
        <v>24</v>
      </c>
      <c r="B28" s="29">
        <f>((((SQRT((IF(B$25&gt;$B$18,0,IF(B$25&lt;$B$17,0,((50-((((SQRT((($B$9-($B$17-1))-$B$19)^2)+SQRT((($B$10-($B$17-1))-$B$19)^2)+SQRT((($B$11-($B$17-1))-$B$19)^2)+SQRT((($B$12-($B$17-1))-$B$19)^2)+SQRT((($B$13-($B$17-1))-$B$19)^2)+SQRT((($B$14-($B$17-1))-$B$19)^2)+SQRT((($B$15-($B$17-1))-$B$19)^2)+SQRT((($B$16-($B$17-1))-$B$19)^2))/8)*100)/8)))))^2)))*(VLOOKUP(B$26,$B$9:$D$16,3,FALSE)*IF(B$27=B$26,1,((B$25-B$26)/(B$27-B$26)))))/($B$20/100)))</f>
        <v>0</v>
      </c>
      <c r="C28" s="58">
        <f t="shared" ref="C28:P28" si="3">((((SQRT((IF(C$25&gt;$B$18,0,IF(C$25&lt;$B$17,0,((50-((((SQRT((($B$9-($B$17-1))-$B$19)^2)+SQRT((($B$10-($B$17-1))-$B$19)^2)+SQRT((($B$11-($B$17-1))-$B$19)^2)+SQRT((($B$12-($B$17-1))-$B$19)^2)+SQRT((($B$13-($B$17-1))-$B$19)^2)+SQRT((($B$14-($B$17-1))-$B$19)^2)+SQRT((($B$15-($B$17-1))-$B$19)^2)+SQRT((($B$16-($B$17-1))-$B$19)^2))/8)*100)/8)))))^2)))*(VLOOKUP(C$26,$B$9:$D$16,3,FALSE)*IF(C$27=C$26,1,((C$25-C$26)/(C$27-C$26)))))/($B$20/100)))</f>
        <v>13.026315789473685</v>
      </c>
      <c r="D28" s="58">
        <f t="shared" si="3"/>
        <v>6.5131578947368425</v>
      </c>
      <c r="E28" s="58">
        <f t="shared" si="3"/>
        <v>26.05263157894737</v>
      </c>
      <c r="F28" s="58">
        <f t="shared" si="3"/>
        <v>8.6842105263157894</v>
      </c>
      <c r="G28" s="58">
        <f t="shared" si="3"/>
        <v>17.368421052631579</v>
      </c>
      <c r="H28" s="58">
        <f t="shared" si="3"/>
        <v>21.710526315789473</v>
      </c>
      <c r="I28" s="58">
        <f t="shared" si="3"/>
        <v>10.855263157894736</v>
      </c>
      <c r="J28" s="58">
        <f t="shared" si="3"/>
        <v>17.368421052631579</v>
      </c>
      <c r="K28" s="58">
        <f t="shared" si="3"/>
        <v>2.8947368421052633</v>
      </c>
      <c r="L28" s="58">
        <f t="shared" si="3"/>
        <v>5.7894736842105265</v>
      </c>
      <c r="M28" s="58">
        <f t="shared" si="3"/>
        <v>8.6842105263157894</v>
      </c>
      <c r="N28" s="58">
        <f t="shared" si="3"/>
        <v>11.578947368421053</v>
      </c>
      <c r="O28" s="58">
        <f t="shared" si="3"/>
        <v>14.473684210526315</v>
      </c>
      <c r="P28" s="59">
        <f t="shared" si="3"/>
        <v>4.3421052631578947</v>
      </c>
      <c r="Q28" s="75"/>
    </row>
    <row r="29" spans="1:17" x14ac:dyDescent="0.25">
      <c r="A29" s="5" t="s">
        <v>26</v>
      </c>
      <c r="B29" s="29">
        <f>((((SQRT((IF(B$25&gt;$B$18,0,IF(B$25&lt;$B$17,0,((50-((((SQRT((($B$9-($B$17-1))-$B$19)^2)+SQRT((($B$10-($B$17-1))-$B$19)^2)+SQRT((($B$11-($B$17-1))-$B$19)^2)+SQRT((($B$12-($B$17-1))-$B$19)^2)+SQRT((($B$13-($B$17-1))-$B$19)^2)+SQRT((($B$14-($B$17-1))-$B$19)^2)+SQRT((($B$15-($B$17-1))-$B$19)^2)+SQRT((($B$16-($B$17-1))-$B$19)^2))/8)*100)/8)))))^2)))*(VLOOKUP(B$27,$B$9:$D$16,3,FALSE)*IF(B$27=B$26,1,((B$25-B$26)/(B$27-B$26)))))/($B$20/100)))</f>
        <v>0</v>
      </c>
      <c r="C29" s="58">
        <f t="shared" ref="C29:P29" si="4">((((SQRT((IF(C$25&gt;$B$18,0,IF(C$25&lt;$B$17,0,((50-((((SQRT((($B$9-($B$17-1))-$B$19)^2)+SQRT((($B$10-($B$17-1))-$B$19)^2)+SQRT((($B$11-($B$17-1))-$B$19)^2)+SQRT((($B$12-($B$17-1))-$B$19)^2)+SQRT((($B$13-($B$17-1))-$B$19)^2)+SQRT((($B$14-($B$17-1))-$B$19)^2)+SQRT((($B$15-($B$17-1))-$B$19)^2)+SQRT((($B$16-($B$17-1))-$B$19)^2))/8)*100)/8)))))^2)))*(VLOOKUP(C$27,$B$9:$D$16,3,FALSE)*IF(C$27=C$26,1,((C$25-C$26)/(C$27-C$26)))))/($B$20/100)))</f>
        <v>13.026315789473685</v>
      </c>
      <c r="D29" s="58">
        <f t="shared" si="4"/>
        <v>13.026315789473685</v>
      </c>
      <c r="E29" s="58">
        <f t="shared" si="4"/>
        <v>26.05263157894737</v>
      </c>
      <c r="F29" s="58">
        <f t="shared" si="4"/>
        <v>7.2368421052631566</v>
      </c>
      <c r="G29" s="58">
        <f t="shared" si="4"/>
        <v>14.473684210526313</v>
      </c>
      <c r="H29" s="58">
        <f t="shared" si="4"/>
        <v>21.710526315789473</v>
      </c>
      <c r="I29" s="58">
        <f t="shared" si="4"/>
        <v>8.6842105263157894</v>
      </c>
      <c r="J29" s="58">
        <f t="shared" si="4"/>
        <v>17.368421052631579</v>
      </c>
      <c r="K29" s="58">
        <f t="shared" si="4"/>
        <v>0.72368421052631582</v>
      </c>
      <c r="L29" s="58">
        <f t="shared" si="4"/>
        <v>1.4473684210526316</v>
      </c>
      <c r="M29" s="58">
        <f t="shared" si="4"/>
        <v>2.1710526315789473</v>
      </c>
      <c r="N29" s="58">
        <f t="shared" si="4"/>
        <v>2.8947368421052633</v>
      </c>
      <c r="O29" s="58">
        <f t="shared" si="4"/>
        <v>3.6184210526315788</v>
      </c>
      <c r="P29" s="59">
        <f t="shared" si="4"/>
        <v>4.3421052631578947</v>
      </c>
      <c r="Q29" s="75"/>
    </row>
    <row r="30" spans="1:17" x14ac:dyDescent="0.25">
      <c r="A30" s="5" t="s">
        <v>25</v>
      </c>
      <c r="B30" s="29">
        <f>((((SQRT((IF(B$25&gt;$B$18,0,IF(B$25&lt;$B$17,0,((50-((((SQRT((($B$9-($B$17-1))-$B$19)^2)+SQRT((($B$10-($B$17-1))-$B$19)^2)+SQRT((($B$11-($B$17-1))-$B$19)^2)+SQRT((($B$12-($B$17-1))-$B$19)^2)+SQRT((($B$13-($B$17-1))-$B$19)^2)+SQRT((($B$14-($B$17-1))-$B$19)^2)+SQRT((($B$15-($B$17-1))-$B$19)^2)+SQRT((($B$16-($B$17-1))-$B$19)^2))/8)*100)/8)))))^2)))*(VLOOKUP(B$26,$B$9:$D$16,3,FALSE)*IF(B$27=B$26,1,((B$27-B$25)/(B$27-B$26)))))/($B$20/100)))</f>
        <v>0</v>
      </c>
      <c r="C30" s="58">
        <f t="shared" ref="C30:P30" si="5">((((SQRT((IF(C$25&gt;$B$18,0,IF(C$25&lt;$B$17,0,((50-((((SQRT((($B$9-($B$17-1))-$B$19)^2)+SQRT((($B$10-($B$17-1))-$B$19)^2)+SQRT((($B$11-($B$17-1))-$B$19)^2)+SQRT((($B$12-($B$17-1))-$B$19)^2)+SQRT((($B$13-($B$17-1))-$B$19)^2)+SQRT((($B$14-($B$17-1))-$B$19)^2)+SQRT((($B$15-($B$17-1))-$B$19)^2)+SQRT((($B$16-($B$17-1))-$B$19)^2))/8)*100)/8)))))^2)))*(VLOOKUP(C$26,$B$9:$D$16,3,FALSE)*IF(C$27=C$26,1,((C$27-C$25)/(C$27-C$26)))))/($B$20/100)))</f>
        <v>13.026315789473685</v>
      </c>
      <c r="D30" s="58">
        <f t="shared" si="5"/>
        <v>6.5131578947368425</v>
      </c>
      <c r="E30" s="58">
        <f t="shared" si="5"/>
        <v>26.05263157894737</v>
      </c>
      <c r="F30" s="58">
        <f t="shared" si="5"/>
        <v>17.368421052631579</v>
      </c>
      <c r="G30" s="58">
        <f t="shared" si="5"/>
        <v>8.6842105263157894</v>
      </c>
      <c r="H30" s="58">
        <f t="shared" si="5"/>
        <v>21.710526315789473</v>
      </c>
      <c r="I30" s="58">
        <f t="shared" si="5"/>
        <v>10.855263157894736</v>
      </c>
      <c r="J30" s="58">
        <f t="shared" si="5"/>
        <v>17.368421052631579</v>
      </c>
      <c r="K30" s="58">
        <f t="shared" si="5"/>
        <v>14.473684210526315</v>
      </c>
      <c r="L30" s="58">
        <f t="shared" si="5"/>
        <v>11.578947368421053</v>
      </c>
      <c r="M30" s="58">
        <f t="shared" si="5"/>
        <v>8.6842105263157894</v>
      </c>
      <c r="N30" s="58">
        <f t="shared" si="5"/>
        <v>5.7894736842105265</v>
      </c>
      <c r="O30" s="58">
        <f t="shared" si="5"/>
        <v>2.8947368421052633</v>
      </c>
      <c r="P30" s="59">
        <f t="shared" si="5"/>
        <v>4.3421052631578947</v>
      </c>
      <c r="Q30" s="75"/>
    </row>
    <row r="31" spans="1:17" x14ac:dyDescent="0.25">
      <c r="A31" s="5" t="s">
        <v>27</v>
      </c>
      <c r="B31" s="29">
        <f>((((SQRT((IF(B$25&gt;$B$18,0,IF(B$25&lt;$B$17,0,((50-((((SQRT((($B$9-($B$17-1))-$B$19)^2)+SQRT((($B$10-($B$17-1))-$B$19)^2)+SQRT((($B$11-($B$17-1))-$B$19)^2)+SQRT((($B$12-($B$17-1))-$B$19)^2)+SQRT((($B$13-($B$17-1))-$B$19)^2)+SQRT((($B$14-($B$17-1))-$B$19)^2)+SQRT((($B$15-($B$17-1))-$B$19)^2)+SQRT((($B$16-($B$17-1))-$B$19)^2))/8)*100)/8)))))^2)))*(VLOOKUP(B$27,$B$9:$D$16,3,FALSE)*IF(B$27=B$26,1,((B$27-B$25)/(B$27-B$26)))))/($B$20/100)))</f>
        <v>0</v>
      </c>
      <c r="C31" s="58">
        <f t="shared" ref="C31:P31" si="6">((((SQRT((IF(C$25&gt;$B$18,0,IF(C$25&lt;$B$17,0,((50-((((SQRT((($B$9-($B$17-1))-$B$19)^2)+SQRT((($B$10-($B$17-1))-$B$19)^2)+SQRT((($B$11-($B$17-1))-$B$19)^2)+SQRT((($B$12-($B$17-1))-$B$19)^2)+SQRT((($B$13-($B$17-1))-$B$19)^2)+SQRT((($B$14-($B$17-1))-$B$19)^2)+SQRT((($B$15-($B$17-1))-$B$19)^2)+SQRT((($B$16-($B$17-1))-$B$19)^2))/8)*100)/8)))))^2)))*(VLOOKUP(C$27,$B$9:$D$16,3,FALSE)*IF(C$27=C$26,1,((C$27-C$25)/(C$27-C$26)))))/($B$20/100)))</f>
        <v>13.026315789473685</v>
      </c>
      <c r="D31" s="58">
        <f t="shared" si="6"/>
        <v>13.026315789473685</v>
      </c>
      <c r="E31" s="58">
        <f t="shared" si="6"/>
        <v>26.05263157894737</v>
      </c>
      <c r="F31" s="58">
        <f t="shared" si="6"/>
        <v>14.473684210526313</v>
      </c>
      <c r="G31" s="58">
        <f t="shared" si="6"/>
        <v>7.2368421052631566</v>
      </c>
      <c r="H31" s="58">
        <f t="shared" si="6"/>
        <v>21.710526315789473</v>
      </c>
      <c r="I31" s="58">
        <f t="shared" si="6"/>
        <v>8.6842105263157894</v>
      </c>
      <c r="J31" s="58">
        <f t="shared" si="6"/>
        <v>17.368421052631579</v>
      </c>
      <c r="K31" s="58">
        <f t="shared" si="6"/>
        <v>3.6184210526315788</v>
      </c>
      <c r="L31" s="58">
        <f t="shared" si="6"/>
        <v>2.8947368421052633</v>
      </c>
      <c r="M31" s="58">
        <f t="shared" si="6"/>
        <v>2.1710526315789473</v>
      </c>
      <c r="N31" s="58">
        <f t="shared" si="6"/>
        <v>1.4473684210526316</v>
      </c>
      <c r="O31" s="58">
        <f t="shared" si="6"/>
        <v>0.72368421052631582</v>
      </c>
      <c r="P31" s="59">
        <f t="shared" si="6"/>
        <v>4.3421052631578947</v>
      </c>
      <c r="Q31" s="75"/>
    </row>
    <row r="32" spans="1:17" x14ac:dyDescent="0.25">
      <c r="A32" s="5" t="s">
        <v>28</v>
      </c>
      <c r="B32" s="29">
        <f>IF(B$26=B$27,B$28,(((B$28*(1-((B$25-B$26)/(B$27-B$26))))*((B$27-B$25)/(B$27-B$26)))+((B$29*(1-((B$27-B$25)/(B$27-B$26))))*((B$25-B$26)/(B$27-B$26)))+((B$30*(1-((B$25-B$26)/(B$27-B$26))))*((B$27-B$25)/(B$27-B$26)))+((B$31*(1-((B$27-B$25)/(B$27-B$26))))*((B$25-B$26)/(B$27-B$26)))))</f>
        <v>0</v>
      </c>
      <c r="C32" s="58">
        <f>IF(C$26=C$27,C$28,(((C$28*(1-((C$25-C$26)/(C$27-C$26))))*((C$27-C$25)/(C$27-C$26)))+((C$29*(1-((C$27-C$25)/(C$27-C$26))))*((C$25-C$26)/(C$27-C$26)))+((C$30*(1-((C$25-C$26)/(C$27-C$26))))*((C$27-C$25)/(C$27-C$26)))+((C$31*(1-((C$27-C$25)/(C$27-C$26))))*((C$25-C$26)/(C$27-C$26)))))</f>
        <v>13.026315789473685</v>
      </c>
      <c r="D32" s="58">
        <f>IF(D$26=D$27,D$28,(((D$28*(1-((D$25-D$26)/(D$27-D$26))))*((D$27-D$25)/(D$27-D$26)))+((D$29*(1-((D$27-D$25)/(D$27-D$26))))*((D$25-D$26)/(D$27-D$26)))+((D$30*(1-((D$25-D$26)/(D$27-D$26))))*((D$27-D$25)/(D$27-D$26)))+((D$31*(1-((D$27-D$25)/(D$27-D$26))))*((D$25-D$26)/(D$27-D$26)))))</f>
        <v>9.7697368421052637</v>
      </c>
      <c r="E32" s="58">
        <f>IF(E$26=E$27,E$28,(((E$28*(1-((E$25-E$26)/(E$27-E$26))))*((E$27-E$25)/(E$27-E$26)))+((E$29*(1-((E$27-E$25)/(E$27-E$26))))*((E$25-E$26)/(E$27-E$26)))+((E$30*(1-((E$25-E$26)/(E$27-E$26))))*((E$27-E$25)/(E$27-E$26)))+((E$31*(1-((E$27-E$25)/(E$27-E$26))))*((E$25-E$26)/(E$27-E$26)))))</f>
        <v>26.05263157894737</v>
      </c>
      <c r="F32" s="58">
        <f>IF(F$26=F$27,F$28,(((F$28*(1-((F$25-F$26)/(F$27-F$26))))*((F$27-F$25)/(F$27-F$26)))+((F$29*(1-((F$27-F$25)/(F$27-F$26))))*((F$25-F$26)/(F$27-F$26)))+((F$30*(1-((F$25-F$26)/(F$27-F$26))))*((F$27-F$25)/(F$27-F$26)))+((F$31*(1-((F$27-F$25)/(F$27-F$26))))*((F$25-F$26)/(F$27-F$26)))))</f>
        <v>13.991228070175438</v>
      </c>
      <c r="G32" s="58">
        <f>IF(G$26=G$27,G$28,(((G$28*(1-((G$25-G$26)/(G$27-G$26))))*((G$27-G$25)/(G$27-G$26)))+((G$29*(1-((G$27-G$25)/(G$27-G$26))))*((G$25-G$26)/(G$27-G$26)))+((G$30*(1-((G$25-G$26)/(G$27-G$26))))*((G$27-G$25)/(G$27-G$26)))+((G$31*(1-((G$27-G$25)/(G$27-G$26))))*((G$25-G$26)/(G$27-G$26)))))</f>
        <v>12.543859649122806</v>
      </c>
      <c r="H32" s="58">
        <f>IF(H$26=H$27,H$28,(((H$28*(1-((H$25-H$26)/(H$27-H$26))))*((H$27-H$25)/(H$27-H$26)))+((H$29*(1-((H$27-H$25)/(H$27-H$26))))*((H$25-H$26)/(H$27-H$26)))+((H$30*(1-((H$25-H$26)/(H$27-H$26))))*((H$27-H$25)/(H$27-H$26)))+((H$31*(1-((H$27-H$25)/(H$27-H$26))))*((H$25-H$26)/(H$27-H$26)))))</f>
        <v>21.710526315789473</v>
      </c>
      <c r="I32" s="58">
        <f>IF(I$26=I$27,I$28,(((I$28*(1-((I$25-I$26)/(I$27-I$26))))*((I$27-I$25)/(I$27-I$26)))+((I$29*(1-((I$27-I$25)/(I$27-I$26))))*((I$25-I$26)/(I$27-I$26)))+((I$30*(1-((I$25-I$26)/(I$27-I$26))))*((I$27-I$25)/(I$27-I$26)))+((I$31*(1-((I$27-I$25)/(I$27-I$26))))*((I$25-I$26)/(I$27-I$26)))))</f>
        <v>9.7697368421052637</v>
      </c>
      <c r="J32" s="58">
        <f>IF(J$26=J$27,J$28,(((J$28*(1-((J$25-J$26)/(J$27-J$26))))*((J$27-J$25)/(J$27-J$26)))+((J$29*(1-((J$27-J$25)/(J$27-J$26))))*((J$25-J$26)/(J$27-J$26)))+((J$30*(1-((J$25-J$26)/(J$27-J$26))))*((J$27-J$25)/(J$27-J$26)))+((J$31*(1-((J$27-J$25)/(J$27-J$26))))*((J$25-J$26)/(J$27-J$26)))))</f>
        <v>17.368421052631579</v>
      </c>
      <c r="K32" s="58">
        <f>IF(K$26=K$27,K$28,(((K$28*(1-((K$25-K$26)/(K$27-K$26))))*((K$27-K$25)/(K$27-K$26)))+((K$29*(1-((K$27-K$25)/(K$27-K$26))))*((K$25-K$26)/(K$27-K$26)))+((K$30*(1-((K$25-K$26)/(K$27-K$26))))*((K$27-K$25)/(K$27-K$26)))+((K$31*(1-((K$27-K$25)/(K$27-K$26))))*((K$25-K$26)/(K$27-K$26)))))</f>
        <v>12.182017543859649</v>
      </c>
      <c r="L32" s="58">
        <f>IF(L$26=L$27,L$28,(((L$28*(1-((L$25-L$26)/(L$27-L$26))))*((L$27-L$25)/(L$27-L$26)))+((L$29*(1-((L$27-L$25)/(L$27-L$26))))*((L$25-L$26)/(L$27-L$26)))+((L$30*(1-((L$25-L$26)/(L$27-L$26))))*((L$27-L$25)/(L$27-L$26)))+((L$31*(1-((L$27-L$25)/(L$27-L$26))))*((L$25-L$26)/(L$27-L$26)))))</f>
        <v>8.2017543859649127</v>
      </c>
      <c r="M32" s="58">
        <f>IF(M$26=M$27,M$28,(((M$28*(1-((M$25-M$26)/(M$27-M$26))))*((M$27-M$25)/(M$27-M$26)))+((M$29*(1-((M$27-M$25)/(M$27-M$26))))*((M$25-M$26)/(M$27-M$26)))+((M$30*(1-((M$25-M$26)/(M$27-M$26))))*((M$27-M$25)/(M$27-M$26)))+((M$31*(1-((M$27-M$25)/(M$27-M$26))))*((M$25-M$26)/(M$27-M$26)))))</f>
        <v>5.427631578947369</v>
      </c>
      <c r="N32" s="58">
        <f>IF(N$26=N$27,N$28,(((N$28*(1-((N$25-N$26)/(N$27-N$26))))*((N$27-N$25)/(N$27-N$26)))+((N$29*(1-((N$27-N$25)/(N$27-N$26))))*((N$25-N$26)/(N$27-N$26)))+((N$30*(1-((N$25-N$26)/(N$27-N$26))))*((N$27-N$25)/(N$27-N$26)))+((N$31*(1-((N$27-N$25)/(N$27-N$26))))*((N$25-N$26)/(N$27-N$26)))))</f>
        <v>3.859649122807018</v>
      </c>
      <c r="O32" s="58">
        <f>IF(O$26=O$27,O$28,(((O$28*(1-((O$25-O$26)/(O$27-O$26))))*((O$27-O$25)/(O$27-O$26)))+((O$29*(1-((O$27-O$25)/(O$27-O$26))))*((O$25-O$26)/(O$27-O$26)))+((O$30*(1-((O$25-O$26)/(O$27-O$26))))*((O$27-O$25)/(O$27-O$26)))+((O$31*(1-((O$27-O$25)/(O$27-O$26))))*((O$25-O$26)/(O$27-O$26)))))</f>
        <v>3.4978070175438596</v>
      </c>
      <c r="P32" s="59">
        <f>IF(P$26=P$27,P$28,(((P$28*(1-((P$25-P$26)/(P$27-P$26))))*((P$27-P$25)/(P$27-P$26)))+((P$29*(1-((P$27-P$25)/(P$27-P$26))))*((P$25-P$26)/(P$27-P$26)))+((P$30*(1-((P$25-P$26)/(P$27-P$26))))*((P$27-P$25)/(P$27-P$26)))+((P$31*(1-((P$27-P$25)/(P$27-P$26))))*((P$25-P$26)/(P$27-P$26)))))</f>
        <v>4.3421052631578947</v>
      </c>
      <c r="Q32" s="75"/>
    </row>
    <row r="33" spans="1:17" x14ac:dyDescent="0.25">
      <c r="A33" s="5" t="s">
        <v>38</v>
      </c>
      <c r="B33" s="29">
        <f>IF(B$26=B$27,0,(((B$28*((B$25-B$26)/(B$27-B$26)))*((B$27-B$25)/(B$27-B$26)))+((B$29*((B$27-B$25)/(B$27-B$26)))*((B$25-B$26)/(B$27-B$26)))+((B$30*((B$25-B$26)/(B$27-B$26)))*((B$27-B$25)/(B$27-B$26)))+((B$31*((B$27-B$25)/(B$27-B$26)))*((B$25-B$26)/(B$27-B$26)))))</f>
        <v>0</v>
      </c>
      <c r="C33" s="58">
        <f>IF(C$26=C$27,0,(((C$28*((C$25-C$26)/(C$27-C$26)))*((C$27-C$25)/(C$27-C$26)))+((C$29*((C$27-C$25)/(C$27-C$26)))*((C$25-C$26)/(C$27-C$26)))+((C$30*((C$25-C$26)/(C$27-C$26)))*((C$27-C$25)/(C$27-C$26)))+((C$31*((C$27-C$25)/(C$27-C$26)))*((C$25-C$26)/(C$27-C$26)))))</f>
        <v>0</v>
      </c>
      <c r="D33" s="58">
        <f>IF(D$26=D$27,0,(((D$28*((D$25-D$26)/(D$27-D$26)))*((D$27-D$25)/(D$27-D$26)))+((D$29*((D$27-D$25)/(D$27-D$26)))*((D$25-D$26)/(D$27-D$26)))+((D$30*((D$25-D$26)/(D$27-D$26)))*((D$27-D$25)/(D$27-D$26)))+((D$31*((D$27-D$25)/(D$27-D$26)))*((D$25-D$26)/(D$27-D$26)))))</f>
        <v>9.7697368421052637</v>
      </c>
      <c r="E33" s="58">
        <f>IF(E$26=E$27,0,(((E$28*((E$25-E$26)/(E$27-E$26)))*((E$27-E$25)/(E$27-E$26)))+((E$29*((E$27-E$25)/(E$27-E$26)))*((E$25-E$26)/(E$27-E$26)))+((E$30*((E$25-E$26)/(E$27-E$26)))*((E$27-E$25)/(E$27-E$26)))+((E$31*((E$27-E$25)/(E$27-E$26)))*((E$25-E$26)/(E$27-E$26)))))</f>
        <v>0</v>
      </c>
      <c r="F33" s="58">
        <f>IF(F$26=F$27,0,(((F$28*((F$25-F$26)/(F$27-F$26)))*((F$27-F$25)/(F$27-F$26)))+((F$29*((F$27-F$25)/(F$27-F$26)))*((F$25-F$26)/(F$27-F$26)))+((F$30*((F$25-F$26)/(F$27-F$26)))*((F$27-F$25)/(F$27-F$26)))+((F$31*((F$27-F$25)/(F$27-F$26)))*((F$25-F$26)/(F$27-F$26)))))</f>
        <v>10.614035087719296</v>
      </c>
      <c r="G33" s="58">
        <f>IF(G$26=G$27,0,(((G$28*((G$25-G$26)/(G$27-G$26)))*((G$27-G$25)/(G$27-G$26)))+((G$29*((G$27-G$25)/(G$27-G$26)))*((G$25-G$26)/(G$27-G$26)))+((G$30*((G$25-G$26)/(G$27-G$26)))*((G$27-G$25)/(G$27-G$26)))+((G$31*((G$27-G$25)/(G$27-G$26)))*((G$25-G$26)/(G$27-G$26)))))</f>
        <v>10.614035087719296</v>
      </c>
      <c r="H33" s="58">
        <f>IF(H$26=H$27,0,(((H$28*((H$25-H$26)/(H$27-H$26)))*((H$27-H$25)/(H$27-H$26)))+((H$29*((H$27-H$25)/(H$27-H$26)))*((H$25-H$26)/(H$27-H$26)))+((H$30*((H$25-H$26)/(H$27-H$26)))*((H$27-H$25)/(H$27-H$26)))+((H$31*((H$27-H$25)/(H$27-H$26)))*((H$25-H$26)/(H$27-H$26)))))</f>
        <v>0</v>
      </c>
      <c r="I33" s="58">
        <f>IF(I$26=I$27,0,(((I$28*((I$25-I$26)/(I$27-I$26)))*((I$27-I$25)/(I$27-I$26)))+((I$29*((I$27-I$25)/(I$27-I$26)))*((I$25-I$26)/(I$27-I$26)))+((I$30*((I$25-I$26)/(I$27-I$26)))*((I$27-I$25)/(I$27-I$26)))+((I$31*((I$27-I$25)/(I$27-I$26)))*((I$25-I$26)/(I$27-I$26)))))</f>
        <v>9.7697368421052637</v>
      </c>
      <c r="J33" s="58">
        <f>IF(J$26=J$27,0,(((J$28*((J$25-J$26)/(J$27-J$26)))*((J$27-J$25)/(J$27-J$26)))+((J$29*((J$27-J$25)/(J$27-J$26)))*((J$25-J$26)/(J$27-J$26)))+((J$30*((J$25-J$26)/(J$27-J$26)))*((J$27-J$25)/(J$27-J$26)))+((J$31*((J$27-J$25)/(J$27-J$26)))*((J$25-J$26)/(J$27-J$26)))))</f>
        <v>0</v>
      </c>
      <c r="K33" s="58">
        <f>IF(K$26=K$27,0,(((K$28*((K$25-K$26)/(K$27-K$26)))*((K$27-K$25)/(K$27-K$26)))+((K$29*((K$27-K$25)/(K$27-K$26)))*((K$25-K$26)/(K$27-K$26)))+((K$30*((K$25-K$26)/(K$27-K$26)))*((K$27-K$25)/(K$27-K$26)))+((K$31*((K$27-K$25)/(K$27-K$26)))*((K$25-K$26)/(K$27-K$26)))))</f>
        <v>3.0153508771929824</v>
      </c>
      <c r="L33" s="58">
        <f>IF(L$26=L$27,0,(((L$28*((L$25-L$26)/(L$27-L$26)))*((L$27-L$25)/(L$27-L$26)))+((L$29*((L$27-L$25)/(L$27-L$26)))*((L$25-L$26)/(L$27-L$26)))+((L$30*((L$25-L$26)/(L$27-L$26)))*((L$27-L$25)/(L$27-L$26)))+((L$31*((L$27-L$25)/(L$27-L$26)))*((L$25-L$26)/(L$27-L$26)))))</f>
        <v>4.8245614035087714</v>
      </c>
      <c r="M33" s="58">
        <f>IF(M$26=M$27,0,(((M$28*((M$25-M$26)/(M$27-M$26)))*((M$27-M$25)/(M$27-M$26)))+((M$29*((M$27-M$25)/(M$27-M$26)))*((M$25-M$26)/(M$27-M$26)))+((M$30*((M$25-M$26)/(M$27-M$26)))*((M$27-M$25)/(M$27-M$26)))+((M$31*((M$27-M$25)/(M$27-M$26)))*((M$25-M$26)/(M$27-M$26)))))</f>
        <v>5.427631578947369</v>
      </c>
      <c r="N33" s="58">
        <f>IF(N$26=N$27,0,(((N$28*((N$25-N$26)/(N$27-N$26)))*((N$27-N$25)/(N$27-N$26)))+((N$29*((N$27-N$25)/(N$27-N$26)))*((N$25-N$26)/(N$27-N$26)))+((N$30*((N$25-N$26)/(N$27-N$26)))*((N$27-N$25)/(N$27-N$26)))+((N$31*((N$27-N$25)/(N$27-N$26)))*((N$25-N$26)/(N$27-N$26)))))</f>
        <v>4.8245614035087723</v>
      </c>
      <c r="O33" s="58">
        <f>IF(O$26=O$27,0,(((O$28*((O$25-O$26)/(O$27-O$26)))*((O$27-O$25)/(O$27-O$26)))+((O$29*((O$27-O$25)/(O$27-O$26)))*((O$25-O$26)/(O$27-O$26)))+((O$30*((O$25-O$26)/(O$27-O$26)))*((O$27-O$25)/(O$27-O$26)))+((O$31*((O$27-O$25)/(O$27-O$26)))*((O$25-O$26)/(O$27-O$26)))))</f>
        <v>3.0153508771929824</v>
      </c>
      <c r="P33" s="59">
        <f>IF(P$26=P$27,0,(((P$28*((P$25-P$26)/(P$27-P$26)))*((P$27-P$25)/(P$27-P$26)))+((P$29*((P$27-P$25)/(P$27-P$26)))*((P$25-P$26)/(P$27-P$26)))+((P$30*((P$25-P$26)/(P$27-P$26)))*((P$27-P$25)/(P$27-P$26)))+((P$31*((P$27-P$25)/(P$27-P$26)))*((P$25-P$26)/(P$27-P$26)))))</f>
        <v>0</v>
      </c>
      <c r="Q33" s="75"/>
    </row>
    <row r="34" spans="1:17" x14ac:dyDescent="0.25">
      <c r="A34" s="5" t="s">
        <v>37</v>
      </c>
      <c r="B34" s="29">
        <f>(((IF(B$26=B$27, 1, IF(B$25&lt;=((B$26+(B$27-B$26)/2)), (1-(SQRT(((B$25-B$26)/(B$27-B$26))^2))), (SQRT(((B$25-B$26)/(B$27-B$26))^2)))))-0.5)*2)</f>
        <v>1</v>
      </c>
      <c r="C34" s="58">
        <f>(((IF(C$26=C$27, 1, IF(C$25&lt;=((C$26+(C$27-C$26)/2)), (1-(SQRT(((C$25-C$26)/(C$27-C$26))^2))), (SQRT(((C$25-C$26)/(C$27-C$26))^2)))))-0.5)*2)</f>
        <v>1</v>
      </c>
      <c r="D34" s="58">
        <f>(((IF(D$26=D$27, 1, IF(D$25&lt;=((D$26+(D$27-D$26)/2)), (1-(SQRT(((D$25-D$26)/(D$27-D$26))^2))), (SQRT(((D$25-D$26)/(D$27-D$26))^2)))))-0.5)*2)</f>
        <v>0</v>
      </c>
      <c r="E34" s="58">
        <f>(((IF(E$26=E$27, 1, IF(E$25&lt;=((E$26+(E$27-E$26)/2)), (1-(SQRT(((E$25-E$26)/(E$27-E$26))^2))), (SQRT(((E$25-E$26)/(E$27-E$26))^2)))))-0.5)*2)</f>
        <v>1</v>
      </c>
      <c r="F34" s="58">
        <f>(((IF(F$26=F$27, 1, IF(F$25&lt;=((F$26+(F$27-F$26)/2)), (1-(SQRT(((F$25-F$26)/(F$27-F$26))^2))), (SQRT(((F$25-F$26)/(F$27-F$26))^2)))))-0.5)*2)</f>
        <v>0.33333333333333348</v>
      </c>
      <c r="G34" s="58">
        <f>(((IF(G$26=G$27, 1, IF(G$25&lt;=((G$26+(G$27-G$26)/2)), (1-(SQRT(((G$25-G$26)/(G$27-G$26))^2))), (SQRT(((G$25-G$26)/(G$27-G$26))^2)))))-0.5)*2)</f>
        <v>0.33333333333333326</v>
      </c>
      <c r="H34" s="58">
        <f>(((IF(H$26=H$27, 1, IF(H$25&lt;=((H$26+(H$27-H$26)/2)), (1-(SQRT(((H$25-H$26)/(H$27-H$26))^2))), (SQRT(((H$25-H$26)/(H$27-H$26))^2)))))-0.5)*2)</f>
        <v>1</v>
      </c>
      <c r="I34" s="58">
        <f>(((IF(I$26=I$27, 1, IF(I$25&lt;=((I$26+(I$27-I$26)/2)), (1-(SQRT(((I$25-I$26)/(I$27-I$26))^2))), (SQRT(((I$25-I$26)/(I$27-I$26))^2)))))-0.5)*2)</f>
        <v>0</v>
      </c>
      <c r="J34" s="58">
        <f>(((IF(J$26=J$27, 1, IF(J$25&lt;=((J$26+(J$27-J$26)/2)), (1-(SQRT(((J$25-J$26)/(J$27-J$26))^2))), (SQRT(((J$25-J$26)/(J$27-J$26))^2)))))-0.5)*2)</f>
        <v>1</v>
      </c>
      <c r="K34" s="58">
        <f>(((IF(K$26=K$27, 1, IF(K$25&lt;=((K$26+(K$27-K$26)/2)), (1-(SQRT(((K$25-K$26)/(K$27-K$26))^2))), (SQRT(((K$25-K$26)/(K$27-K$26))^2)))))-0.5)*2)</f>
        <v>0.66666666666666674</v>
      </c>
      <c r="L34" s="58">
        <f>(((IF(L$26=L$27, 1, IF(L$25&lt;=((L$26+(L$27-L$26)/2)), (1-(SQRT(((L$25-L$26)/(L$27-L$26))^2))), (SQRT(((L$25-L$26)/(L$27-L$26))^2)))))-0.5)*2)</f>
        <v>0.33333333333333348</v>
      </c>
      <c r="M34" s="58">
        <f>(((IF(M$26=M$27, 1, IF(M$25&lt;=((M$26+(M$27-M$26)/2)), (1-(SQRT(((M$25-M$26)/(M$27-M$26))^2))), (SQRT(((M$25-M$26)/(M$27-M$26))^2)))))-0.5)*2)</f>
        <v>0</v>
      </c>
      <c r="N34" s="58">
        <f>(((IF(N$26=N$27, 1, IF(N$25&lt;=((N$26+(N$27-N$26)/2)), (1-(SQRT(((N$25-N$26)/(N$27-N$26))^2))), (SQRT(((N$25-N$26)/(N$27-N$26))^2)))))-0.5)*2)</f>
        <v>0.33333333333333326</v>
      </c>
      <c r="O34" s="58">
        <f>(((IF(O$26=O$27, 1, IF(O$25&lt;=((O$26+(O$27-O$26)/2)), (1-(SQRT(((O$25-O$26)/(O$27-O$26))^2))), (SQRT(((O$25-O$26)/(O$27-O$26))^2)))))-0.5)*2)</f>
        <v>0.66666666666666674</v>
      </c>
      <c r="P34" s="59">
        <f>(((IF(P$26=P$27, 1, IF(P$25&lt;=((P$26+(P$27-P$26)/2)), (1-(SQRT(((P$25-P$26)/(P$27-P$26))^2))), (SQRT(((P$25-P$26)/(P$27-P$26))^2)))))-0.5)*2)</f>
        <v>1</v>
      </c>
      <c r="Q34" s="75"/>
    </row>
    <row r="35" spans="1:17" x14ac:dyDescent="0.25">
      <c r="A35" s="5" t="s">
        <v>43</v>
      </c>
      <c r="B35" s="29">
        <f>((B$32*(1-B$34))+((B$32+(B$33*B34))*B$34))</f>
        <v>0</v>
      </c>
      <c r="C35" s="58">
        <f t="shared" ref="C35:P35" si="7">((C$32*(1-C$34))+((C$32+(C$33*C34))*C$34))</f>
        <v>13.026315789473685</v>
      </c>
      <c r="D35" s="58">
        <f t="shared" si="7"/>
        <v>9.7697368421052637</v>
      </c>
      <c r="E35" s="58">
        <f t="shared" si="7"/>
        <v>26.05263157894737</v>
      </c>
      <c r="F35" s="58">
        <f t="shared" si="7"/>
        <v>15.170565302144251</v>
      </c>
      <c r="G35" s="58">
        <f t="shared" si="7"/>
        <v>13.723196881091617</v>
      </c>
      <c r="H35" s="58">
        <f t="shared" si="7"/>
        <v>21.710526315789473</v>
      </c>
      <c r="I35" s="58">
        <f t="shared" si="7"/>
        <v>9.7697368421052637</v>
      </c>
      <c r="J35" s="58">
        <f t="shared" si="7"/>
        <v>17.368421052631579</v>
      </c>
      <c r="K35" s="58">
        <f t="shared" si="7"/>
        <v>13.522173489278753</v>
      </c>
      <c r="L35" s="58">
        <f t="shared" si="7"/>
        <v>8.737816764132555</v>
      </c>
      <c r="M35" s="58">
        <f t="shared" si="7"/>
        <v>5.427631578947369</v>
      </c>
      <c r="N35" s="58">
        <f t="shared" si="7"/>
        <v>4.3957115009746595</v>
      </c>
      <c r="O35" s="58">
        <f t="shared" si="7"/>
        <v>4.8379629629629637</v>
      </c>
      <c r="P35" s="59">
        <f t="shared" si="7"/>
        <v>4.3421052631578947</v>
      </c>
      <c r="Q35" s="76">
        <f>MAX($B$35,$C$35,$D$35,$E$35,$F$35,$G$35,$H$35,$I$35,$J$35,$K$35,$L$35,$M$35,$N$35,$O$35,$P$35)</f>
        <v>26.05263157894737</v>
      </c>
    </row>
    <row r="36" spans="1:17" x14ac:dyDescent="0.25">
      <c r="A36" s="5" t="s">
        <v>44</v>
      </c>
      <c r="B36" s="29">
        <f>(IF(B$35=0,0,(IF($Q$35&gt;100,(B$35-($Q$35-100)),B$35))))</f>
        <v>0</v>
      </c>
      <c r="C36" s="58">
        <f t="shared" ref="C36:P36" si="8">(IF(C$35=0,0,(IF($Q$35&gt;100,(C$35-($Q$35-100)),C$35))))</f>
        <v>13.026315789473685</v>
      </c>
      <c r="D36" s="58">
        <f t="shared" si="8"/>
        <v>9.7697368421052637</v>
      </c>
      <c r="E36" s="58">
        <f t="shared" si="8"/>
        <v>26.05263157894737</v>
      </c>
      <c r="F36" s="58">
        <f t="shared" si="8"/>
        <v>15.170565302144251</v>
      </c>
      <c r="G36" s="58">
        <f t="shared" si="8"/>
        <v>13.723196881091617</v>
      </c>
      <c r="H36" s="58">
        <f t="shared" si="8"/>
        <v>21.710526315789473</v>
      </c>
      <c r="I36" s="58">
        <f t="shared" si="8"/>
        <v>9.7697368421052637</v>
      </c>
      <c r="J36" s="58">
        <f t="shared" si="8"/>
        <v>17.368421052631579</v>
      </c>
      <c r="K36" s="58">
        <f t="shared" si="8"/>
        <v>13.522173489278753</v>
      </c>
      <c r="L36" s="58">
        <f t="shared" si="8"/>
        <v>8.737816764132555</v>
      </c>
      <c r="M36" s="58">
        <f t="shared" si="8"/>
        <v>5.427631578947369</v>
      </c>
      <c r="N36" s="58">
        <f t="shared" si="8"/>
        <v>4.3957115009746595</v>
      </c>
      <c r="O36" s="58">
        <f t="shared" si="8"/>
        <v>4.8379629629629637</v>
      </c>
      <c r="P36" s="59">
        <f t="shared" si="8"/>
        <v>4.3421052631578947</v>
      </c>
      <c r="Q36" s="94"/>
    </row>
    <row r="37" spans="1:17" ht="15.75" thickBot="1" x14ac:dyDescent="0.3">
      <c r="A37" s="15" t="s">
        <v>45</v>
      </c>
      <c r="B37" s="30">
        <f>(100-B$36)</f>
        <v>100</v>
      </c>
      <c r="C37" s="60">
        <f t="shared" ref="C37:P37" si="9">(100-C$36)</f>
        <v>86.973684210526315</v>
      </c>
      <c r="D37" s="60">
        <f t="shared" si="9"/>
        <v>90.23026315789474</v>
      </c>
      <c r="E37" s="60">
        <f t="shared" si="9"/>
        <v>73.94736842105263</v>
      </c>
      <c r="F37" s="60">
        <f t="shared" si="9"/>
        <v>84.829434697855746</v>
      </c>
      <c r="G37" s="60">
        <f t="shared" si="9"/>
        <v>86.27680311890839</v>
      </c>
      <c r="H37" s="60">
        <f t="shared" si="9"/>
        <v>78.28947368421052</v>
      </c>
      <c r="I37" s="60">
        <f t="shared" si="9"/>
        <v>90.23026315789474</v>
      </c>
      <c r="J37" s="60">
        <f t="shared" si="9"/>
        <v>82.631578947368425</v>
      </c>
      <c r="K37" s="60">
        <f t="shared" si="9"/>
        <v>86.477826510721243</v>
      </c>
      <c r="L37" s="60">
        <f t="shared" si="9"/>
        <v>91.26218323586744</v>
      </c>
      <c r="M37" s="60">
        <f t="shared" si="9"/>
        <v>94.57236842105263</v>
      </c>
      <c r="N37" s="60">
        <f t="shared" si="9"/>
        <v>95.604288499025344</v>
      </c>
      <c r="O37" s="60">
        <f t="shared" si="9"/>
        <v>95.162037037037038</v>
      </c>
      <c r="P37" s="61">
        <f t="shared" si="9"/>
        <v>95.65789473684211</v>
      </c>
      <c r="Q37" s="77"/>
    </row>
    <row r="38" spans="1:17" x14ac:dyDescent="0.25">
      <c r="A38" s="28" t="s">
        <v>51</v>
      </c>
      <c r="B38" s="1"/>
      <c r="C38" s="1"/>
      <c r="D38" s="1"/>
      <c r="E38" s="1"/>
      <c r="F38" s="1"/>
      <c r="N38" s="16"/>
      <c r="O38" s="16"/>
      <c r="P38" s="16"/>
    </row>
    <row r="39" spans="1:17" x14ac:dyDescent="0.25">
      <c r="A39" s="8"/>
      <c r="B39" s="1"/>
      <c r="C39" s="1"/>
      <c r="D39" s="1"/>
      <c r="E39" s="1"/>
      <c r="N39" s="16"/>
      <c r="O39" s="16"/>
      <c r="P39" s="16"/>
    </row>
    <row r="40" spans="1:17" x14ac:dyDescent="0.25">
      <c r="A40" s="1"/>
      <c r="B40" s="1"/>
      <c r="C40" s="1"/>
      <c r="D40" s="1"/>
      <c r="E40" s="1"/>
    </row>
    <row r="41" spans="1:17" x14ac:dyDescent="0.25">
      <c r="A41" s="2"/>
      <c r="B41" s="1"/>
      <c r="C41" s="1"/>
      <c r="D41" s="1"/>
      <c r="E41" s="1"/>
      <c r="H41" s="16"/>
      <c r="I41" s="26"/>
      <c r="J41" s="26"/>
      <c r="K41" s="26"/>
    </row>
    <row r="42" spans="1:17" x14ac:dyDescent="0.25">
      <c r="A42" s="1"/>
      <c r="H42" s="16"/>
      <c r="I42" s="26"/>
      <c r="J42" s="26"/>
      <c r="K42" s="26"/>
    </row>
    <row r="43" spans="1:17" x14ac:dyDescent="0.25">
      <c r="I43" s="26"/>
      <c r="J43" s="26"/>
      <c r="K43" s="26"/>
    </row>
    <row r="44" spans="1:17" x14ac:dyDescent="0.25">
      <c r="H44" s="26"/>
      <c r="I44" s="26"/>
      <c r="J44" s="26"/>
      <c r="K44" s="26"/>
    </row>
    <row r="45" spans="1:17" x14ac:dyDescent="0.25">
      <c r="H45" s="26"/>
      <c r="I45" s="26"/>
      <c r="J45" s="26"/>
      <c r="K45" s="26"/>
    </row>
    <row r="46" spans="1:17" x14ac:dyDescent="0.25">
      <c r="H46" s="26"/>
      <c r="I46" s="26"/>
      <c r="J46" s="26"/>
      <c r="K46" s="26"/>
    </row>
    <row r="47" spans="1:17" x14ac:dyDescent="0.25">
      <c r="H47" s="26"/>
      <c r="I47" s="26"/>
      <c r="J47" s="26"/>
      <c r="K47" s="26"/>
    </row>
    <row r="48" spans="1:17" x14ac:dyDescent="0.25">
      <c r="H48" s="26"/>
    </row>
    <row r="49" spans="1:8" x14ac:dyDescent="0.25">
      <c r="H49" s="26"/>
    </row>
    <row r="50" spans="1:8" x14ac:dyDescent="0.25">
      <c r="H50" s="26"/>
    </row>
    <row r="51" spans="1:8" x14ac:dyDescent="0.25">
      <c r="H51" s="26"/>
    </row>
    <row r="52" spans="1:8" x14ac:dyDescent="0.25">
      <c r="H52" s="26"/>
    </row>
    <row r="53" spans="1:8" x14ac:dyDescent="0.25">
      <c r="H53" s="26"/>
    </row>
    <row r="54" spans="1:8" x14ac:dyDescent="0.25">
      <c r="H54" s="26"/>
    </row>
    <row r="55" spans="1:8" x14ac:dyDescent="0.25">
      <c r="H55" s="26"/>
    </row>
    <row r="56" spans="1:8" ht="15.75" thickBot="1" x14ac:dyDescent="0.3"/>
    <row r="57" spans="1:8" ht="19.5" thickBot="1" x14ac:dyDescent="0.35">
      <c r="A57" s="21" t="s">
        <v>18</v>
      </c>
    </row>
    <row r="58" spans="1:8" x14ac:dyDescent="0.25">
      <c r="A58" s="18" t="s">
        <v>52</v>
      </c>
    </row>
    <row r="59" spans="1:8" x14ac:dyDescent="0.25">
      <c r="A59" s="19" t="s">
        <v>19</v>
      </c>
    </row>
    <row r="60" spans="1:8" x14ac:dyDescent="0.25">
      <c r="A60" s="93" t="s">
        <v>15</v>
      </c>
    </row>
    <row r="61" spans="1:8" x14ac:dyDescent="0.25">
      <c r="A61" s="19" t="s">
        <v>16</v>
      </c>
    </row>
    <row r="62" spans="1:8" x14ac:dyDescent="0.25">
      <c r="A62" s="19" t="s">
        <v>17</v>
      </c>
    </row>
    <row r="63" spans="1:8" x14ac:dyDescent="0.25">
      <c r="A63" s="19" t="s">
        <v>20</v>
      </c>
    </row>
    <row r="64" spans="1:8" x14ac:dyDescent="0.25">
      <c r="A64" s="19" t="s">
        <v>23</v>
      </c>
    </row>
    <row r="65" spans="1:2" x14ac:dyDescent="0.25">
      <c r="A65" s="19" t="s">
        <v>21</v>
      </c>
    </row>
    <row r="66" spans="1:2" x14ac:dyDescent="0.25">
      <c r="A66" s="22" t="s">
        <v>47</v>
      </c>
      <c r="B66" s="9"/>
    </row>
    <row r="67" spans="1:2" ht="15.75" thickBot="1" x14ac:dyDescent="0.3">
      <c r="A67" s="20" t="s">
        <v>22</v>
      </c>
    </row>
  </sheetData>
  <mergeCells count="4">
    <mergeCell ref="B7:D7"/>
    <mergeCell ref="E7:G7"/>
    <mergeCell ref="H7:J7"/>
    <mergeCell ref="B24: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2021-04-02T08:23:42Z</dcterms:modified>
</cp:coreProperties>
</file>