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64F53C86-AE9F-4127-9B74-AA704F067BA5}" xr6:coauthVersionLast="46" xr6:coauthVersionMax="46" xr10:uidLastSave="{00000000-0000-0000-0000-000000000000}"/>
  <bookViews>
    <workbookView xWindow="0" yWindow="0" windowWidth="21600" windowHeight="1290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E18" i="1"/>
  <c r="H18" i="1"/>
  <c r="H17" i="1"/>
  <c r="E17" i="1"/>
  <c r="B17" i="1"/>
  <c r="B19" i="1" s="1"/>
  <c r="P26" i="1" l="1"/>
  <c r="Q26" i="1"/>
  <c r="Q31" i="1" s="1"/>
  <c r="P27" i="1"/>
  <c r="Q27" i="1"/>
  <c r="D13" i="1"/>
  <c r="D9" i="1"/>
  <c r="D15" i="1"/>
  <c r="D16" i="1"/>
  <c r="D10" i="1"/>
  <c r="D14" i="1"/>
  <c r="D11" i="1"/>
  <c r="D12" i="1"/>
  <c r="E19" i="1"/>
  <c r="E20" i="1" s="1"/>
  <c r="E21" i="1" s="1"/>
  <c r="H19" i="1"/>
  <c r="H20" i="1" s="1"/>
  <c r="H21" i="1" s="1"/>
  <c r="K26" i="1"/>
  <c r="L27" i="1"/>
  <c r="K27" i="1"/>
  <c r="F26" i="1"/>
  <c r="G27" i="1"/>
  <c r="B26" i="1"/>
  <c r="I26" i="1"/>
  <c r="H26" i="1"/>
  <c r="O26" i="1"/>
  <c r="B20" i="1"/>
  <c r="B21" i="1" s="1"/>
  <c r="H27" i="1"/>
  <c r="N27" i="1"/>
  <c r="I27" i="1"/>
  <c r="E26" i="1"/>
  <c r="D26" i="1"/>
  <c r="C26" i="1"/>
  <c r="J26" i="1"/>
  <c r="D27" i="1"/>
  <c r="N26" i="1"/>
  <c r="C27" i="1"/>
  <c r="M27" i="1"/>
  <c r="J27" i="1"/>
  <c r="G26" i="1"/>
  <c r="B27" i="1"/>
  <c r="M26" i="1"/>
  <c r="O27" i="1"/>
  <c r="L26" i="1"/>
  <c r="E27" i="1"/>
  <c r="F27" i="1"/>
  <c r="Q30" i="1" l="1"/>
  <c r="Q29" i="1"/>
  <c r="Q28" i="1"/>
  <c r="Q32" i="1"/>
  <c r="Q34" i="1"/>
  <c r="Q35" i="1"/>
  <c r="Q33" i="1"/>
  <c r="P34" i="1"/>
  <c r="P33" i="1"/>
  <c r="P28" i="1"/>
  <c r="P32" i="1" s="1"/>
  <c r="P31" i="1"/>
  <c r="P29" i="1"/>
  <c r="P30" i="1"/>
  <c r="G29" i="1"/>
  <c r="K28" i="1"/>
  <c r="I30" i="1"/>
  <c r="K34" i="1"/>
  <c r="E31" i="1"/>
  <c r="L31" i="1"/>
  <c r="M31" i="1"/>
  <c r="I28" i="1"/>
  <c r="I29" i="1"/>
  <c r="C28" i="1"/>
  <c r="M28" i="1"/>
  <c r="G31" i="1"/>
  <c r="B29" i="1"/>
  <c r="N30" i="1"/>
  <c r="O30" i="1"/>
  <c r="B31" i="1"/>
  <c r="G28" i="1"/>
  <c r="G30" i="1"/>
  <c r="E28" i="1"/>
  <c r="I31" i="1"/>
  <c r="K30" i="1"/>
  <c r="K29" i="1"/>
  <c r="C31" i="1"/>
  <c r="E30" i="1"/>
  <c r="E29" i="1"/>
  <c r="J31" i="1"/>
  <c r="J29" i="1"/>
  <c r="D30" i="1"/>
  <c r="D28" i="1"/>
  <c r="H30" i="1"/>
  <c r="H28" i="1"/>
  <c r="F28" i="1"/>
  <c r="F31" i="1"/>
  <c r="F29" i="1"/>
  <c r="K31" i="1"/>
  <c r="M30" i="1"/>
  <c r="O29" i="1"/>
  <c r="D31" i="1"/>
  <c r="F30" i="1"/>
  <c r="H29" i="1"/>
  <c r="J28" i="1"/>
  <c r="M29" i="1"/>
  <c r="O28" i="1"/>
  <c r="C30" i="1"/>
  <c r="L30" i="1"/>
  <c r="L28" i="1"/>
  <c r="D29" i="1"/>
  <c r="N31" i="1"/>
  <c r="N29" i="1"/>
  <c r="B30" i="1"/>
  <c r="B28" i="1"/>
  <c r="B33" i="1" s="1"/>
  <c r="O31" i="1"/>
  <c r="C29" i="1"/>
  <c r="H31" i="1"/>
  <c r="J30" i="1"/>
  <c r="L29" i="1"/>
  <c r="N28" i="1"/>
  <c r="D34" i="1"/>
  <c r="H34" i="1"/>
  <c r="I34" i="1"/>
  <c r="O34" i="1"/>
  <c r="C34" i="1"/>
  <c r="B34" i="1"/>
  <c r="L34" i="1"/>
  <c r="J34" i="1"/>
  <c r="E34" i="1"/>
  <c r="M34" i="1"/>
  <c r="F34" i="1"/>
  <c r="G34" i="1"/>
  <c r="N34" i="1"/>
  <c r="P35" i="1" l="1"/>
  <c r="P36" i="1" s="1"/>
  <c r="P37" i="1" s="1"/>
  <c r="B32" i="1"/>
  <c r="Q36" i="1"/>
  <c r="Q37" i="1" s="1"/>
  <c r="B35" i="1"/>
  <c r="B36" i="1" s="1"/>
  <c r="H32" i="1"/>
  <c r="E33" i="1"/>
  <c r="H33" i="1"/>
  <c r="E32" i="1"/>
  <c r="C32" i="1"/>
  <c r="C33" i="1"/>
  <c r="O33" i="1"/>
  <c r="O32" i="1"/>
  <c r="D32" i="1"/>
  <c r="K32" i="1"/>
  <c r="K33" i="1"/>
  <c r="J32" i="1"/>
  <c r="J33" i="1"/>
  <c r="M33" i="1"/>
  <c r="L32" i="1"/>
  <c r="N32" i="1"/>
  <c r="G32" i="1"/>
  <c r="F33" i="1"/>
  <c r="G33" i="1"/>
  <c r="I32" i="1"/>
  <c r="I33" i="1"/>
  <c r="D33" i="1"/>
  <c r="L33" i="1"/>
  <c r="N33" i="1"/>
  <c r="F32" i="1"/>
  <c r="M32" i="1"/>
  <c r="M35" i="1" s="1"/>
  <c r="M36" i="1" s="1"/>
  <c r="H35" i="1" l="1"/>
  <c r="H36" i="1" s="1"/>
  <c r="O35" i="1"/>
  <c r="O36" i="1" s="1"/>
  <c r="C35" i="1"/>
  <c r="C36" i="1" s="1"/>
  <c r="E35" i="1"/>
  <c r="E36" i="1" s="1"/>
  <c r="I35" i="1"/>
  <c r="I36" i="1" s="1"/>
  <c r="J35" i="1"/>
  <c r="J36" i="1" s="1"/>
  <c r="K35" i="1"/>
  <c r="K36" i="1" s="1"/>
  <c r="N35" i="1"/>
  <c r="N36" i="1" s="1"/>
  <c r="L35" i="1"/>
  <c r="L36" i="1" s="1"/>
  <c r="F35" i="1"/>
  <c r="F36" i="1" s="1"/>
  <c r="G35" i="1"/>
  <c r="G36" i="1" s="1"/>
  <c r="D35" i="1"/>
  <c r="D36" i="1" s="1"/>
  <c r="B37" i="1"/>
  <c r="O37" i="1" l="1"/>
  <c r="D37" i="1"/>
  <c r="H37" i="1"/>
  <c r="C37" i="1"/>
  <c r="I37" i="1"/>
  <c r="N37" i="1"/>
  <c r="G37" i="1"/>
  <c r="K37" i="1"/>
  <c r="F37" i="1"/>
  <c r="E37" i="1"/>
  <c r="L37" i="1"/>
  <c r="J37" i="1"/>
  <c r="M37" i="1"/>
</calcChain>
</file>

<file path=xl/sharedStrings.xml><?xml version="1.0" encoding="utf-8"?>
<sst xmlns="http://schemas.openxmlformats.org/spreadsheetml/2006/main" count="67" uniqueCount="54">
  <si>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</si>
  <si>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</si>
  <si>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</si>
  <si>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</si>
  <si>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</si>
  <si>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</si>
  <si>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</si>
  <si>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</si>
  <si>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</si>
  <si>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</si>
  <si>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</si>
  <si>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</si>
  <si>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</si>
  <si>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</si>
  <si>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</si>
  <si>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Smaller and Larger datasets e.g. 4 samples and 64 samples aswell</t>
  </si>
  <si>
    <t>Correct distribution profile</t>
  </si>
  <si>
    <t>Correctly skewed density peaks (parameters) and troughs (gaps)</t>
  </si>
  <si>
    <t>Unit Tests To Be Carried Out By Each Developer In Order To Satisfy That the Theory Has Been Correctly Applied</t>
  </si>
  <si>
    <t>Maximal confidence of &lt;100%, and minimal confidence &gt;0%, where there is actually a distribution</t>
  </si>
  <si>
    <t>Large low density sub-ranges &gt;0%</t>
  </si>
  <si>
    <t>When median and mean are the same, i.e. where no skew exists, that mean confidence is correct</t>
  </si>
  <si>
    <t>Your code produces the same values as those in the tables above, given the same variable parameters as the input dataset</t>
  </si>
  <si>
    <t>Incorporation of skewness</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</si>
  <si>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</si>
  <si>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</si>
  <si>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</si>
  <si>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</si>
  <si>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</si>
  <si>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</si>
  <si>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</si>
  <si>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</si>
  <si>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</si>
  <si>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</si>
  <si>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</si>
  <si>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</si>
  <si>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</si>
  <si>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</si>
  <si>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</si>
  <si>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</si>
  <si>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</si>
  <si>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</si>
  <si>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</si>
  <si>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</si>
  <si>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</si>
  <si>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Average sample dataset integral equals ~&lt;100% as you approach a sample parameter granularity percentage of 1/infinity</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</si>
  <si>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</si>
  <si>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</si>
  <si>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Negative and zero parameters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</si>
  <si>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</si>
  <si>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</si>
  <si>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</si>
  <si>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Additionally, you need to split polarise these convex and concave spot confidence methods, so that they form curves across density depression ranges where there are no sample parameters present.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</si>
  <si>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25% and 75%. A value of 50% would 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</si>
</sst>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5" borderId="28" xfId="0" applyFill="1" applyBorder="1"/>
    <xf numFmtId="0" fontId="0" fillId="5" borderId="29" xfId="0" applyFill="1" applyBorder="1"/>
    <xf numFmtId="0" fontId="0" fillId="5" borderId="30" xfId="0" applyFill="1" applyBorder="1"/>
    <xf numFmtId="0" fontId="4" fillId="5" borderId="31" xfId="0" applyFont="1" applyFill="1" applyBorder="1"/>
    <xf numFmtId="0" fontId="0" fillId="5" borderId="32" xfId="0" applyFill="1" applyBorder="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5"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6"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7"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40" xfId="0" applyNumberFormat="1" applyFont="1" applyFill="1" applyBorder="1"/>
    <xf numFmtId="2" fontId="3" fillId="3" borderId="38" xfId="0" applyNumberFormat="1" applyFont="1" applyFill="1" applyBorder="1"/>
    <xf numFmtId="2" fontId="3" fillId="3" borderId="39"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41"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0" fillId="0" borderId="35" xfId="0"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2" fillId="0" borderId="0" xfId="0" applyFont="1" applyFill="1" applyAlignment="1">
      <alignment horizontal="left" vertical="top"/>
    </xf>
    <xf numFmtId="0" fontId="0" fillId="0" borderId="42"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6" xfId="0" applyNumberFormat="1" applyBorder="1" applyAlignment="1">
      <alignment horizontal="left" vertical="top" wrapText="1"/>
    </xf>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5" xfId="0" applyNumberFormat="1" applyFont="1" applyBorder="1" applyAlignment="1">
      <alignment horizontal="left" vertical="top" wrapText="1"/>
    </xf>
    <xf numFmtId="0" fontId="0" fillId="4" borderId="15" xfId="0" applyFill="1" applyBorder="1" applyAlignment="1">
      <alignment horizontal="center" vertical="top" wrapText="1"/>
    </xf>
    <xf numFmtId="0" fontId="0" fillId="4" borderId="33" xfId="0" applyFill="1" applyBorder="1" applyAlignment="1">
      <alignment horizontal="center" vertical="top" wrapText="1"/>
    </xf>
    <xf numFmtId="0" fontId="0" fillId="4" borderId="34" xfId="0" applyFill="1" applyBorder="1" applyAlignment="1">
      <alignment horizontal="center" vertical="top" wrapText="1"/>
    </xf>
    <xf numFmtId="0" fontId="0" fillId="0" borderId="15"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0" fillId="0" borderId="33" xfId="0" applyBorder="1" applyAlignment="1">
      <alignment horizontal="center"/>
    </xf>
    <xf numFmtId="0" fontId="0" fillId="0" borderId="34" xfId="0" applyBorder="1" applyAlignment="1">
      <alignment horizontal="center"/>
    </xf>
    <xf numFmtId="0" fontId="0" fillId="4" borderId="43" xfId="0" applyFill="1" applyBorder="1" applyAlignment="1">
      <alignment horizontal="center" vertical="top" wrapText="1"/>
    </xf>
    <xf numFmtId="0" fontId="0" fillId="4" borderId="44" xfId="0" applyFill="1" applyBorder="1" applyAlignment="1">
      <alignment horizontal="center" vertical="top" wrapText="1"/>
    </xf>
    <xf numFmtId="0" fontId="0" fillId="4" borderId="45"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Michaelian_Proability_Theory!$B$25:$Q$25</c:f>
              <c:numCache>
                <c:formatCode>0.00</c:formatCode>
                <c:ptCount val="16"/>
                <c:pt idx="0">
                  <c:v>-6</c:v>
                </c:pt>
                <c:pt idx="1">
                  <c:v>-5</c:v>
                </c:pt>
                <c:pt idx="2">
                  <c:v>-4</c:v>
                </c:pt>
                <c:pt idx="3">
                  <c:v>-3</c:v>
                </c:pt>
                <c:pt idx="4">
                  <c:v>-2</c:v>
                </c:pt>
                <c:pt idx="5">
                  <c:v>-1</c:v>
                </c:pt>
                <c:pt idx="6">
                  <c:v>0</c:v>
                </c:pt>
                <c:pt idx="7">
                  <c:v>1</c:v>
                </c:pt>
                <c:pt idx="8">
                  <c:v>2</c:v>
                </c:pt>
                <c:pt idx="9">
                  <c:v>3</c:v>
                </c:pt>
                <c:pt idx="10">
                  <c:v>4</c:v>
                </c:pt>
                <c:pt idx="11">
                  <c:v>5</c:v>
                </c:pt>
                <c:pt idx="12">
                  <c:v>6</c:v>
                </c:pt>
                <c:pt idx="13">
                  <c:v>7</c:v>
                </c:pt>
                <c:pt idx="14">
                  <c:v>8</c:v>
                </c:pt>
                <c:pt idx="15">
                  <c:v>9</c:v>
                </c:pt>
              </c:numCache>
            </c:numRef>
          </c:xVal>
          <c:yVal>
            <c:numRef>
              <c:f>Michaelian_Proability_Theory!$B$36:$Q$36</c:f>
              <c:numCache>
                <c:formatCode>0.00</c:formatCode>
                <c:ptCount val="16"/>
                <c:pt idx="0">
                  <c:v>0</c:v>
                </c:pt>
                <c:pt idx="1">
                  <c:v>37.507811686367411</c:v>
                </c:pt>
                <c:pt idx="2">
                  <c:v>20.093470546268257</c:v>
                </c:pt>
                <c:pt idx="3">
                  <c:v>42.866070498705618</c:v>
                </c:pt>
                <c:pt idx="4">
                  <c:v>25.931326597982405</c:v>
                </c:pt>
                <c:pt idx="5">
                  <c:v>25.931326597982405</c:v>
                </c:pt>
                <c:pt idx="6">
                  <c:v>42.866070498705618</c:v>
                </c:pt>
                <c:pt idx="7">
                  <c:v>20.093470546268257</c:v>
                </c:pt>
                <c:pt idx="8">
                  <c:v>37.507811686367411</c:v>
                </c:pt>
                <c:pt idx="9">
                  <c:v>29.801180184671114</c:v>
                </c:pt>
                <c:pt idx="10">
                  <c:v>19.779251665297814</c:v>
                </c:pt>
                <c:pt idx="11">
                  <c:v>13.395647030845504</c:v>
                </c:pt>
                <c:pt idx="12">
                  <c:v>12.634906582180204</c:v>
                </c:pt>
                <c:pt idx="13">
                  <c:v>15.51249001843591</c:v>
                </c:pt>
                <c:pt idx="14">
                  <c:v>16.074776437014606</c:v>
                </c:pt>
                <c:pt idx="15">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39</xdr:row>
      <xdr:rowOff>4762</xdr:rowOff>
    </xdr:from>
    <xdr:to>
      <xdr:col>6</xdr:col>
      <xdr:colOff>0</xdr:colOff>
      <xdr:row>54</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8"/>
  <sheetViews>
    <sheetView tabSelected="1" zoomScale="85" zoomScaleNormal="85" workbookViewId="0"/>
  </sheetViews>
  <sheetFormatPr defaultRowHeight="15" x14ac:dyDescent="0.25"/>
  <cols>
    <col min="1" max="1" width="4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13" width="12" customWidth="1"/>
    <col min="14" max="15" width="9.7109375" bestFit="1" customWidth="1"/>
  </cols>
  <sheetData>
    <row r="1" spans="1:13" x14ac:dyDescent="0.25">
      <c r="A1" t="s">
        <v>40</v>
      </c>
    </row>
    <row r="2" spans="1:13" x14ac:dyDescent="0.25">
      <c r="A2" s="21" t="s">
        <v>47</v>
      </c>
    </row>
    <row r="3" spans="1:13" ht="15.75" thickBot="1" x14ac:dyDescent="0.3"/>
    <row r="4" spans="1:13" ht="15.75" thickBot="1" x14ac:dyDescent="0.3">
      <c r="A4" t="s">
        <v>39</v>
      </c>
      <c r="B4" s="48">
        <v>50</v>
      </c>
    </row>
    <row r="5" spans="1:13" x14ac:dyDescent="0.25">
      <c r="A5" s="21" t="s">
        <v>53</v>
      </c>
    </row>
    <row r="6" spans="1:13" ht="15.75" thickBot="1" x14ac:dyDescent="0.3"/>
    <row r="7" spans="1:13" ht="15.75" thickBot="1" x14ac:dyDescent="0.3">
      <c r="A7" s="3" t="s">
        <v>4</v>
      </c>
      <c r="B7" s="83" t="s">
        <v>9</v>
      </c>
      <c r="C7" s="84"/>
      <c r="D7" s="85"/>
      <c r="E7" s="86" t="s">
        <v>10</v>
      </c>
      <c r="F7" s="87"/>
      <c r="G7" s="88"/>
      <c r="H7" s="89" t="s">
        <v>11</v>
      </c>
      <c r="I7" s="89"/>
      <c r="J7" s="90"/>
      <c r="K7" s="10"/>
      <c r="L7" s="11"/>
      <c r="M7" s="11"/>
    </row>
    <row r="8" spans="1:13" ht="60.75" thickBot="1" x14ac:dyDescent="0.3">
      <c r="A8" s="4" t="s">
        <v>3</v>
      </c>
      <c r="B8" s="8" t="s">
        <v>12</v>
      </c>
      <c r="C8" s="9" t="s">
        <v>41</v>
      </c>
      <c r="D8" s="62" t="s">
        <v>50</v>
      </c>
      <c r="E8" s="5" t="s">
        <v>12</v>
      </c>
      <c r="F8" s="6" t="s">
        <v>41</v>
      </c>
      <c r="G8" s="56" t="s">
        <v>50</v>
      </c>
      <c r="H8" s="5" t="s">
        <v>12</v>
      </c>
      <c r="I8" s="6" t="s">
        <v>41</v>
      </c>
      <c r="J8" s="56" t="s">
        <v>50</v>
      </c>
      <c r="K8" s="10"/>
      <c r="L8" s="7"/>
      <c r="M8" s="7"/>
    </row>
    <row r="9" spans="1:13" x14ac:dyDescent="0.25">
      <c r="A9" s="17" t="s">
        <v>29</v>
      </c>
      <c r="B9" s="80">
        <v>0</v>
      </c>
      <c r="C9" s="25">
        <v>1</v>
      </c>
      <c r="D9" s="63">
        <f>(((SUMIF(B$9:B$16,"&gt;="&amp;($B9-(($B$18-$B$17)*(B$4/100))),C$9:C$16)+SUMIF(B$9:B$16,"&lt;="&amp;($B9+(($B$18-$B$17)*(B$4/100))),C$9:C$16))-(SUM(C$9:C$16)-1))*(1-(1/SUM($C$9:$C$16))))</f>
        <v>7</v>
      </c>
      <c r="E9" s="26"/>
      <c r="F9" s="27"/>
      <c r="G9" s="61"/>
      <c r="H9" s="26"/>
      <c r="I9" s="27"/>
      <c r="J9" s="27"/>
      <c r="K9" s="10"/>
      <c r="L9" s="10"/>
      <c r="M9" s="10"/>
    </row>
    <row r="10" spans="1:13" x14ac:dyDescent="0.25">
      <c r="A10" s="18" t="s">
        <v>30</v>
      </c>
      <c r="B10" s="81">
        <v>0</v>
      </c>
      <c r="C10" s="28">
        <v>1</v>
      </c>
      <c r="D10" s="32">
        <f t="shared" ref="D10:D16" si="0">(((SUMIF(B$9:B$16,"&gt;="&amp;($B10-(($B$18-$B$17)*(B$4/100))),C$9:C$16)+SUMIF(B$9:B$16,"&lt;="&amp;($B10+(($B$18-$B$17)*(B$4/100))),C$9:C$16))-(SUM(C$9:C$16)-1))*(1-(1/SUM($C$9:$C$16))))</f>
        <v>7</v>
      </c>
      <c r="E10" s="29"/>
      <c r="F10" s="30"/>
      <c r="G10" s="60"/>
      <c r="H10" s="29"/>
      <c r="I10" s="30"/>
      <c r="J10" s="30"/>
      <c r="K10" s="10"/>
      <c r="L10" s="10"/>
      <c r="M10" s="10"/>
    </row>
    <row r="11" spans="1:13" x14ac:dyDescent="0.25">
      <c r="A11" s="18" t="s">
        <v>31</v>
      </c>
      <c r="B11" s="81">
        <v>0</v>
      </c>
      <c r="C11" s="28">
        <v>1</v>
      </c>
      <c r="D11" s="32">
        <f t="shared" si="0"/>
        <v>7</v>
      </c>
      <c r="E11" s="29"/>
      <c r="F11" s="30"/>
      <c r="G11" s="60"/>
      <c r="H11" s="29"/>
      <c r="I11" s="30"/>
      <c r="J11" s="30"/>
      <c r="K11" s="10"/>
      <c r="L11" s="10"/>
      <c r="M11" s="76"/>
    </row>
    <row r="12" spans="1:13" x14ac:dyDescent="0.25">
      <c r="A12" s="18" t="s">
        <v>32</v>
      </c>
      <c r="B12" s="81">
        <v>-5</v>
      </c>
      <c r="C12" s="28">
        <v>1</v>
      </c>
      <c r="D12" s="32">
        <f t="shared" si="0"/>
        <v>6.125</v>
      </c>
      <c r="E12" s="29"/>
      <c r="F12" s="30"/>
      <c r="G12" s="60"/>
      <c r="H12" s="29"/>
      <c r="I12" s="30"/>
      <c r="J12" s="30"/>
      <c r="K12" s="10"/>
      <c r="L12" s="10"/>
      <c r="M12" s="10"/>
    </row>
    <row r="13" spans="1:13" x14ac:dyDescent="0.25">
      <c r="A13" s="18" t="s">
        <v>33</v>
      </c>
      <c r="B13" s="81">
        <v>-5</v>
      </c>
      <c r="C13" s="28">
        <v>1</v>
      </c>
      <c r="D13" s="32">
        <f t="shared" si="0"/>
        <v>6.125</v>
      </c>
      <c r="E13" s="31">
        <v>1</v>
      </c>
      <c r="F13" s="28">
        <v>1</v>
      </c>
      <c r="G13" s="32" t="s">
        <v>8</v>
      </c>
      <c r="H13" s="29"/>
      <c r="I13" s="30"/>
      <c r="J13" s="30"/>
      <c r="K13" s="10"/>
      <c r="L13" s="10"/>
      <c r="M13" s="10"/>
    </row>
    <row r="14" spans="1:13" x14ac:dyDescent="0.25">
      <c r="A14" s="18" t="s">
        <v>34</v>
      </c>
      <c r="B14" s="81">
        <v>-3</v>
      </c>
      <c r="C14" s="28">
        <v>1</v>
      </c>
      <c r="D14" s="32">
        <f t="shared" si="0"/>
        <v>7</v>
      </c>
      <c r="E14" s="31">
        <v>3</v>
      </c>
      <c r="F14" s="28">
        <v>1</v>
      </c>
      <c r="G14" s="32" t="s">
        <v>8</v>
      </c>
      <c r="H14" s="31">
        <v>1</v>
      </c>
      <c r="I14" s="28">
        <v>1</v>
      </c>
      <c r="J14" s="28" t="s">
        <v>8</v>
      </c>
      <c r="K14" s="10"/>
      <c r="L14" s="10"/>
      <c r="M14" s="10"/>
    </row>
    <row r="15" spans="1:13" x14ac:dyDescent="0.25">
      <c r="A15" s="18" t="s">
        <v>35</v>
      </c>
      <c r="B15" s="81">
        <v>2</v>
      </c>
      <c r="C15" s="28">
        <v>1</v>
      </c>
      <c r="D15" s="32">
        <f t="shared" si="0"/>
        <v>6.125</v>
      </c>
      <c r="E15" s="31">
        <v>5</v>
      </c>
      <c r="F15" s="28">
        <v>1</v>
      </c>
      <c r="G15" s="32" t="s">
        <v>8</v>
      </c>
      <c r="H15" s="31">
        <v>5</v>
      </c>
      <c r="I15" s="28">
        <v>1</v>
      </c>
      <c r="J15" s="28" t="s">
        <v>8</v>
      </c>
      <c r="K15" s="10"/>
      <c r="L15" s="10"/>
      <c r="M15" s="10"/>
    </row>
    <row r="16" spans="1:13" ht="15.75" thickBot="1" x14ac:dyDescent="0.3">
      <c r="A16" s="19" t="s">
        <v>36</v>
      </c>
      <c r="B16" s="82">
        <v>8</v>
      </c>
      <c r="C16" s="33">
        <v>1</v>
      </c>
      <c r="D16" s="64">
        <f t="shared" si="0"/>
        <v>2.625</v>
      </c>
      <c r="E16" s="34">
        <v>7</v>
      </c>
      <c r="F16" s="35">
        <v>1</v>
      </c>
      <c r="G16" s="36" t="s">
        <v>8</v>
      </c>
      <c r="H16" s="34">
        <v>9</v>
      </c>
      <c r="I16" s="35">
        <v>1</v>
      </c>
      <c r="J16" s="35" t="s">
        <v>8</v>
      </c>
      <c r="K16" s="10"/>
      <c r="L16" s="10"/>
      <c r="M16" s="10"/>
    </row>
    <row r="17" spans="1:17" x14ac:dyDescent="0.25">
      <c r="A17" s="73" t="s">
        <v>1</v>
      </c>
      <c r="B17" s="37">
        <f>MIN($B$9,$B$10,$B$11,$B$12,$B$13,$B$14,$B$15,$B$16)</f>
        <v>-5</v>
      </c>
      <c r="C17" s="38"/>
      <c r="D17" s="57"/>
      <c r="E17" s="39">
        <f>MIN($E$13,$E$14,$E$15,$E$16)</f>
        <v>1</v>
      </c>
      <c r="F17" s="40"/>
      <c r="G17" s="41"/>
      <c r="H17" s="53">
        <f>MIN($H$14,$H$15,$H$16)</f>
        <v>1</v>
      </c>
      <c r="I17" s="40"/>
      <c r="J17" s="41"/>
      <c r="K17" s="10"/>
      <c r="L17" s="10"/>
      <c r="M17" s="10"/>
    </row>
    <row r="18" spans="1:17" x14ac:dyDescent="0.25">
      <c r="A18" s="74" t="s">
        <v>2</v>
      </c>
      <c r="B18" s="42">
        <f>MAX($B$9,$B$10,$B$11,$B$12,$B$13,$B$14,$B$15,$B$16)</f>
        <v>8</v>
      </c>
      <c r="C18" s="43"/>
      <c r="D18" s="58"/>
      <c r="E18" s="42">
        <f>MAX($E$13,$E$14,$E$15,$E$16)</f>
        <v>7</v>
      </c>
      <c r="F18" s="43"/>
      <c r="G18" s="44"/>
      <c r="H18" s="54">
        <f>MAX($H$14,$H$15,$H$16)</f>
        <v>9</v>
      </c>
      <c r="I18" s="43"/>
      <c r="J18" s="44"/>
      <c r="K18" s="10"/>
      <c r="L18" s="10"/>
      <c r="M18" s="10"/>
    </row>
    <row r="19" spans="1:17" x14ac:dyDescent="0.25">
      <c r="A19" s="74" t="s">
        <v>0</v>
      </c>
      <c r="B19" s="42">
        <f>((SUM($B$9:$B$16)-(($B$17-1)*SUM($C$9:$C$16)))/SUM($C$9:$C$16))</f>
        <v>5.625</v>
      </c>
      <c r="C19" s="43"/>
      <c r="D19" s="58"/>
      <c r="E19" s="42">
        <f>((SUM($E$9:$E$16)-(($E$17-1)*SUM($F$9:$F$16)))/SUM($F$9:$F$16))</f>
        <v>4</v>
      </c>
      <c r="F19" s="43"/>
      <c r="G19" s="44"/>
      <c r="H19" s="54">
        <f>((SUM($H$9:$H$16)-(($H$17-1)*SUM($I$9:$I$16)))/SUM($I$9:$I$16))</f>
        <v>5</v>
      </c>
      <c r="I19" s="43"/>
      <c r="J19" s="44"/>
      <c r="K19" s="10"/>
      <c r="L19" s="10"/>
      <c r="M19" s="10"/>
    </row>
    <row r="20" spans="1:17" x14ac:dyDescent="0.25">
      <c r="A20" s="74" t="s">
        <v>6</v>
      </c>
      <c r="B20" s="42">
        <f>(((SQRT((($B$9-($B$17-1))-$B$19)^2)+SQRT((($B$10-($B$17-1))-$B$19)^2)+SQRT((($B$11-($B$17-1))-$B$19)^2)+SQRT((($B$12-($B$17-1))-$B$19)^2)+SQRT((($B$13-($B$17-1))-$B$19)^2)+SQRT((($B$14-($B$17-1))-$B$19)^2)+SQRT((($B$15-($B$17-1))-$B$19)^2)+SQRT((($B$16-($B$17-1))-$B$19)^2))/SUM($C$9:$C$16))*100)</f>
        <v>296.875</v>
      </c>
      <c r="C20" s="43"/>
      <c r="D20" s="58"/>
      <c r="E20" s="42">
        <f>(((SQRT((($E$13-($E$17-1))-$E$19)^2)+SQRT((($E$14-($E$17-1))-$E$19)^2)+SQRT((($E$15-($E$17-1))-$E$19)^2)+SQRT((($E$16-($E$17-1))-$E$19)^2))/SUM($F$9:$F$16))*100)</f>
        <v>200</v>
      </c>
      <c r="F20" s="43"/>
      <c r="G20" s="44"/>
      <c r="H20" s="54">
        <f>(((SQRT((($H$14-($H$17-1))-$H$19)^2)+SQRT((($H$15-($H$17-1))-$H$19)^2)+SQRT((($H$16-($H$17-1))-$H$19)^2))/SUM($I$9:$I$16))*100)</f>
        <v>266.66666666666663</v>
      </c>
      <c r="I20" s="43"/>
      <c r="J20" s="44"/>
      <c r="K20" s="10"/>
      <c r="L20" s="10"/>
      <c r="M20" s="10"/>
    </row>
    <row r="21" spans="1:17" ht="15.75" thickBot="1" x14ac:dyDescent="0.3">
      <c r="A21" s="75" t="s">
        <v>46</v>
      </c>
      <c r="B21" s="45">
        <f>(((B$20*(SUM($F$9:$F$16)+SUM($I$9:$I$16)))/SUM($C$9:$C$16))/SUM($I$9:$I$16))</f>
        <v>86.588541666666671</v>
      </c>
      <c r="C21" s="46"/>
      <c r="D21" s="59"/>
      <c r="E21" s="45">
        <f>(((E$20*(SUM($C$9:$C$16)+SUM($I$9:$I$16)))/SUM($F$9:$F$16))/SUM($I$9:$I$16))</f>
        <v>183.33333333333334</v>
      </c>
      <c r="F21" s="46"/>
      <c r="G21" s="47"/>
      <c r="H21" s="55">
        <f>(((H$20*(SUM($C$9:$C$16)+SUM($F$9:$F$16)))/SUM($I$9:$I$16))/SUM($I$9:$I$16))</f>
        <v>355.55555555555549</v>
      </c>
      <c r="I21" s="46"/>
      <c r="J21" s="47"/>
      <c r="K21" s="10"/>
      <c r="L21" s="10"/>
      <c r="M21" s="10"/>
    </row>
    <row r="22" spans="1:17" x14ac:dyDescent="0.25">
      <c r="A22" s="22" t="s">
        <v>51</v>
      </c>
      <c r="B22" s="3"/>
      <c r="C22" s="3"/>
      <c r="D22" s="3"/>
      <c r="E22" s="3"/>
      <c r="F22" s="1"/>
    </row>
    <row r="23" spans="1:17" ht="15.75" thickBot="1" x14ac:dyDescent="0.3">
      <c r="A23" s="3"/>
      <c r="B23" s="3"/>
      <c r="C23" s="3"/>
      <c r="D23" s="3"/>
      <c r="E23" s="3"/>
      <c r="F23" s="1"/>
    </row>
    <row r="24" spans="1:17" ht="15.75" thickBot="1" x14ac:dyDescent="0.3">
      <c r="A24" s="3" t="s">
        <v>5</v>
      </c>
      <c r="B24" s="91" t="s">
        <v>9</v>
      </c>
      <c r="C24" s="92"/>
      <c r="D24" s="92"/>
      <c r="E24" s="92"/>
      <c r="F24" s="92"/>
      <c r="G24" s="92"/>
      <c r="H24" s="92"/>
      <c r="I24" s="92"/>
      <c r="J24" s="92"/>
      <c r="K24" s="92"/>
      <c r="L24" s="92"/>
      <c r="M24" s="92"/>
      <c r="N24" s="92"/>
      <c r="O24" s="92"/>
      <c r="P24" s="92"/>
      <c r="Q24" s="93"/>
    </row>
    <row r="25" spans="1:17" ht="15.75" thickBot="1" x14ac:dyDescent="0.3">
      <c r="A25" s="65" t="s">
        <v>7</v>
      </c>
      <c r="B25" s="77">
        <v>-6</v>
      </c>
      <c r="C25" s="78">
        <v>-5</v>
      </c>
      <c r="D25" s="78">
        <v>-4</v>
      </c>
      <c r="E25" s="78">
        <v>-3</v>
      </c>
      <c r="F25" s="78">
        <v>-2</v>
      </c>
      <c r="G25" s="78">
        <v>-1</v>
      </c>
      <c r="H25" s="78">
        <v>0</v>
      </c>
      <c r="I25" s="78">
        <v>1</v>
      </c>
      <c r="J25" s="78">
        <v>2</v>
      </c>
      <c r="K25" s="78">
        <v>3</v>
      </c>
      <c r="L25" s="78">
        <v>4</v>
      </c>
      <c r="M25" s="78">
        <v>5</v>
      </c>
      <c r="N25" s="78">
        <v>6</v>
      </c>
      <c r="O25" s="78">
        <v>7</v>
      </c>
      <c r="P25" s="78">
        <v>8</v>
      </c>
      <c r="Q25" s="79">
        <v>9</v>
      </c>
    </row>
    <row r="26" spans="1:17" x14ac:dyDescent="0.25">
      <c r="A26" s="70" t="s">
        <v>14</v>
      </c>
      <c r="B26" s="66" t="str">
        <f t="shared" ref="B26:O26" si="1">(IF(B$25&gt;$B$18,"OOR",IF(B$25&lt;$B$17,"OOR",LARGE($B$9:$B$16,COUNTIF($B$9:$B$16,"&gt;"&amp;B$25)+1))))</f>
        <v>OOR</v>
      </c>
      <c r="C26" s="67">
        <f t="shared" si="1"/>
        <v>-5</v>
      </c>
      <c r="D26" s="67">
        <f t="shared" si="1"/>
        <v>-5</v>
      </c>
      <c r="E26" s="67">
        <f t="shared" si="1"/>
        <v>-3</v>
      </c>
      <c r="F26" s="67">
        <f t="shared" si="1"/>
        <v>-3</v>
      </c>
      <c r="G26" s="67">
        <f t="shared" si="1"/>
        <v>-3</v>
      </c>
      <c r="H26" s="67">
        <f t="shared" si="1"/>
        <v>0</v>
      </c>
      <c r="I26" s="67">
        <f t="shared" si="1"/>
        <v>0</v>
      </c>
      <c r="J26" s="67">
        <f t="shared" si="1"/>
        <v>2</v>
      </c>
      <c r="K26" s="67">
        <f t="shared" si="1"/>
        <v>2</v>
      </c>
      <c r="L26" s="67">
        <f t="shared" si="1"/>
        <v>2</v>
      </c>
      <c r="M26" s="67">
        <f t="shared" si="1"/>
        <v>2</v>
      </c>
      <c r="N26" s="67">
        <f t="shared" si="1"/>
        <v>2</v>
      </c>
      <c r="O26" s="67">
        <f t="shared" si="1"/>
        <v>2</v>
      </c>
      <c r="P26" s="67">
        <f t="shared" ref="P26:Q26" si="2">(IF(P$25&gt;$B$18,"OOR",IF(P$25&lt;$B$17,"OOR",LARGE($B$9:$B$16,COUNTIF($B$9:$B$16,"&gt;"&amp;P$25)+1))))</f>
        <v>8</v>
      </c>
      <c r="Q26" s="68" t="str">
        <f t="shared" si="2"/>
        <v>OOR</v>
      </c>
    </row>
    <row r="27" spans="1:17" x14ac:dyDescent="0.25">
      <c r="A27" s="71" t="s">
        <v>13</v>
      </c>
      <c r="B27" s="23" t="str">
        <f t="shared" ref="B27:O27" si="3">(IF(B$25&gt;$B$18,"OOR",IF(B$25&lt;$B$17,"OOR",SMALL($B$9:$B$16,COUNTIF($B$9:$B$16,"&lt;"&amp;B$25)+1))))</f>
        <v>OOR</v>
      </c>
      <c r="C27" s="49">
        <f t="shared" si="3"/>
        <v>-5</v>
      </c>
      <c r="D27" s="49">
        <f t="shared" si="3"/>
        <v>-3</v>
      </c>
      <c r="E27" s="49">
        <f t="shared" si="3"/>
        <v>-3</v>
      </c>
      <c r="F27" s="49">
        <f t="shared" si="3"/>
        <v>0</v>
      </c>
      <c r="G27" s="49">
        <f t="shared" si="3"/>
        <v>0</v>
      </c>
      <c r="H27" s="49">
        <f t="shared" si="3"/>
        <v>0</v>
      </c>
      <c r="I27" s="49">
        <f t="shared" si="3"/>
        <v>2</v>
      </c>
      <c r="J27" s="49">
        <f t="shared" si="3"/>
        <v>2</v>
      </c>
      <c r="K27" s="49">
        <f t="shared" si="3"/>
        <v>8</v>
      </c>
      <c r="L27" s="49">
        <f t="shared" si="3"/>
        <v>8</v>
      </c>
      <c r="M27" s="49">
        <f t="shared" si="3"/>
        <v>8</v>
      </c>
      <c r="N27" s="49">
        <f t="shared" si="3"/>
        <v>8</v>
      </c>
      <c r="O27" s="49">
        <f t="shared" si="3"/>
        <v>8</v>
      </c>
      <c r="P27" s="49">
        <f t="shared" ref="P27:Q27" si="4">(IF(P$25&gt;$B$18,"OOR",IF(P$25&lt;$B$17,"OOR",SMALL($B$9:$B$16,COUNTIF($B$9:$B$16,"&lt;"&amp;P$25)+1))))</f>
        <v>8</v>
      </c>
      <c r="Q27" s="50" t="str">
        <f t="shared" si="4"/>
        <v>OOR</v>
      </c>
    </row>
    <row r="28" spans="1:17" x14ac:dyDescent="0.25">
      <c r="A28" s="71" t="s">
        <v>24</v>
      </c>
      <c r="B28" s="23">
        <f t="shared" ref="B28:O28" si="5">(SQRT((IF(B$25&gt;$B$18,0,IF(B$25&lt;$B$17,0,(50-(100/SUM($C$9:$C$16)))))*(IF(ISNUMBER(B$26),(VLOOKUP(B$26,$B$9:$D$16,3,FALSE)*IF(B$27=B$26,1,((B$25-B$26)/(B$27-B$26)))),0))^2))/(SUM($C$9:$C$16)/8))</f>
        <v>0</v>
      </c>
      <c r="C28" s="49">
        <f t="shared" si="5"/>
        <v>37.507811686367411</v>
      </c>
      <c r="D28" s="49">
        <f t="shared" si="5"/>
        <v>18.753905843183706</v>
      </c>
      <c r="E28" s="49">
        <f t="shared" si="5"/>
        <v>42.866070498705618</v>
      </c>
      <c r="F28" s="49">
        <f t="shared" si="5"/>
        <v>14.288690166235202</v>
      </c>
      <c r="G28" s="49">
        <f t="shared" si="5"/>
        <v>28.577380332470405</v>
      </c>
      <c r="H28" s="49">
        <f t="shared" si="5"/>
        <v>42.866070498705618</v>
      </c>
      <c r="I28" s="49">
        <f t="shared" si="5"/>
        <v>21.433035249352809</v>
      </c>
      <c r="J28" s="49">
        <f t="shared" si="5"/>
        <v>37.507811686367411</v>
      </c>
      <c r="K28" s="49">
        <f t="shared" si="5"/>
        <v>6.2513019477279013</v>
      </c>
      <c r="L28" s="49">
        <f t="shared" si="5"/>
        <v>12.502603895455803</v>
      </c>
      <c r="M28" s="49">
        <f t="shared" si="5"/>
        <v>18.753905843183706</v>
      </c>
      <c r="N28" s="49">
        <f t="shared" si="5"/>
        <v>25.005207790911605</v>
      </c>
      <c r="O28" s="49">
        <f t="shared" si="5"/>
        <v>31.256509738639512</v>
      </c>
      <c r="P28" s="49">
        <f t="shared" ref="P28:Q28" si="6">(SQRT((IF(P$25&gt;$B$18,0,IF(P$25&lt;$B$17,0,(50-(100/SUM($C$9:$C$16)))))*(IF(ISNUMBER(P$26),(VLOOKUP(P$26,$B$9:$D$16,3,FALSE)*IF(P$27=P$26,1,((P$25-P$26)/(P$27-P$26)))),0))^2))/(SUM($C$9:$C$16)/8))</f>
        <v>16.074776437014606</v>
      </c>
      <c r="Q28" s="50">
        <f t="shared" si="6"/>
        <v>0</v>
      </c>
    </row>
    <row r="29" spans="1:17" x14ac:dyDescent="0.25">
      <c r="A29" s="71" t="s">
        <v>26</v>
      </c>
      <c r="B29" s="23">
        <f t="shared" ref="B29:O29" si="7">(SQRT((IF(B$25&gt;$B$18,0,IF(B$25&lt;$B$17,0,(50-((100/SUM($C$9:$C$16))))))*(IF(ISNUMBER(B$26),(VLOOKUP(B$27,$B$9:$D$16,3,FALSE)*IF(B$27=B$26,1,((B$25-B$26)/(B$27-B$26)))),0))^2))/(SUM($C$9:$C$16)/8))</f>
        <v>0</v>
      </c>
      <c r="C29" s="49">
        <f t="shared" si="7"/>
        <v>37.507811686367411</v>
      </c>
      <c r="D29" s="49">
        <f t="shared" si="7"/>
        <v>21.433035249352809</v>
      </c>
      <c r="E29" s="49">
        <f t="shared" si="7"/>
        <v>42.866070498705618</v>
      </c>
      <c r="F29" s="49">
        <f t="shared" si="7"/>
        <v>14.288690166235202</v>
      </c>
      <c r="G29" s="49">
        <f t="shared" si="7"/>
        <v>28.577380332470405</v>
      </c>
      <c r="H29" s="49">
        <f t="shared" si="7"/>
        <v>42.866070498705618</v>
      </c>
      <c r="I29" s="49">
        <f t="shared" si="7"/>
        <v>18.753905843183706</v>
      </c>
      <c r="J29" s="49">
        <f t="shared" si="7"/>
        <v>37.507811686367411</v>
      </c>
      <c r="K29" s="49">
        <f t="shared" si="7"/>
        <v>2.6791294061691011</v>
      </c>
      <c r="L29" s="49">
        <f t="shared" si="7"/>
        <v>5.3582588123382022</v>
      </c>
      <c r="M29" s="49">
        <f t="shared" si="7"/>
        <v>8.0373882185073029</v>
      </c>
      <c r="N29" s="49">
        <f t="shared" si="7"/>
        <v>10.716517624676404</v>
      </c>
      <c r="O29" s="49">
        <f t="shared" si="7"/>
        <v>13.395647030845506</v>
      </c>
      <c r="P29" s="49">
        <f t="shared" ref="P29:Q29" si="8">(SQRT((IF(P$25&gt;$B$18,0,IF(P$25&lt;$B$17,0,(50-((100/SUM($C$9:$C$16))))))*(IF(ISNUMBER(P$26),(VLOOKUP(P$27,$B$9:$D$16,3,FALSE)*IF(P$27=P$26,1,((P$25-P$26)/(P$27-P$26)))),0))^2))/(SUM($C$9:$C$16)/8))</f>
        <v>16.074776437014606</v>
      </c>
      <c r="Q29" s="50">
        <f t="shared" si="8"/>
        <v>0</v>
      </c>
    </row>
    <row r="30" spans="1:17" x14ac:dyDescent="0.25">
      <c r="A30" s="71" t="s">
        <v>25</v>
      </c>
      <c r="B30" s="23">
        <f t="shared" ref="B30:O30" si="9">(SQRT((IF(B$25&gt;$B$18,0,IF(B$25&lt;$B$17,0,(50-((100/SUM($C$9:$C$16))))))*(IF(ISNUMBER(B$26),(VLOOKUP(B$26,$B$9:$D$16,3,FALSE)*IF(B$27=B$26,1,((B$27-B$25)/(B$27-B$26)))),0))^2))/(SUM($C$9:$C$16)/8))</f>
        <v>0</v>
      </c>
      <c r="C30" s="49">
        <f t="shared" si="9"/>
        <v>37.507811686367411</v>
      </c>
      <c r="D30" s="49">
        <f t="shared" si="9"/>
        <v>18.753905843183706</v>
      </c>
      <c r="E30" s="49">
        <f t="shared" si="9"/>
        <v>42.866070498705618</v>
      </c>
      <c r="F30" s="49">
        <f t="shared" si="9"/>
        <v>28.577380332470405</v>
      </c>
      <c r="G30" s="49">
        <f t="shared" si="9"/>
        <v>14.288690166235202</v>
      </c>
      <c r="H30" s="49">
        <f t="shared" si="9"/>
        <v>42.866070498705618</v>
      </c>
      <c r="I30" s="49">
        <f t="shared" si="9"/>
        <v>21.433035249352809</v>
      </c>
      <c r="J30" s="49">
        <f t="shared" si="9"/>
        <v>37.507811686367411</v>
      </c>
      <c r="K30" s="49">
        <f t="shared" si="9"/>
        <v>31.256509738639512</v>
      </c>
      <c r="L30" s="49">
        <f t="shared" si="9"/>
        <v>25.005207790911605</v>
      </c>
      <c r="M30" s="49">
        <f t="shared" si="9"/>
        <v>18.753905843183706</v>
      </c>
      <c r="N30" s="49">
        <f t="shared" si="9"/>
        <v>12.502603895455803</v>
      </c>
      <c r="O30" s="49">
        <f t="shared" si="9"/>
        <v>6.2513019477279013</v>
      </c>
      <c r="P30" s="49">
        <f t="shared" ref="P30:Q30" si="10">(SQRT((IF(P$25&gt;$B$18,0,IF(P$25&lt;$B$17,0,(50-((100/SUM($C$9:$C$16))))))*(IF(ISNUMBER(P$26),(VLOOKUP(P$26,$B$9:$D$16,3,FALSE)*IF(P$27=P$26,1,((P$27-P$25)/(P$27-P$26)))),0))^2))/(SUM($C$9:$C$16)/8))</f>
        <v>16.074776437014606</v>
      </c>
      <c r="Q30" s="50">
        <f t="shared" si="10"/>
        <v>0</v>
      </c>
    </row>
    <row r="31" spans="1:17" x14ac:dyDescent="0.25">
      <c r="A31" s="71" t="s">
        <v>27</v>
      </c>
      <c r="B31" s="23">
        <f t="shared" ref="B31:O31" si="11">(SQRT((IF(B$25&gt;$B$18,0,IF(B$25&lt;$B$17,0,(50-((100/SUM($C$9:$C$16))))))*(IF(ISNUMBER(B$26),(VLOOKUP(B$27,$B$9:$D$16,3,FALSE)*IF(B$27=B$26,1,((B$27-B$25)/(B$27-B$26)))),0))^2))/(SUM($C$9:$C$16)/8))</f>
        <v>0</v>
      </c>
      <c r="C31" s="49">
        <f t="shared" si="11"/>
        <v>37.507811686367411</v>
      </c>
      <c r="D31" s="49">
        <f t="shared" si="11"/>
        <v>21.433035249352809</v>
      </c>
      <c r="E31" s="49">
        <f t="shared" si="11"/>
        <v>42.866070498705618</v>
      </c>
      <c r="F31" s="49">
        <f t="shared" si="11"/>
        <v>28.577380332470405</v>
      </c>
      <c r="G31" s="49">
        <f t="shared" si="11"/>
        <v>14.288690166235202</v>
      </c>
      <c r="H31" s="49">
        <f t="shared" si="11"/>
        <v>42.866070498705618</v>
      </c>
      <c r="I31" s="49">
        <f t="shared" si="11"/>
        <v>18.753905843183706</v>
      </c>
      <c r="J31" s="49">
        <f t="shared" si="11"/>
        <v>37.507811686367411</v>
      </c>
      <c r="K31" s="49">
        <f t="shared" si="11"/>
        <v>13.395647030845506</v>
      </c>
      <c r="L31" s="49">
        <f t="shared" si="11"/>
        <v>10.716517624676404</v>
      </c>
      <c r="M31" s="49">
        <f t="shared" si="11"/>
        <v>8.0373882185073029</v>
      </c>
      <c r="N31" s="49">
        <f t="shared" si="11"/>
        <v>5.3582588123382022</v>
      </c>
      <c r="O31" s="49">
        <f t="shared" si="11"/>
        <v>2.6791294061691011</v>
      </c>
      <c r="P31" s="49">
        <f t="shared" ref="P31:Q31" si="12">(SQRT((IF(P$25&gt;$B$18,0,IF(P$25&lt;$B$17,0,(50-((100/SUM($C$9:$C$16))))))*(IF(ISNUMBER(P$26),(VLOOKUP(P$27,$B$9:$D$16,3,FALSE)*IF(P$27=P$26,1,((P$27-P$25)/(P$27-P$26)))),0))^2))/(SUM($C$9:$C$16)/8))</f>
        <v>16.074776437014606</v>
      </c>
      <c r="Q31" s="50">
        <f t="shared" si="12"/>
        <v>0</v>
      </c>
    </row>
    <row r="32" spans="1:17" x14ac:dyDescent="0.25">
      <c r="A32" s="71" t="s">
        <v>28</v>
      </c>
      <c r="B32" s="23">
        <f>(IF(ISNUMBER(B$26),IF(B$26=B$27,B$28,(((B$28*(1-((B$25-B$26)/(B$27-B$26))))*((B$27-B$25)/(B$27-B$26)))+((B$29*(1-((B$27-B$25)/(B$27-B$26))))*((B$25-B$26)/(B$27-B$26)))+((B$30*(1-((B$25-B$26)/(B$27-B$26))))*((B$27-B$25)/(B$27-B$26)))+((B$31*(1-((B$27-B$25)/(B$27-B$26))))*((B$25-B$26)/(B$27-B$26))))),0))</f>
        <v>0</v>
      </c>
      <c r="C32" s="49">
        <f t="shared" ref="C32:Q32" si="13">(IF(ISNUMBER(C$26),IF(C$26=C$27,C$28,(((C$28*(1-((C$25-C$26)/(C$27-C$26))))*((C$27-C$25)/(C$27-C$26)))+((C$29*(1-((C$27-C$25)/(C$27-C$26))))*((C$25-C$26)/(C$27-C$26)))+((C$30*(1-((C$25-C$26)/(C$27-C$26))))*((C$27-C$25)/(C$27-C$26)))+((C$31*(1-((C$27-C$25)/(C$27-C$26))))*((C$25-C$26)/(C$27-C$26))))),0))</f>
        <v>37.507811686367411</v>
      </c>
      <c r="D32" s="49">
        <f t="shared" si="13"/>
        <v>20.093470546268257</v>
      </c>
      <c r="E32" s="49">
        <f t="shared" si="13"/>
        <v>42.866070498705618</v>
      </c>
      <c r="F32" s="49">
        <f t="shared" si="13"/>
        <v>23.814483610392003</v>
      </c>
      <c r="G32" s="49">
        <f t="shared" si="13"/>
        <v>23.814483610392003</v>
      </c>
      <c r="H32" s="49">
        <f t="shared" si="13"/>
        <v>42.866070498705618</v>
      </c>
      <c r="I32" s="49">
        <f t="shared" si="13"/>
        <v>20.093470546268257</v>
      </c>
      <c r="J32" s="49">
        <f t="shared" si="13"/>
        <v>37.507811686367411</v>
      </c>
      <c r="K32" s="49">
        <f t="shared" si="13"/>
        <v>26.493613016561113</v>
      </c>
      <c r="L32" s="49">
        <f t="shared" si="13"/>
        <v>18.45622479805381</v>
      </c>
      <c r="M32" s="49">
        <f t="shared" si="13"/>
        <v>13.395647030845504</v>
      </c>
      <c r="N32" s="49">
        <f t="shared" si="13"/>
        <v>11.311879714936204</v>
      </c>
      <c r="O32" s="49">
        <f t="shared" si="13"/>
        <v>12.204922850325907</v>
      </c>
      <c r="P32" s="49">
        <f t="shared" si="13"/>
        <v>16.074776437014606</v>
      </c>
      <c r="Q32" s="50">
        <f t="shared" si="13"/>
        <v>0</v>
      </c>
    </row>
    <row r="33" spans="1:17" x14ac:dyDescent="0.25">
      <c r="A33" s="71" t="s">
        <v>38</v>
      </c>
      <c r="B33" s="23">
        <f>(IF(ISNUMBER(B$26),IF(B$26=B$27,0,(((B$28*((B$25-B$26)/(B$27-B$26)))*((B$27-B$25)/(B$27-B$26)))+((B$29*((B$27-B$25)/(B$27-B$26)))*((B$25-B$26)/(B$27-B$26)))+((B$30*((B$25-B$26)/(B$27-B$26)))*((B$27-B$25)/(B$27-B$26)))+((B$31*((B$27-B$25)/(B$27-B$26)))*((B$25-B$26)/(B$27-B$26))))),0))</f>
        <v>0</v>
      </c>
      <c r="C33" s="49">
        <f t="shared" ref="C33:Q33" si="14">(IF(ISNUMBER(C$26),IF(C$26=C$27,0,(((C$28*((C$25-C$26)/(C$27-C$26)))*((C$27-C$25)/(C$27-C$26)))+((C$29*((C$27-C$25)/(C$27-C$26)))*((C$25-C$26)/(C$27-C$26)))+((C$30*((C$25-C$26)/(C$27-C$26)))*((C$27-C$25)/(C$27-C$26)))+((C$31*((C$27-C$25)/(C$27-C$26)))*((C$25-C$26)/(C$27-C$26))))),0))</f>
        <v>0</v>
      </c>
      <c r="D33" s="49">
        <f t="shared" si="14"/>
        <v>20.093470546268257</v>
      </c>
      <c r="E33" s="49">
        <f t="shared" si="14"/>
        <v>0</v>
      </c>
      <c r="F33" s="49">
        <f t="shared" si="14"/>
        <v>19.051586888313601</v>
      </c>
      <c r="G33" s="49">
        <f t="shared" si="14"/>
        <v>19.051586888313601</v>
      </c>
      <c r="H33" s="49">
        <f t="shared" si="14"/>
        <v>0</v>
      </c>
      <c r="I33" s="49">
        <f t="shared" si="14"/>
        <v>20.093470546268257</v>
      </c>
      <c r="J33" s="49">
        <f t="shared" si="14"/>
        <v>0</v>
      </c>
      <c r="K33" s="49">
        <f t="shared" si="14"/>
        <v>7.4420261282475035</v>
      </c>
      <c r="L33" s="49">
        <f t="shared" si="14"/>
        <v>11.907241805196003</v>
      </c>
      <c r="M33" s="49">
        <f t="shared" si="14"/>
        <v>13.395647030845504</v>
      </c>
      <c r="N33" s="49">
        <f t="shared" si="14"/>
        <v>11.907241805196003</v>
      </c>
      <c r="O33" s="49">
        <f t="shared" si="14"/>
        <v>7.4420261282475018</v>
      </c>
      <c r="P33" s="49">
        <f t="shared" si="14"/>
        <v>0</v>
      </c>
      <c r="Q33" s="50">
        <f t="shared" si="14"/>
        <v>0</v>
      </c>
    </row>
    <row r="34" spans="1:17" x14ac:dyDescent="0.25">
      <c r="A34" s="71" t="s">
        <v>37</v>
      </c>
      <c r="B34" s="23">
        <f>(IF(ISNUMBER(B$26),(((IF(B$26=B$27, 1, IF(B$25&lt;=((B$26+(B$27-B$26)/2)), (1-(SQRT(((B$25-B$26)/(B$27-B$26))^2))), (SQRT(((B$25-B$26)/(B$27-B$26))^2)))))-0.5)*2),0))</f>
        <v>0</v>
      </c>
      <c r="C34" s="49">
        <f t="shared" ref="C34:Q34" si="15">(IF(ISNUMBER(C$26),(((IF(C$26=C$27, 1, IF(C$25&lt;=((C$26+(C$27-C$26)/2)), (1-(SQRT(((C$25-C$26)/(C$27-C$26))^2))), (SQRT(((C$25-C$26)/(C$27-C$26))^2)))))-0.5)*2),0))</f>
        <v>1</v>
      </c>
      <c r="D34" s="49">
        <f t="shared" si="15"/>
        <v>0</v>
      </c>
      <c r="E34" s="49">
        <f t="shared" si="15"/>
        <v>1</v>
      </c>
      <c r="F34" s="49">
        <f t="shared" si="15"/>
        <v>0.33333333333333348</v>
      </c>
      <c r="G34" s="49">
        <f t="shared" si="15"/>
        <v>0.33333333333333326</v>
      </c>
      <c r="H34" s="49">
        <f t="shared" si="15"/>
        <v>1</v>
      </c>
      <c r="I34" s="49">
        <f t="shared" si="15"/>
        <v>0</v>
      </c>
      <c r="J34" s="49">
        <f t="shared" si="15"/>
        <v>1</v>
      </c>
      <c r="K34" s="49">
        <f t="shared" si="15"/>
        <v>0.66666666666666674</v>
      </c>
      <c r="L34" s="49">
        <f t="shared" si="15"/>
        <v>0.33333333333333348</v>
      </c>
      <c r="M34" s="49">
        <f t="shared" si="15"/>
        <v>0</v>
      </c>
      <c r="N34" s="49">
        <f t="shared" si="15"/>
        <v>0.33333333333333326</v>
      </c>
      <c r="O34" s="49">
        <f t="shared" si="15"/>
        <v>0.66666666666666674</v>
      </c>
      <c r="P34" s="49">
        <f t="shared" si="15"/>
        <v>1</v>
      </c>
      <c r="Q34" s="50">
        <f t="shared" si="15"/>
        <v>0</v>
      </c>
    </row>
    <row r="35" spans="1:17" x14ac:dyDescent="0.25">
      <c r="A35" s="71" t="s">
        <v>42</v>
      </c>
      <c r="B35" s="23">
        <f>IF(B$26="OOR",0,((B$32*(1-B$34))+((B$32+(B$33*B34))*B$34)))</f>
        <v>0</v>
      </c>
      <c r="C35" s="49">
        <f t="shared" ref="C35:O35" si="16">IF(C$26="OOR",0,((C$32*(1-C$34))+((C$32+(C$33*C34))*C$34)))</f>
        <v>37.507811686367411</v>
      </c>
      <c r="D35" s="49">
        <f t="shared" si="16"/>
        <v>20.093470546268257</v>
      </c>
      <c r="E35" s="49">
        <f t="shared" si="16"/>
        <v>42.866070498705618</v>
      </c>
      <c r="F35" s="49">
        <f t="shared" si="16"/>
        <v>25.931326597982405</v>
      </c>
      <c r="G35" s="49">
        <f t="shared" si="16"/>
        <v>25.931326597982405</v>
      </c>
      <c r="H35" s="49">
        <f t="shared" si="16"/>
        <v>42.866070498705618</v>
      </c>
      <c r="I35" s="49">
        <f t="shared" si="16"/>
        <v>20.093470546268257</v>
      </c>
      <c r="J35" s="49">
        <f t="shared" si="16"/>
        <v>37.507811686367411</v>
      </c>
      <c r="K35" s="49">
        <f t="shared" si="16"/>
        <v>29.801180184671114</v>
      </c>
      <c r="L35" s="49">
        <f t="shared" si="16"/>
        <v>19.779251665297814</v>
      </c>
      <c r="M35" s="49">
        <f t="shared" si="16"/>
        <v>13.395647030845504</v>
      </c>
      <c r="N35" s="49">
        <f t="shared" si="16"/>
        <v>12.634906582180204</v>
      </c>
      <c r="O35" s="49">
        <f t="shared" si="16"/>
        <v>15.51249001843591</v>
      </c>
      <c r="P35" s="49">
        <f t="shared" ref="P35" si="17">IF(P$26="OOR",0,((P$32*(1-P$34))+((P$32+(P$33*P34))*P$34)))</f>
        <v>16.074776437014606</v>
      </c>
      <c r="Q35" s="50">
        <f t="shared" ref="Q35" si="18">IF(Q$26="OOR",0,((Q$32*(1-Q$34))+((Q$32+(Q$33*Q34))*Q$34)))</f>
        <v>0</v>
      </c>
    </row>
    <row r="36" spans="1:17" x14ac:dyDescent="0.25">
      <c r="A36" s="71" t="s">
        <v>43</v>
      </c>
      <c r="B36" s="23">
        <f>(IF(B$35=0,0,(IF(B$35&lt;0,(B$35+(0-B$35)),0)+IF(B$35&gt;50,(B$35-(B$35-50)),0)+IF(B$35&gt;=0,IF(B$35&lt;=100,B$35,0),0))))</f>
        <v>0</v>
      </c>
      <c r="C36" s="49">
        <f t="shared" ref="C36:Q36" si="19">(IF(C$35=0,0,(IF(C$35&lt;0,(C$35+(0-C$35)),0)+IF(C$35&gt;50,(C$35-(C$35-50)),0)+IF(C$35&gt;=0,IF(C$35&lt;=100,C$35,0),0))))</f>
        <v>37.507811686367411</v>
      </c>
      <c r="D36" s="49">
        <f t="shared" si="19"/>
        <v>20.093470546268257</v>
      </c>
      <c r="E36" s="49">
        <f t="shared" si="19"/>
        <v>42.866070498705618</v>
      </c>
      <c r="F36" s="49">
        <f t="shared" si="19"/>
        <v>25.931326597982405</v>
      </c>
      <c r="G36" s="49">
        <f t="shared" si="19"/>
        <v>25.931326597982405</v>
      </c>
      <c r="H36" s="49">
        <f t="shared" si="19"/>
        <v>42.866070498705618</v>
      </c>
      <c r="I36" s="49">
        <f t="shared" si="19"/>
        <v>20.093470546268257</v>
      </c>
      <c r="J36" s="49">
        <f t="shared" si="19"/>
        <v>37.507811686367411</v>
      </c>
      <c r="K36" s="49">
        <f t="shared" si="19"/>
        <v>29.801180184671114</v>
      </c>
      <c r="L36" s="49">
        <f t="shared" si="19"/>
        <v>19.779251665297814</v>
      </c>
      <c r="M36" s="49">
        <f t="shared" si="19"/>
        <v>13.395647030845504</v>
      </c>
      <c r="N36" s="49">
        <f t="shared" si="19"/>
        <v>12.634906582180204</v>
      </c>
      <c r="O36" s="49">
        <f t="shared" si="19"/>
        <v>15.51249001843591</v>
      </c>
      <c r="P36" s="49">
        <f t="shared" si="19"/>
        <v>16.074776437014606</v>
      </c>
      <c r="Q36" s="50">
        <f t="shared" si="19"/>
        <v>0</v>
      </c>
    </row>
    <row r="37" spans="1:17" ht="15.75" thickBot="1" x14ac:dyDescent="0.3">
      <c r="A37" s="72" t="s">
        <v>44</v>
      </c>
      <c r="B37" s="24">
        <f>(100-B$36)</f>
        <v>100</v>
      </c>
      <c r="C37" s="51">
        <f t="shared" ref="C37:Q37" si="20">(100-C$36)</f>
        <v>62.492188313632589</v>
      </c>
      <c r="D37" s="51">
        <f t="shared" si="20"/>
        <v>79.906529453731736</v>
      </c>
      <c r="E37" s="51">
        <f t="shared" si="20"/>
        <v>57.133929501294382</v>
      </c>
      <c r="F37" s="51">
        <f t="shared" si="20"/>
        <v>74.068673402017595</v>
      </c>
      <c r="G37" s="51">
        <f t="shared" si="20"/>
        <v>74.068673402017595</v>
      </c>
      <c r="H37" s="51">
        <f t="shared" si="20"/>
        <v>57.133929501294382</v>
      </c>
      <c r="I37" s="51">
        <f t="shared" si="20"/>
        <v>79.906529453731736</v>
      </c>
      <c r="J37" s="51">
        <f t="shared" si="20"/>
        <v>62.492188313632589</v>
      </c>
      <c r="K37" s="51">
        <f t="shared" si="20"/>
        <v>70.198819815328889</v>
      </c>
      <c r="L37" s="51">
        <f t="shared" si="20"/>
        <v>80.220748334702193</v>
      </c>
      <c r="M37" s="51">
        <f t="shared" si="20"/>
        <v>86.60435296915449</v>
      </c>
      <c r="N37" s="51">
        <f t="shared" si="20"/>
        <v>87.365093417819793</v>
      </c>
      <c r="O37" s="51">
        <f t="shared" si="20"/>
        <v>84.487509981564088</v>
      </c>
      <c r="P37" s="51">
        <f t="shared" si="20"/>
        <v>83.925223562985394</v>
      </c>
      <c r="Q37" s="52">
        <f t="shared" si="20"/>
        <v>100</v>
      </c>
    </row>
    <row r="38" spans="1:17" x14ac:dyDescent="0.25">
      <c r="A38" s="22" t="s">
        <v>52</v>
      </c>
      <c r="B38" s="1"/>
      <c r="C38" s="1"/>
      <c r="D38" s="1"/>
      <c r="E38" s="1"/>
      <c r="F38" s="1"/>
      <c r="N38" s="10"/>
      <c r="O38" s="10"/>
    </row>
    <row r="39" spans="1:17" x14ac:dyDescent="0.25">
      <c r="B39" s="1"/>
      <c r="C39" s="1"/>
      <c r="D39" s="1"/>
      <c r="E39" s="1"/>
      <c r="N39" s="10"/>
      <c r="O39" s="10"/>
    </row>
    <row r="40" spans="1:17" x14ac:dyDescent="0.25">
      <c r="A40" s="1"/>
      <c r="B40" s="1"/>
      <c r="C40" s="1"/>
      <c r="D40" s="1"/>
      <c r="E40" s="1"/>
    </row>
    <row r="41" spans="1:17" x14ac:dyDescent="0.25">
      <c r="A41" s="2"/>
      <c r="B41" s="1"/>
      <c r="C41" s="1"/>
      <c r="D41" s="1"/>
      <c r="E41" s="1"/>
      <c r="H41" s="20"/>
      <c r="I41" s="20"/>
      <c r="J41" s="20"/>
      <c r="K41" s="20"/>
    </row>
    <row r="42" spans="1:17" x14ac:dyDescent="0.25">
      <c r="A42" s="1"/>
      <c r="H42" s="20"/>
      <c r="J42" s="20"/>
      <c r="K42" s="20"/>
    </row>
    <row r="43" spans="1:17" x14ac:dyDescent="0.25">
      <c r="I43" s="20"/>
      <c r="J43" s="20"/>
      <c r="K43" s="20"/>
    </row>
    <row r="44" spans="1:17" x14ac:dyDescent="0.25">
      <c r="H44" s="20"/>
      <c r="I44" s="20"/>
      <c r="J44" s="20"/>
      <c r="K44" s="20"/>
    </row>
    <row r="45" spans="1:17" x14ac:dyDescent="0.25">
      <c r="H45" s="20"/>
      <c r="I45" s="20"/>
      <c r="J45" s="20"/>
      <c r="K45" s="20"/>
    </row>
    <row r="46" spans="1:17" x14ac:dyDescent="0.25">
      <c r="H46" s="20"/>
      <c r="I46" s="20"/>
      <c r="J46" s="20"/>
      <c r="K46" s="20"/>
    </row>
    <row r="47" spans="1:17" x14ac:dyDescent="0.25">
      <c r="H47" s="20"/>
      <c r="I47" s="20"/>
      <c r="J47" s="20"/>
      <c r="K47" s="20"/>
    </row>
    <row r="48" spans="1:17" x14ac:dyDescent="0.25">
      <c r="H48" s="20"/>
    </row>
    <row r="49" spans="1:8" x14ac:dyDescent="0.25">
      <c r="H49" s="20"/>
    </row>
    <row r="50" spans="1:8" x14ac:dyDescent="0.25">
      <c r="H50" s="20"/>
    </row>
    <row r="51" spans="1:8" x14ac:dyDescent="0.25">
      <c r="H51" s="20"/>
    </row>
    <row r="52" spans="1:8" x14ac:dyDescent="0.25">
      <c r="H52" s="20"/>
    </row>
    <row r="53" spans="1:8" x14ac:dyDescent="0.25">
      <c r="H53" s="20"/>
    </row>
    <row r="54" spans="1:8" x14ac:dyDescent="0.25">
      <c r="H54" s="20"/>
    </row>
    <row r="55" spans="1:8" x14ac:dyDescent="0.25">
      <c r="A55" s="22" t="s">
        <v>49</v>
      </c>
      <c r="H55" s="20"/>
    </row>
    <row r="56" spans="1:8" x14ac:dyDescent="0.25">
      <c r="A56" s="69"/>
      <c r="H56" s="20"/>
    </row>
    <row r="57" spans="1:8" ht="15.75" thickBot="1" x14ac:dyDescent="0.3"/>
    <row r="58" spans="1:8" ht="19.5" thickBot="1" x14ac:dyDescent="0.35">
      <c r="A58" s="15" t="s">
        <v>18</v>
      </c>
    </row>
    <row r="59" spans="1:8" x14ac:dyDescent="0.25">
      <c r="A59" s="12" t="s">
        <v>48</v>
      </c>
    </row>
    <row r="60" spans="1:8" x14ac:dyDescent="0.25">
      <c r="A60" s="13" t="s">
        <v>19</v>
      </c>
    </row>
    <row r="61" spans="1:8" x14ac:dyDescent="0.25">
      <c r="A61" s="13" t="s">
        <v>15</v>
      </c>
    </row>
    <row r="62" spans="1:8" x14ac:dyDescent="0.25">
      <c r="A62" s="13" t="s">
        <v>16</v>
      </c>
    </row>
    <row r="63" spans="1:8" x14ac:dyDescent="0.25">
      <c r="A63" s="13" t="s">
        <v>17</v>
      </c>
    </row>
    <row r="64" spans="1:8" x14ac:dyDescent="0.25">
      <c r="A64" s="13" t="s">
        <v>20</v>
      </c>
    </row>
    <row r="65" spans="1:2" x14ac:dyDescent="0.25">
      <c r="A65" s="13" t="s">
        <v>23</v>
      </c>
    </row>
    <row r="66" spans="1:2" x14ac:dyDescent="0.25">
      <c r="A66" s="13" t="s">
        <v>21</v>
      </c>
    </row>
    <row r="67" spans="1:2" x14ac:dyDescent="0.25">
      <c r="A67" s="16" t="s">
        <v>45</v>
      </c>
      <c r="B67" s="7"/>
    </row>
    <row r="68" spans="1:2" ht="15.75" thickBot="1" x14ac:dyDescent="0.3">
      <c r="A68" s="14" t="s">
        <v>22</v>
      </c>
    </row>
  </sheetData>
  <mergeCells count="4">
    <mergeCell ref="B7:D7"/>
    <mergeCell ref="E7:G7"/>
    <mergeCell ref="H7:J7"/>
    <mergeCell ref="B24:Q24"/>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2021-04-07T10:33:29Z</dcterms:modified>
</cp:coreProperties>
</file>