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ioa365-my.sharepoint.com/personal/petsch_oslomet_no/Documents/Dokumenter/ProsjekterF/Sporgassmåling_Age-of-air/Sporgasmåling_Verktøy/"/>
    </mc:Choice>
  </mc:AlternateContent>
  <xr:revisionPtr revIDLastSave="0" documentId="13_ncr:1_{FDBB4854-2EA3-4496-9F2B-9C1D9DD81F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hoosing dosing nozzle" sheetId="2" r:id="rId1"/>
    <sheet name="gas cylinder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B22" i="1"/>
  <c r="B21" i="1"/>
  <c r="B19" i="1"/>
  <c r="B18" i="1" s="1"/>
  <c r="B17" i="1" s="1"/>
  <c r="H3" i="2"/>
  <c r="C9" i="1"/>
  <c r="E9" i="1" s="1"/>
  <c r="G9" i="1" s="1"/>
  <c r="C17" i="1"/>
  <c r="C18" i="1" s="1"/>
  <c r="C19" i="1" s="1"/>
  <c r="C23" i="1" s="1"/>
  <c r="C2" i="1"/>
  <c r="C7" i="1"/>
  <c r="H13" i="2"/>
  <c r="I10" i="2"/>
  <c r="G13" i="2"/>
  <c r="H9" i="2"/>
  <c r="H12" i="2" s="1"/>
  <c r="J12" i="2" s="1"/>
  <c r="A6" i="2"/>
  <c r="A29" i="2"/>
  <c r="A7" i="2"/>
  <c r="H4" i="2"/>
  <c r="H6" i="2" s="1"/>
  <c r="C3" i="2" s="1"/>
  <c r="A28" i="2"/>
  <c r="C12" i="1"/>
  <c r="C11" i="1"/>
  <c r="B23" i="1"/>
  <c r="B24" i="1" l="1"/>
  <c r="B25" i="1" s="1"/>
  <c r="C21" i="1"/>
  <c r="C20" i="1"/>
  <c r="C22" i="1" s="1"/>
  <c r="C5" i="2"/>
  <c r="C28" i="2" s="1"/>
  <c r="C7" i="2"/>
  <c r="C30" i="2" s="1"/>
  <c r="C6" i="2"/>
  <c r="C29" i="2" s="1"/>
  <c r="C8" i="2"/>
  <c r="C31" i="2" s="1"/>
  <c r="D3" i="2"/>
  <c r="A30" i="2"/>
  <c r="A8" i="2"/>
  <c r="B3" i="2"/>
  <c r="C24" i="1"/>
  <c r="C25" i="1" s="1"/>
  <c r="J13" i="2"/>
  <c r="I9" i="1"/>
  <c r="K9" i="1" s="1"/>
  <c r="B8" i="2" l="1"/>
  <c r="B31" i="2" s="1"/>
  <c r="B5" i="2"/>
  <c r="B28" i="2" s="1"/>
  <c r="B7" i="2"/>
  <c r="B30" i="2" s="1"/>
  <c r="B6" i="2"/>
  <c r="B29" i="2" s="1"/>
  <c r="D6" i="2"/>
  <c r="D29" i="2" s="1"/>
  <c r="D8" i="2"/>
  <c r="D31" i="2" s="1"/>
  <c r="D7" i="2"/>
  <c r="D30" i="2" s="1"/>
  <c r="D5" i="2"/>
  <c r="D28" i="2" s="1"/>
  <c r="A31" i="2"/>
  <c r="A9" i="2"/>
  <c r="A32" i="2" l="1"/>
  <c r="A10" i="2"/>
  <c r="C9" i="2"/>
  <c r="C32" i="2" s="1"/>
  <c r="D9" i="2"/>
  <c r="D32" i="2" s="1"/>
  <c r="B9" i="2"/>
  <c r="B32" i="2" s="1"/>
  <c r="A11" i="2" l="1"/>
  <c r="A33" i="2"/>
  <c r="C10" i="2"/>
  <c r="C33" i="2" s="1"/>
  <c r="B10" i="2"/>
  <c r="B33" i="2" s="1"/>
  <c r="D10" i="2"/>
  <c r="D33" i="2" s="1"/>
  <c r="A12" i="2" l="1"/>
  <c r="A34" i="2"/>
  <c r="C11" i="2"/>
  <c r="C34" i="2" s="1"/>
  <c r="B11" i="2"/>
  <c r="B34" i="2" s="1"/>
  <c r="D11" i="2"/>
  <c r="D34" i="2" s="1"/>
  <c r="A35" i="2" l="1"/>
  <c r="A13" i="2"/>
  <c r="C12" i="2"/>
  <c r="C35" i="2" s="1"/>
  <c r="B12" i="2"/>
  <c r="B35" i="2" s="1"/>
  <c r="D12" i="2"/>
  <c r="D35" i="2" s="1"/>
  <c r="A36" i="2" l="1"/>
  <c r="A14" i="2"/>
  <c r="C13" i="2"/>
  <c r="C36" i="2" s="1"/>
  <c r="D13" i="2"/>
  <c r="D36" i="2" s="1"/>
  <c r="B13" i="2"/>
  <c r="B36" i="2" s="1"/>
  <c r="A15" i="2" l="1"/>
  <c r="A37" i="2"/>
  <c r="C14" i="2"/>
  <c r="C37" i="2" s="1"/>
  <c r="D14" i="2"/>
  <c r="D37" i="2" s="1"/>
  <c r="B14" i="2"/>
  <c r="B37" i="2" s="1"/>
  <c r="A16" i="2" l="1"/>
  <c r="A38" i="2"/>
  <c r="C15" i="2"/>
  <c r="C38" i="2" s="1"/>
  <c r="B15" i="2"/>
  <c r="B38" i="2" s="1"/>
  <c r="D15" i="2"/>
  <c r="D38" i="2" s="1"/>
  <c r="A39" i="2" l="1"/>
  <c r="A17" i="2"/>
  <c r="C16" i="2"/>
  <c r="C39" i="2" s="1"/>
  <c r="D16" i="2"/>
  <c r="D39" i="2" s="1"/>
  <c r="B16" i="2"/>
  <c r="B39" i="2" s="1"/>
  <c r="A40" i="2" l="1"/>
  <c r="A18" i="2"/>
  <c r="C17" i="2"/>
  <c r="C40" i="2" s="1"/>
  <c r="D17" i="2"/>
  <c r="D40" i="2" s="1"/>
  <c r="B17" i="2"/>
  <c r="B40" i="2" s="1"/>
  <c r="A19" i="2" l="1"/>
  <c r="A41" i="2"/>
  <c r="C18" i="2"/>
  <c r="C41" i="2" s="1"/>
  <c r="B18" i="2"/>
  <c r="B41" i="2" s="1"/>
  <c r="D18" i="2"/>
  <c r="D41" i="2" s="1"/>
  <c r="A20" i="2" l="1"/>
  <c r="A42" i="2"/>
  <c r="C19" i="2"/>
  <c r="C42" i="2" s="1"/>
  <c r="D19" i="2"/>
  <c r="D42" i="2" s="1"/>
  <c r="B19" i="2"/>
  <c r="B42" i="2" s="1"/>
  <c r="A43" i="2" l="1"/>
  <c r="A21" i="2"/>
  <c r="C20" i="2"/>
  <c r="C43" i="2" s="1"/>
  <c r="B20" i="2"/>
  <c r="B43" i="2" s="1"/>
  <c r="D20" i="2"/>
  <c r="D43" i="2" s="1"/>
  <c r="A44" i="2" l="1"/>
  <c r="A22" i="2"/>
  <c r="C21" i="2"/>
  <c r="C44" i="2" s="1"/>
  <c r="B21" i="2"/>
  <c r="B44" i="2" s="1"/>
  <c r="D21" i="2"/>
  <c r="D44" i="2" s="1"/>
  <c r="A23" i="2" l="1"/>
  <c r="A45" i="2"/>
  <c r="C22" i="2"/>
  <c r="C45" i="2" s="1"/>
  <c r="D22" i="2"/>
  <c r="D45" i="2" s="1"/>
  <c r="B22" i="2"/>
  <c r="B45" i="2" s="1"/>
  <c r="A24" i="2" l="1"/>
  <c r="A46" i="2"/>
  <c r="C23" i="2"/>
  <c r="C46" i="2" s="1"/>
  <c r="B23" i="2"/>
  <c r="B46" i="2" s="1"/>
  <c r="D23" i="2"/>
  <c r="D46" i="2" s="1"/>
  <c r="A47" i="2" l="1"/>
  <c r="A25" i="2"/>
  <c r="C24" i="2"/>
  <c r="C47" i="2" s="1"/>
  <c r="B24" i="2"/>
  <c r="B47" i="2" s="1"/>
  <c r="D24" i="2"/>
  <c r="D47" i="2" s="1"/>
  <c r="A48" i="2" l="1"/>
  <c r="C25" i="2"/>
  <c r="C48" i="2" s="1"/>
  <c r="B25" i="2"/>
  <c r="B48" i="2" s="1"/>
  <c r="D25" i="2"/>
  <c r="D4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G. Schild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density </t>
        </r>
        <r>
          <rPr>
            <sz val="9"/>
            <color indexed="81"/>
            <rFont val="Tahoma"/>
            <family val="2"/>
          </rPr>
          <t>[kg/m³ ≡ mg/mℓ]</t>
        </r>
        <r>
          <rPr>
            <b/>
            <sz val="9"/>
            <color indexed="81"/>
            <rFont val="Tahoma"/>
            <family val="2"/>
          </rPr>
          <t xml:space="preserve"> = (P·M)/(R·T)
</t>
        </r>
        <r>
          <rPr>
            <sz val="9"/>
            <color indexed="81"/>
            <rFont val="Tahoma"/>
            <family val="2"/>
          </rPr>
          <t xml:space="preserve">where   </t>
        </r>
        <r>
          <rPr>
            <b/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Tahoma"/>
            <family val="2"/>
          </rPr>
          <t xml:space="preserve">= pressure [Pa]
            </t>
        </r>
        <r>
          <rPr>
            <b/>
            <sz val="9"/>
            <color indexed="81"/>
            <rFont val="Tahoma"/>
            <family val="2"/>
          </rPr>
          <t xml:space="preserve">M </t>
        </r>
        <r>
          <rPr>
            <sz val="9"/>
            <color indexed="81"/>
            <rFont val="Tahoma"/>
            <family val="2"/>
          </rPr>
          <t xml:space="preserve">= molar mass [kg/mol] = 0.001·[g/mol]
            </t>
        </r>
        <r>
          <rPr>
            <b/>
            <sz val="9"/>
            <color indexed="81"/>
            <rFont val="Tahoma"/>
            <family val="2"/>
          </rPr>
          <t xml:space="preserve">R </t>
        </r>
        <r>
          <rPr>
            <sz val="9"/>
            <color indexed="81"/>
            <rFont val="Tahoma"/>
            <family val="2"/>
          </rPr>
          <t xml:space="preserve">= universal gas constant 8.314472 [J/K·mol ≡ m³·Pa/K·mol]
            </t>
        </r>
        <r>
          <rPr>
            <b/>
            <sz val="9"/>
            <color indexed="81"/>
            <rFont val="Tahoma"/>
            <family val="2"/>
          </rPr>
          <t xml:space="preserve">T </t>
        </r>
        <r>
          <rPr>
            <sz val="9"/>
            <color indexed="81"/>
            <rFont val="Tahoma"/>
            <family val="2"/>
          </rPr>
          <t>= temperature [K]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Note</t>
        </r>
        <r>
          <rPr>
            <sz val="9"/>
            <color indexed="81"/>
            <rFont val="Tahoma"/>
            <family val="2"/>
          </rPr>
          <t>: EPA's definition of STP is 101325 Pa &amp; 25°C</t>
        </r>
      </text>
    </comment>
    <comment ref="H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From Innova "Gas detection limits" spreadsheet or wall chart,
for specific gas and filter</t>
        </r>
      </text>
    </comment>
    <comment ref="H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Chosen setting in Innova PC-logger software.
5 seconds is default.</t>
        </r>
      </text>
    </comment>
    <comment ref="H1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What kind of calibration has been done for this particular
gas?
</t>
        </r>
        <r>
          <rPr>
            <sz val="9"/>
            <color indexed="81"/>
            <rFont val="Tahoma"/>
            <family val="2"/>
          </rPr>
          <t>Normal = calibration with one concentration
Accurate = calibration with two different concentrations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G. Schild</author>
  </authors>
  <commentList>
    <comment ref="C2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Ideal gas law:  PV=nRT
</t>
        </r>
        <r>
          <rPr>
            <sz val="9"/>
            <color indexed="81"/>
            <rFont val="Tahoma"/>
            <family val="2"/>
          </rPr>
          <t>P = pressure [Pa]
v = volume [m3]
n = # of moles
R = gas constant [J/(K·mol) = m³·Pa/(K·mol)]
T = temperature [K]</t>
        </r>
      </text>
    </comment>
    <comment ref="B2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Ideal gas law:  PV=nRT
</t>
        </r>
        <r>
          <rPr>
            <sz val="9"/>
            <color indexed="81"/>
            <rFont val="Tahoma"/>
            <family val="2"/>
          </rPr>
          <t>P = pressure [Pa]
v = volume [m3]
n = # of moles
R = gas constant [J/(K·mol) = m³·Pa/(K·mol)]
T = temperature [K]</t>
        </r>
      </text>
    </comment>
    <comment ref="C2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Ideal gas law:  PV=nRT
</t>
        </r>
        <r>
          <rPr>
            <sz val="9"/>
            <color indexed="81"/>
            <rFont val="Tahoma"/>
            <family val="2"/>
          </rPr>
          <t>P = pressure [Pa]
v = volume [m3]
n = # of moles
R = gas constant [J/(K·mol) = m³·Pa/(K·mol)]
T = temperature [K]</t>
        </r>
      </text>
    </comment>
  </commentList>
</comments>
</file>

<file path=xl/sharedStrings.xml><?xml version="1.0" encoding="utf-8"?>
<sst xmlns="http://schemas.openxmlformats.org/spreadsheetml/2006/main" count="91" uniqueCount="77">
  <si>
    <t>Gas</t>
  </si>
  <si>
    <t>SF6: 146.06</t>
  </si>
  <si>
    <t>Molecular mass</t>
  </si>
  <si>
    <t>g/mol</t>
  </si>
  <si>
    <t>Cylinder tare weight</t>
  </si>
  <si>
    <t>kg empty weight (stamped on cylinder)</t>
  </si>
  <si>
    <t>Cylinder weight</t>
  </si>
  <si>
    <t>kg with gas</t>
  </si>
  <si>
    <t>kg</t>
  </si>
  <si>
    <t>Net weight of gas</t>
  </si>
  <si>
    <t>Cylinder volume</t>
  </si>
  <si>
    <t>liters (stamped on cylinder)</t>
  </si>
  <si>
    <t>mol</t>
  </si>
  <si>
    <t>Temperature</t>
  </si>
  <si>
    <t>°C</t>
  </si>
  <si>
    <t>Pressure in cylinder</t>
  </si>
  <si>
    <t>bar</t>
  </si>
  <si>
    <t>kPa</t>
  </si>
  <si>
    <t>m³</t>
  </si>
  <si>
    <t>PV = nRT =</t>
  </si>
  <si>
    <t>J or m³Pa</t>
  </si>
  <si>
    <t>Weight of attached valve (if any)</t>
  </si>
  <si>
    <t>mg/m³</t>
  </si>
  <si>
    <t>Density at STP</t>
  </si>
  <si>
    <t>Wanted concentration at STP</t>
  </si>
  <si>
    <t>Volume at STP (1atm; °C above)</t>
  </si>
  <si>
    <t>Dosing rate</t>
  </si>
  <si>
    <t>m³/h</t>
  </si>
  <si>
    <t>mg/h</t>
  </si>
  <si>
    <t>K</t>
  </si>
  <si>
    <t>Pressure</t>
  </si>
  <si>
    <t>Pa</t>
  </si>
  <si>
    <t>Density</t>
  </si>
  <si>
    <t>kg/m³ = mg/mℓ</t>
  </si>
  <si>
    <t>kg/m³</t>
  </si>
  <si>
    <t>Dosing rate (gravimetric)</t>
  </si>
  <si>
    <t>Dosing rate (volumetric)</t>
  </si>
  <si>
    <t>mℓ/s</t>
  </si>
  <si>
    <t>Air flow rate [m³/h]</t>
  </si>
  <si>
    <t>Concentration [mg/m³]</t>
  </si>
  <si>
    <t>Concentration [ppmv]</t>
  </si>
  <si>
    <t>RT/P</t>
  </si>
  <si>
    <t>Nozzle #</t>
  </si>
  <si>
    <t>Sample integration time</t>
  </si>
  <si>
    <t>seconds</t>
  </si>
  <si>
    <t>Detection limit factor</t>
  </si>
  <si>
    <t>Gas detection limit</t>
  </si>
  <si>
    <t>-</t>
  </si>
  <si>
    <t>ppmv</t>
  </si>
  <si>
    <t>Gas type, conditions, and measurement range</t>
  </si>
  <si>
    <t>Linear measurement range (dynamic range):</t>
  </si>
  <si>
    <t>Minimum</t>
  </si>
  <si>
    <t>Calibration type</t>
  </si>
  <si>
    <t>normal</t>
  </si>
  <si>
    <t>Dosing nozzle on Innova multiplexer</t>
  </si>
  <si>
    <t>Dosing time available from cylinder</t>
  </si>
  <si>
    <t>1 (small)</t>
  </si>
  <si>
    <t>Nozzle 1 (small)</t>
  </si>
  <si>
    <t>Nozzle 2-5 (medium)</t>
  </si>
  <si>
    <t>Nozzle 6 (large)</t>
  </si>
  <si>
    <t>m³/s</t>
  </si>
  <si>
    <t>Decimal</t>
  </si>
  <si>
    <t>.</t>
  </si>
  <si>
    <t>kg/s</t>
  </si>
  <si>
    <t>mg/s</t>
  </si>
  <si>
    <r>
      <t>Gas quantity (</t>
    </r>
    <r>
      <rPr>
        <i/>
        <sz val="10"/>
        <rFont val="Arial"/>
        <family val="2"/>
      </rPr>
      <t>n</t>
    </r>
    <r>
      <rPr>
        <sz val="10"/>
        <rFont val="Arial"/>
        <family val="2"/>
      </rPr>
      <t>)</t>
    </r>
  </si>
  <si>
    <t>hours</t>
  </si>
  <si>
    <t>Price full cylinder</t>
  </si>
  <si>
    <t>Price per hour (assuming full)</t>
  </si>
  <si>
    <t>kr/hour (assuming full cylinder)</t>
  </si>
  <si>
    <t>kp/cm², kilopounds per cm²</t>
  </si>
  <si>
    <t>Estimation by pressure:</t>
  </si>
  <si>
    <t>Estimation by weight:</t>
  </si>
  <si>
    <t>cost/cylinder (annual rent is in addition)</t>
  </si>
  <si>
    <t>ppmv  &lt;= (i.e. volume fraction), normal definition for ventilation / atmospheric sciences</t>
  </si>
  <si>
    <t>ppmw &lt;= (i.e. mass fraction) used for other branches of science (advantage is that it is independent of changes in temperature &amp; pressure)</t>
  </si>
  <si>
    <t>Note: Norwegian Arctic University (UiT) recomments measurement range 5 - 25 ppmv for SF6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</si>
</sst>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kr&quot;\ #,##0"/>
  </numFmts>
  <fonts count="1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i/>
      <sz val="9"/>
      <color indexed="81"/>
      <name val="Tahoma"/>
      <family val="2"/>
    </font>
    <font>
      <sz val="10"/>
      <color indexed="55"/>
      <name val="Arial"/>
      <family val="2"/>
    </font>
    <font>
      <i/>
      <sz val="10"/>
      <name val="Arial"/>
      <family val="2"/>
    </font>
    <font>
      <sz val="10"/>
      <name val="Calibri"/>
      <family val="2"/>
    </font>
    <font>
      <b/>
      <sz val="10"/>
      <color rgb="FFFF0000"/>
      <name val="Arial"/>
      <family val="2"/>
    </font>
    <font>
      <b/>
      <u/>
      <sz val="10"/>
      <color rgb="FF0066CC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 applyBorder="1"/>
    <xf numFmtId="0" fontId="0" fillId="0" borderId="0" xfId="0" applyBorder="1"/>
    <xf numFmtId="0" fontId="9" fillId="0" borderId="0" xfId="0" applyFont="1"/>
    <xf numFmtId="0" fontId="5" fillId="0" borderId="0" xfId="0" applyFont="1" applyBorder="1"/>
    <xf numFmtId="0" fontId="6" fillId="0" borderId="0" xfId="0" applyFont="1" applyBorder="1"/>
    <xf numFmtId="0" fontId="1" fillId="0" borderId="0" xfId="0" applyFont="1" applyBorder="1"/>
    <xf numFmtId="0" fontId="0" fillId="0" borderId="0" xfId="0" quotePrefix="1" applyBorder="1"/>
    <xf numFmtId="0" fontId="0" fillId="0" borderId="1" xfId="0" applyBorder="1"/>
    <xf numFmtId="0" fontId="1" fillId="0" borderId="1" xfId="0" applyFont="1" applyBorder="1"/>
    <xf numFmtId="0" fontId="0" fillId="2" borderId="0" xfId="0" applyFill="1" applyAlignment="1">
      <alignment horizontal="right"/>
    </xf>
    <xf numFmtId="0" fontId="7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2" borderId="0" xfId="0" applyFill="1" applyBorder="1" applyAlignment="1">
      <alignment horizontal="right"/>
    </xf>
    <xf numFmtId="0" fontId="9" fillId="0" borderId="7" xfId="0" applyFont="1" applyBorder="1"/>
    <xf numFmtId="0" fontId="1" fillId="0" borderId="8" xfId="0" applyFont="1" applyBorder="1"/>
    <xf numFmtId="0" fontId="0" fillId="0" borderId="9" xfId="0" applyBorder="1"/>
    <xf numFmtId="0" fontId="5" fillId="0" borderId="10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0" xfId="0" applyFont="1" applyAlignment="1">
      <alignment horizontal="left"/>
    </xf>
    <xf numFmtId="0" fontId="11" fillId="0" borderId="0" xfId="0" applyFont="1" applyBorder="1"/>
    <xf numFmtId="0" fontId="0" fillId="0" borderId="0" xfId="0" applyFill="1" applyBorder="1"/>
    <xf numFmtId="0" fontId="6" fillId="3" borderId="6" xfId="0" applyFont="1" applyFill="1" applyBorder="1"/>
    <xf numFmtId="0" fontId="14" fillId="0" borderId="0" xfId="0" applyFont="1"/>
    <xf numFmtId="0" fontId="0" fillId="3" borderId="0" xfId="0" applyFill="1"/>
    <xf numFmtId="164" fontId="0" fillId="0" borderId="0" xfId="0" applyNumberFormat="1"/>
    <xf numFmtId="164" fontId="0" fillId="3" borderId="0" xfId="0" applyNumberFormat="1" applyFill="1"/>
    <xf numFmtId="0" fontId="13" fillId="0" borderId="0" xfId="0" applyFont="1"/>
    <xf numFmtId="0" fontId="15" fillId="0" borderId="0" xfId="0" applyFont="1" applyAlignment="1">
      <alignment horizontal="center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CC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97333708465876"/>
          <c:y val="5.33596837944664E-2"/>
          <c:w val="0.58823567810755639"/>
          <c:h val="0.84584980237154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'choosing dosing nozzle'!$B$1</c:f>
              <c:strCache>
                <c:ptCount val="1"/>
                <c:pt idx="0">
                  <c:v>Nozzle 1 (small)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'choosing dosing nozzle'!$A$28:$A$48</c:f>
              <c:numCache>
                <c:formatCode>General</c:formatCode>
                <c:ptCount val="21"/>
                <c:pt idx="0">
                  <c:v>10</c:v>
                </c:pt>
                <c:pt idx="1">
                  <c:v>15</c:v>
                </c:pt>
                <c:pt idx="2">
                  <c:v>22.5</c:v>
                </c:pt>
                <c:pt idx="3">
                  <c:v>33.75</c:v>
                </c:pt>
                <c:pt idx="4">
                  <c:v>50.625</c:v>
                </c:pt>
                <c:pt idx="5">
                  <c:v>75.9375</c:v>
                </c:pt>
                <c:pt idx="6">
                  <c:v>113.90625</c:v>
                </c:pt>
                <c:pt idx="7">
                  <c:v>170.859375</c:v>
                </c:pt>
                <c:pt idx="8">
                  <c:v>256.2890625</c:v>
                </c:pt>
                <c:pt idx="9">
                  <c:v>384.43359375</c:v>
                </c:pt>
                <c:pt idx="10">
                  <c:v>576.650390625</c:v>
                </c:pt>
                <c:pt idx="11">
                  <c:v>864.9755859375</c:v>
                </c:pt>
                <c:pt idx="12">
                  <c:v>1297.46337890625</c:v>
                </c:pt>
                <c:pt idx="13">
                  <c:v>1946.195068359375</c:v>
                </c:pt>
                <c:pt idx="14">
                  <c:v>2919.2926025390625</c:v>
                </c:pt>
                <c:pt idx="15">
                  <c:v>4378.9389038085938</c:v>
                </c:pt>
                <c:pt idx="16">
                  <c:v>6568.4083557128906</c:v>
                </c:pt>
                <c:pt idx="17">
                  <c:v>9852.6125335693359</c:v>
                </c:pt>
                <c:pt idx="18">
                  <c:v>14778.918800354004</c:v>
                </c:pt>
                <c:pt idx="19">
                  <c:v>22168.378200531006</c:v>
                </c:pt>
                <c:pt idx="20">
                  <c:v>33252.567300796509</c:v>
                </c:pt>
              </c:numCache>
            </c:numRef>
          </c:xVal>
          <c:yVal>
            <c:numRef>
              <c:f>'choosing dosing nozzle'!$B$28:$B$48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53.333333333333329</c:v>
                </c:pt>
                <c:pt idx="4">
                  <c:v>35.555555555555557</c:v>
                </c:pt>
                <c:pt idx="5">
                  <c:v>23.703703703703706</c:v>
                </c:pt>
                <c:pt idx="6">
                  <c:v>15.80246913580247</c:v>
                </c:pt>
                <c:pt idx="7">
                  <c:v>10.534979423868313</c:v>
                </c:pt>
                <c:pt idx="8">
                  <c:v>7.0233196159122091</c:v>
                </c:pt>
                <c:pt idx="9">
                  <c:v>4.6822130772748061</c:v>
                </c:pt>
                <c:pt idx="10">
                  <c:v>3.1214753848498704</c:v>
                </c:pt>
                <c:pt idx="11">
                  <c:v>2.0809835898999136</c:v>
                </c:pt>
                <c:pt idx="12">
                  <c:v>1.387322393266609</c:v>
                </c:pt>
                <c:pt idx="13">
                  <c:v>0.92488159551107274</c:v>
                </c:pt>
                <c:pt idx="14">
                  <c:v>0.61658773034071523</c:v>
                </c:pt>
                <c:pt idx="15">
                  <c:v>0.41105848689381008</c:v>
                </c:pt>
                <c:pt idx="16">
                  <c:v>0.27403899126254005</c:v>
                </c:pt>
                <c:pt idx="17">
                  <c:v>0.18269266084169336</c:v>
                </c:pt>
                <c:pt idx="18">
                  <c:v>0.12179510722779559</c:v>
                </c:pt>
                <c:pt idx="19">
                  <c:v>8.1196738151863734E-2</c:v>
                </c:pt>
                <c:pt idx="20">
                  <c:v>5.4131158767909152E-2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4E-458D-83CC-BC6FBA4575DF}"/>
            </c:ext>
          </c:extLst>
        </c:ser>
        <c:ser>
          <c:idx val="1"/>
          <c:order val="1"/>
          <c:tx>
            <c:strRef>
              <c:f>'choosing dosing nozzle'!$C$1</c:f>
              <c:strCache>
                <c:ptCount val="1"/>
                <c:pt idx="0">
                  <c:v>Nozzle 2-5 (medium)</c:v>
                </c:pt>
              </c:strCache>
            </c:strRef>
          </c:tx>
          <c:spPr>
            <a:ln w="12700">
              <a:solidFill>
                <a:srgbClr val="00CC00"/>
              </a:solidFill>
              <a:prstDash val="solid"/>
            </a:ln>
          </c:spPr>
          <c:marker>
            <c:symbol val="none"/>
          </c:marker>
          <c:xVal>
            <c:numRef>
              <c:f>'choosing dosing nozzle'!$A$28:$A$48</c:f>
              <c:numCache>
                <c:formatCode>General</c:formatCode>
                <c:ptCount val="21"/>
                <c:pt idx="0">
                  <c:v>10</c:v>
                </c:pt>
                <c:pt idx="1">
                  <c:v>15</c:v>
                </c:pt>
                <c:pt idx="2">
                  <c:v>22.5</c:v>
                </c:pt>
                <c:pt idx="3">
                  <c:v>33.75</c:v>
                </c:pt>
                <c:pt idx="4">
                  <c:v>50.625</c:v>
                </c:pt>
                <c:pt idx="5">
                  <c:v>75.9375</c:v>
                </c:pt>
                <c:pt idx="6">
                  <c:v>113.90625</c:v>
                </c:pt>
                <c:pt idx="7">
                  <c:v>170.859375</c:v>
                </c:pt>
                <c:pt idx="8">
                  <c:v>256.2890625</c:v>
                </c:pt>
                <c:pt idx="9">
                  <c:v>384.43359375</c:v>
                </c:pt>
                <c:pt idx="10">
                  <c:v>576.650390625</c:v>
                </c:pt>
                <c:pt idx="11">
                  <c:v>864.9755859375</c:v>
                </c:pt>
                <c:pt idx="12">
                  <c:v>1297.46337890625</c:v>
                </c:pt>
                <c:pt idx="13">
                  <c:v>1946.195068359375</c:v>
                </c:pt>
                <c:pt idx="14">
                  <c:v>2919.2926025390625</c:v>
                </c:pt>
                <c:pt idx="15">
                  <c:v>4378.9389038085938</c:v>
                </c:pt>
                <c:pt idx="16">
                  <c:v>6568.4083557128906</c:v>
                </c:pt>
                <c:pt idx="17">
                  <c:v>9852.6125335693359</c:v>
                </c:pt>
                <c:pt idx="18">
                  <c:v>14778.918800354004</c:v>
                </c:pt>
                <c:pt idx="19">
                  <c:v>22168.378200531006</c:v>
                </c:pt>
                <c:pt idx="20">
                  <c:v>33252.567300796509</c:v>
                </c:pt>
              </c:numCache>
            </c:numRef>
          </c:xVal>
          <c:yVal>
            <c:numRef>
              <c:f>'choosing dosing nozzle'!$C$28:$C$48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42.139917695473244</c:v>
                </c:pt>
                <c:pt idx="9">
                  <c:v>28.093278463648833</c:v>
                </c:pt>
                <c:pt idx="10">
                  <c:v>18.728852309099221</c:v>
                </c:pt>
                <c:pt idx="11">
                  <c:v>12.485901539399482</c:v>
                </c:pt>
                <c:pt idx="12">
                  <c:v>8.3239343595996544</c:v>
                </c:pt>
                <c:pt idx="13">
                  <c:v>5.549289573066436</c:v>
                </c:pt>
                <c:pt idx="14">
                  <c:v>3.6995263820442905</c:v>
                </c:pt>
                <c:pt idx="15">
                  <c:v>2.4663509213628605</c:v>
                </c:pt>
                <c:pt idx="16">
                  <c:v>1.6442339475752403</c:v>
                </c:pt>
                <c:pt idx="17">
                  <c:v>1.0961559650501602</c:v>
                </c:pt>
                <c:pt idx="18">
                  <c:v>0.73077064336677344</c:v>
                </c:pt>
                <c:pt idx="19">
                  <c:v>0.48718042891118235</c:v>
                </c:pt>
                <c:pt idx="20">
                  <c:v>0.32478695260745488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4E-458D-83CC-BC6FBA4575DF}"/>
            </c:ext>
          </c:extLst>
        </c:ser>
        <c:ser>
          <c:idx val="2"/>
          <c:order val="2"/>
          <c:tx>
            <c:strRef>
              <c:f>'choosing dosing nozzle'!$D$1</c:f>
              <c:strCache>
                <c:ptCount val="1"/>
                <c:pt idx="0">
                  <c:v>Nozzle 6 (large)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'choosing dosing nozzle'!$A$28:$A$48</c:f>
              <c:numCache>
                <c:formatCode>General</c:formatCode>
                <c:ptCount val="21"/>
                <c:pt idx="0">
                  <c:v>10</c:v>
                </c:pt>
                <c:pt idx="1">
                  <c:v>15</c:v>
                </c:pt>
                <c:pt idx="2">
                  <c:v>22.5</c:v>
                </c:pt>
                <c:pt idx="3">
                  <c:v>33.75</c:v>
                </c:pt>
                <c:pt idx="4">
                  <c:v>50.625</c:v>
                </c:pt>
                <c:pt idx="5">
                  <c:v>75.9375</c:v>
                </c:pt>
                <c:pt idx="6">
                  <c:v>113.90625</c:v>
                </c:pt>
                <c:pt idx="7">
                  <c:v>170.859375</c:v>
                </c:pt>
                <c:pt idx="8">
                  <c:v>256.2890625</c:v>
                </c:pt>
                <c:pt idx="9">
                  <c:v>384.43359375</c:v>
                </c:pt>
                <c:pt idx="10">
                  <c:v>576.650390625</c:v>
                </c:pt>
                <c:pt idx="11">
                  <c:v>864.9755859375</c:v>
                </c:pt>
                <c:pt idx="12">
                  <c:v>1297.46337890625</c:v>
                </c:pt>
                <c:pt idx="13">
                  <c:v>1946.195068359375</c:v>
                </c:pt>
                <c:pt idx="14">
                  <c:v>2919.2926025390625</c:v>
                </c:pt>
                <c:pt idx="15">
                  <c:v>4378.9389038085938</c:v>
                </c:pt>
                <c:pt idx="16">
                  <c:v>6568.4083557128906</c:v>
                </c:pt>
                <c:pt idx="17">
                  <c:v>9852.6125335693359</c:v>
                </c:pt>
                <c:pt idx="18">
                  <c:v>14778.918800354004</c:v>
                </c:pt>
                <c:pt idx="19">
                  <c:v>22168.378200531006</c:v>
                </c:pt>
                <c:pt idx="20">
                  <c:v>33252.567300796509</c:v>
                </c:pt>
              </c:numCache>
            </c:numRef>
          </c:xVal>
          <c:yVal>
            <c:numRef>
              <c:f>'choosing dosing nozzle'!$D$28:$D$48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41.619671797998279</c:v>
                </c:pt>
                <c:pt idx="13">
                  <c:v>27.746447865332186</c:v>
                </c:pt>
                <c:pt idx="14">
                  <c:v>18.497631910221457</c:v>
                </c:pt>
                <c:pt idx="15">
                  <c:v>12.331754606814306</c:v>
                </c:pt>
                <c:pt idx="16">
                  <c:v>8.2211697378762025</c:v>
                </c:pt>
                <c:pt idx="17">
                  <c:v>5.480779825250802</c:v>
                </c:pt>
                <c:pt idx="18">
                  <c:v>3.653853216833868</c:v>
                </c:pt>
                <c:pt idx="19">
                  <c:v>2.4359021445559117</c:v>
                </c:pt>
                <c:pt idx="20">
                  <c:v>1.6239347630372747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4E-458D-83CC-BC6FBA457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33056"/>
        <c:axId val="1"/>
      </c:scatterChart>
      <c:valAx>
        <c:axId val="55483305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airflow rate [m³/h]</a:t>
                </a:r>
              </a:p>
            </c:rich>
          </c:tx>
          <c:layout>
            <c:manualLayout>
              <c:xMode val="edge"/>
              <c:yMode val="edge"/>
              <c:x val="0.32486659087400171"/>
              <c:y val="0.922924901185770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b-NO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concentration [ppm]</a:t>
                </a:r>
              </a:p>
            </c:rich>
          </c:tx>
          <c:layout>
            <c:manualLayout>
              <c:xMode val="edge"/>
              <c:yMode val="edge"/>
              <c:x val="2.1390374331550801E-2"/>
              <c:y val="0.332015810276679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b-NO"/>
          </a:p>
        </c:txPr>
        <c:crossAx val="55483305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267435821859163"/>
          <c:y val="0.40711462450592883"/>
          <c:w val="0.23663115639956767"/>
          <c:h val="0.138339920948616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b-NO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14</xdr:row>
      <xdr:rowOff>142875</xdr:rowOff>
    </xdr:from>
    <xdr:to>
      <xdr:col>15</xdr:col>
      <xdr:colOff>47625</xdr:colOff>
      <xdr:row>44</xdr:row>
      <xdr:rowOff>104775</xdr:rowOff>
    </xdr:to>
    <xdr:graphicFrame macro="">
      <xdr:nvGraphicFramePr>
        <xdr:cNvPr id="2071" name="Chart 4">
          <a:extLst>
            <a:ext uri="{FF2B5EF4-FFF2-40B4-BE49-F238E27FC236}">
              <a16:creationId xmlns:a16="http://schemas.microsoft.com/office/drawing/2014/main" id="{612FCC9F-C383-471F-8652-5FA0DD9FF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2"/>
  </sheetPr>
  <dimension ref="A1:K48"/>
  <sheetViews>
    <sheetView tabSelected="1" workbookViewId="0">
      <selection activeCell="G14" sqref="G14"/>
    </sheetView>
  </sheetViews>
  <sheetFormatPr defaultRowHeight="12.75" x14ac:dyDescent="0.2"/>
  <cols>
    <col min="1" max="1" width="18.42578125" customWidth="1"/>
    <col min="7" max="7" width="20.7109375" customWidth="1"/>
    <col min="9" max="9" width="13.5703125" bestFit="1" customWidth="1"/>
  </cols>
  <sheetData>
    <row r="1" spans="1:11" s="2" customFormat="1" x14ac:dyDescent="0.2">
      <c r="A1" s="4" t="s">
        <v>42</v>
      </c>
      <c r="B1" s="29" t="s">
        <v>57</v>
      </c>
      <c r="C1" s="29" t="s">
        <v>58</v>
      </c>
      <c r="D1" s="29" t="s">
        <v>59</v>
      </c>
      <c r="E1" s="4"/>
      <c r="G1" s="16" t="s">
        <v>49</v>
      </c>
      <c r="H1" s="17"/>
      <c r="I1" s="17"/>
      <c r="J1" s="17"/>
      <c r="K1" s="18"/>
    </row>
    <row r="2" spans="1:11" x14ac:dyDescent="0.2">
      <c r="A2" s="5" t="s">
        <v>36</v>
      </c>
      <c r="B2" s="5">
        <v>0.5</v>
      </c>
      <c r="C2" s="5">
        <v>3</v>
      </c>
      <c r="D2" s="5">
        <v>15</v>
      </c>
      <c r="E2" s="5" t="s">
        <v>37</v>
      </c>
      <c r="G2" s="19" t="s">
        <v>0</v>
      </c>
      <c r="H2" s="6" t="s">
        <v>1</v>
      </c>
      <c r="I2" s="7"/>
      <c r="J2" s="31" t="s">
        <v>61</v>
      </c>
      <c r="K2" s="32" t="s">
        <v>62</v>
      </c>
    </row>
    <row r="3" spans="1:11" x14ac:dyDescent="0.2">
      <c r="A3" s="5" t="s">
        <v>35</v>
      </c>
      <c r="B3" s="5">
        <f>B2*$H$6*3600</f>
        <v>10929.387905228727</v>
      </c>
      <c r="C3" s="5">
        <f>C2*$H$6*3600</f>
        <v>65576.327431372352</v>
      </c>
      <c r="D3" s="5">
        <f>D2*$H$6*3600</f>
        <v>327881.63715686183</v>
      </c>
      <c r="E3" s="5" t="s">
        <v>28</v>
      </c>
      <c r="G3" s="19" t="s">
        <v>2</v>
      </c>
      <c r="H3" s="7">
        <f>VALUE(RIGHT(REPLACE(H2,FIND(".",H2),1,K2),LEN(H2)-FIND(":",H2)))</f>
        <v>146.06</v>
      </c>
      <c r="I3" s="7" t="s">
        <v>3</v>
      </c>
      <c r="J3" s="7"/>
      <c r="K3" s="20"/>
    </row>
    <row r="4" spans="1:11" x14ac:dyDescent="0.2">
      <c r="A4" s="8" t="s">
        <v>38</v>
      </c>
      <c r="B4" s="8" t="s">
        <v>39</v>
      </c>
      <c r="G4" s="19" t="s">
        <v>13</v>
      </c>
      <c r="H4" s="6">
        <f>273.15+20</f>
        <v>293.14999999999998</v>
      </c>
      <c r="I4" s="7" t="s">
        <v>29</v>
      </c>
      <c r="J4" s="7"/>
      <c r="K4" s="20"/>
    </row>
    <row r="5" spans="1:11" x14ac:dyDescent="0.2">
      <c r="A5">
        <v>10</v>
      </c>
      <c r="B5">
        <f t="shared" ref="B5:D25" si="0">B$3/$A5</f>
        <v>1092.9387905228728</v>
      </c>
      <c r="C5">
        <f t="shared" si="0"/>
        <v>6557.6327431372356</v>
      </c>
      <c r="D5">
        <f t="shared" si="0"/>
        <v>32788.163715686183</v>
      </c>
      <c r="G5" s="19" t="s">
        <v>30</v>
      </c>
      <c r="H5" s="6">
        <v>101325</v>
      </c>
      <c r="I5" s="7" t="s">
        <v>31</v>
      </c>
      <c r="J5" s="7"/>
      <c r="K5" s="20"/>
    </row>
    <row r="6" spans="1:11" x14ac:dyDescent="0.2">
      <c r="A6">
        <f>A5*1.5</f>
        <v>15</v>
      </c>
      <c r="B6">
        <f t="shared" si="0"/>
        <v>728.6258603485818</v>
      </c>
      <c r="C6">
        <f t="shared" si="0"/>
        <v>4371.7551620914901</v>
      </c>
      <c r="D6">
        <f t="shared" si="0"/>
        <v>21858.775810457457</v>
      </c>
      <c r="G6" s="19" t="s">
        <v>32</v>
      </c>
      <c r="H6" s="10">
        <f>H5/(8.314472*H4)*H3/1000</f>
        <v>6.0718821695715146</v>
      </c>
      <c r="I6" s="7" t="s">
        <v>33</v>
      </c>
      <c r="J6" s="7"/>
      <c r="K6" s="20"/>
    </row>
    <row r="7" spans="1:11" x14ac:dyDescent="0.2">
      <c r="A7">
        <f>A6*1.5</f>
        <v>22.5</v>
      </c>
      <c r="B7">
        <f t="shared" si="0"/>
        <v>485.7505735657212</v>
      </c>
      <c r="C7">
        <f t="shared" si="0"/>
        <v>2914.5034413943267</v>
      </c>
      <c r="D7">
        <f t="shared" si="0"/>
        <v>14572.517206971637</v>
      </c>
      <c r="G7" s="19" t="s">
        <v>46</v>
      </c>
      <c r="H7" s="6">
        <v>6.0000000000000001E-3</v>
      </c>
      <c r="I7" s="7" t="s">
        <v>48</v>
      </c>
      <c r="J7" s="11"/>
      <c r="K7" s="21"/>
    </row>
    <row r="8" spans="1:11" x14ac:dyDescent="0.2">
      <c r="A8">
        <f t="shared" ref="A8:A24" si="1">A7*1.5</f>
        <v>33.75</v>
      </c>
      <c r="B8">
        <f t="shared" si="0"/>
        <v>323.83371571048076</v>
      </c>
      <c r="C8">
        <f t="shared" si="0"/>
        <v>1943.0022942628846</v>
      </c>
      <c r="D8">
        <f t="shared" si="0"/>
        <v>9715.0114713144249</v>
      </c>
      <c r="G8" s="19" t="s">
        <v>43</v>
      </c>
      <c r="H8" s="6">
        <v>20</v>
      </c>
      <c r="I8" s="7" t="s">
        <v>44</v>
      </c>
      <c r="J8" s="11"/>
      <c r="K8" s="21"/>
    </row>
    <row r="9" spans="1:11" x14ac:dyDescent="0.2">
      <c r="A9">
        <f t="shared" si="1"/>
        <v>50.625</v>
      </c>
      <c r="B9">
        <f t="shared" si="0"/>
        <v>215.88914380698719</v>
      </c>
      <c r="C9">
        <f t="shared" si="0"/>
        <v>1295.334862841923</v>
      </c>
      <c r="D9">
        <f t="shared" si="0"/>
        <v>6476.6743142096166</v>
      </c>
      <c r="G9" s="19" t="s">
        <v>45</v>
      </c>
      <c r="H9" s="7">
        <f>2.236068/SQRT(H8)</f>
        <v>0.5000000050311999</v>
      </c>
      <c r="I9" s="12" t="s">
        <v>47</v>
      </c>
      <c r="J9" s="11"/>
      <c r="K9" s="21"/>
    </row>
    <row r="10" spans="1:11" x14ac:dyDescent="0.2">
      <c r="A10">
        <f t="shared" si="1"/>
        <v>75.9375</v>
      </c>
      <c r="B10">
        <f t="shared" si="0"/>
        <v>143.9260958713248</v>
      </c>
      <c r="C10">
        <f t="shared" si="0"/>
        <v>863.55657522794866</v>
      </c>
      <c r="D10">
        <f t="shared" si="0"/>
        <v>4317.7828761397441</v>
      </c>
      <c r="G10" s="19" t="s">
        <v>52</v>
      </c>
      <c r="H10" s="22" t="s">
        <v>53</v>
      </c>
      <c r="I10" s="7" t="str">
        <f>IF(H10="normal","(1-point calibration)","(2-point calibration)")</f>
        <v>(1-point calibration)</v>
      </c>
      <c r="J10" s="7"/>
      <c r="K10" s="20"/>
    </row>
    <row r="11" spans="1:11" x14ac:dyDescent="0.2">
      <c r="A11">
        <f t="shared" si="1"/>
        <v>113.90625</v>
      </c>
      <c r="B11">
        <f t="shared" si="0"/>
        <v>95.950730580883203</v>
      </c>
      <c r="C11">
        <f t="shared" si="0"/>
        <v>575.7043834852991</v>
      </c>
      <c r="D11">
        <f t="shared" si="0"/>
        <v>2878.5219174264962</v>
      </c>
      <c r="G11" s="23" t="s">
        <v>50</v>
      </c>
      <c r="H11" s="13"/>
      <c r="I11" s="13"/>
      <c r="J11" s="14"/>
      <c r="K11" s="24"/>
    </row>
    <row r="12" spans="1:11" x14ac:dyDescent="0.2">
      <c r="A12">
        <f t="shared" si="1"/>
        <v>170.859375</v>
      </c>
      <c r="B12">
        <f t="shared" si="0"/>
        <v>63.967153720588797</v>
      </c>
      <c r="C12">
        <f t="shared" si="0"/>
        <v>383.80292232353275</v>
      </c>
      <c r="D12">
        <f t="shared" si="0"/>
        <v>1919.0146116176641</v>
      </c>
      <c r="G12" s="19" t="s">
        <v>51</v>
      </c>
      <c r="H12" s="9">
        <f>H9*H7</f>
        <v>3.0000000301871996E-3</v>
      </c>
      <c r="I12" s="9" t="s">
        <v>48</v>
      </c>
      <c r="J12" s="11">
        <f>H12*H$6</f>
        <v>1.8215646692007662E-2</v>
      </c>
      <c r="K12" s="21" t="s">
        <v>22</v>
      </c>
    </row>
    <row r="13" spans="1:11" ht="13.5" thickBot="1" x14ac:dyDescent="0.25">
      <c r="A13">
        <f t="shared" si="1"/>
        <v>256.2890625</v>
      </c>
      <c r="B13">
        <f t="shared" si="0"/>
        <v>42.644769147059201</v>
      </c>
      <c r="C13">
        <f t="shared" si="0"/>
        <v>255.86861488235516</v>
      </c>
      <c r="D13">
        <f t="shared" si="0"/>
        <v>1279.3430744117761</v>
      </c>
      <c r="G13" s="25" t="str">
        <f>"Max " &amp;I10</f>
        <v>Max (1-point calibration)</v>
      </c>
      <c r="H13" s="26">
        <f>10000*H$7*IF(H10="normal",1,10)</f>
        <v>60</v>
      </c>
      <c r="I13" s="26" t="s">
        <v>48</v>
      </c>
      <c r="J13" s="27">
        <f>H13*H$6</f>
        <v>364.3129301742909</v>
      </c>
      <c r="K13" s="28" t="s">
        <v>22</v>
      </c>
    </row>
    <row r="14" spans="1:11" x14ac:dyDescent="0.2">
      <c r="A14">
        <f t="shared" si="1"/>
        <v>384.43359375</v>
      </c>
      <c r="B14">
        <f t="shared" si="0"/>
        <v>28.429846098039466</v>
      </c>
      <c r="C14">
        <f t="shared" si="0"/>
        <v>170.57907658823677</v>
      </c>
      <c r="D14">
        <f t="shared" si="0"/>
        <v>852.89538294118404</v>
      </c>
      <c r="G14" s="30" t="s">
        <v>76</v>
      </c>
      <c r="H14" s="9"/>
      <c r="I14" s="9"/>
      <c r="J14" s="11"/>
      <c r="K14" s="11"/>
    </row>
    <row r="15" spans="1:11" x14ac:dyDescent="0.2">
      <c r="A15">
        <f t="shared" si="1"/>
        <v>576.650390625</v>
      </c>
      <c r="B15">
        <f t="shared" si="0"/>
        <v>18.953230732026309</v>
      </c>
      <c r="C15">
        <f t="shared" si="0"/>
        <v>113.71938439215785</v>
      </c>
      <c r="D15">
        <f t="shared" si="0"/>
        <v>568.59692196078936</v>
      </c>
    </row>
    <row r="16" spans="1:11" x14ac:dyDescent="0.2">
      <c r="A16">
        <f t="shared" si="1"/>
        <v>864.9755859375</v>
      </c>
      <c r="B16">
        <f t="shared" si="0"/>
        <v>12.635487154684206</v>
      </c>
      <c r="C16">
        <f t="shared" si="0"/>
        <v>75.812922928105237</v>
      </c>
      <c r="D16">
        <f t="shared" si="0"/>
        <v>379.06461464052626</v>
      </c>
    </row>
    <row r="17" spans="1:4" x14ac:dyDescent="0.2">
      <c r="A17">
        <f t="shared" si="1"/>
        <v>1297.46337890625</v>
      </c>
      <c r="B17">
        <f t="shared" si="0"/>
        <v>8.4236581031228042</v>
      </c>
      <c r="C17">
        <f t="shared" si="0"/>
        <v>50.541948618736825</v>
      </c>
      <c r="D17">
        <f t="shared" si="0"/>
        <v>252.70974309368415</v>
      </c>
    </row>
    <row r="18" spans="1:4" x14ac:dyDescent="0.2">
      <c r="A18">
        <f t="shared" si="1"/>
        <v>1946.195068359375</v>
      </c>
      <c r="B18">
        <f t="shared" si="0"/>
        <v>5.6157720687485364</v>
      </c>
      <c r="C18">
        <f t="shared" si="0"/>
        <v>33.694632412491217</v>
      </c>
      <c r="D18">
        <f t="shared" si="0"/>
        <v>168.47316206245611</v>
      </c>
    </row>
    <row r="19" spans="1:4" x14ac:dyDescent="0.2">
      <c r="A19">
        <f t="shared" si="1"/>
        <v>2919.2926025390625</v>
      </c>
      <c r="B19">
        <f t="shared" si="0"/>
        <v>3.7438480458323578</v>
      </c>
      <c r="C19">
        <f t="shared" si="0"/>
        <v>22.463088274994142</v>
      </c>
      <c r="D19">
        <f t="shared" si="0"/>
        <v>112.31544137497075</v>
      </c>
    </row>
    <row r="20" spans="1:4" x14ac:dyDescent="0.2">
      <c r="A20">
        <f t="shared" si="1"/>
        <v>4378.9389038085938</v>
      </c>
      <c r="B20">
        <f t="shared" si="0"/>
        <v>2.4958986972215715</v>
      </c>
      <c r="C20">
        <f t="shared" si="0"/>
        <v>14.975392183329429</v>
      </c>
      <c r="D20">
        <f t="shared" si="0"/>
        <v>74.876960916647164</v>
      </c>
    </row>
    <row r="21" spans="1:4" x14ac:dyDescent="0.2">
      <c r="A21">
        <f t="shared" si="1"/>
        <v>6568.4083557128906</v>
      </c>
      <c r="B21">
        <f t="shared" si="0"/>
        <v>1.6639324648143812</v>
      </c>
      <c r="C21">
        <f t="shared" si="0"/>
        <v>9.9835947888862862</v>
      </c>
      <c r="D21">
        <f t="shared" si="0"/>
        <v>49.917973944431438</v>
      </c>
    </row>
    <row r="22" spans="1:4" x14ac:dyDescent="0.2">
      <c r="A22">
        <f t="shared" si="1"/>
        <v>9852.6125335693359</v>
      </c>
      <c r="B22">
        <f t="shared" si="0"/>
        <v>1.109288309876254</v>
      </c>
      <c r="C22">
        <f t="shared" si="0"/>
        <v>6.6557298592575238</v>
      </c>
      <c r="D22">
        <f t="shared" si="0"/>
        <v>33.278649296287625</v>
      </c>
    </row>
    <row r="23" spans="1:4" x14ac:dyDescent="0.2">
      <c r="A23">
        <f t="shared" si="1"/>
        <v>14778.918800354004</v>
      </c>
      <c r="B23">
        <f t="shared" si="0"/>
        <v>0.73952553991750269</v>
      </c>
      <c r="C23">
        <f t="shared" si="0"/>
        <v>4.4371532395050162</v>
      </c>
      <c r="D23">
        <f t="shared" si="0"/>
        <v>22.185766197525083</v>
      </c>
    </row>
    <row r="24" spans="1:4" x14ac:dyDescent="0.2">
      <c r="A24">
        <f t="shared" si="1"/>
        <v>22168.378200531006</v>
      </c>
      <c r="B24">
        <f t="shared" si="0"/>
        <v>0.49301702661166852</v>
      </c>
      <c r="C24">
        <f t="shared" si="0"/>
        <v>2.9581021596700108</v>
      </c>
      <c r="D24">
        <f t="shared" si="0"/>
        <v>14.790510798350056</v>
      </c>
    </row>
    <row r="25" spans="1:4" x14ac:dyDescent="0.2">
      <c r="A25">
        <f>A24*1.5</f>
        <v>33252.567300796509</v>
      </c>
      <c r="B25">
        <f t="shared" si="0"/>
        <v>0.32867801774111233</v>
      </c>
      <c r="C25">
        <f t="shared" si="0"/>
        <v>1.9720681064466739</v>
      </c>
      <c r="D25">
        <f t="shared" si="0"/>
        <v>9.860340532233371</v>
      </c>
    </row>
    <row r="27" spans="1:4" x14ac:dyDescent="0.2">
      <c r="A27" s="8" t="s">
        <v>38</v>
      </c>
      <c r="B27" s="8" t="s">
        <v>40</v>
      </c>
    </row>
    <row r="28" spans="1:4" x14ac:dyDescent="0.2">
      <c r="A28">
        <f t="shared" ref="A28:A48" si="2">A5</f>
        <v>10</v>
      </c>
      <c r="B28" t="e">
        <f t="shared" ref="B28:D46" si="3">IF(B5/$H$6&gt;$H$13,#N/A,IF(B5/$H$6&lt;$H$12,#N/A,B5/$H$6))</f>
        <v>#N/A</v>
      </c>
      <c r="C28" t="e">
        <f t="shared" si="3"/>
        <v>#N/A</v>
      </c>
      <c r="D28" t="e">
        <f t="shared" si="3"/>
        <v>#N/A</v>
      </c>
    </row>
    <row r="29" spans="1:4" x14ac:dyDescent="0.2">
      <c r="A29">
        <f t="shared" si="2"/>
        <v>15</v>
      </c>
      <c r="B29" t="e">
        <f t="shared" si="3"/>
        <v>#N/A</v>
      </c>
      <c r="C29" t="e">
        <f t="shared" si="3"/>
        <v>#N/A</v>
      </c>
      <c r="D29" t="e">
        <f t="shared" si="3"/>
        <v>#N/A</v>
      </c>
    </row>
    <row r="30" spans="1:4" x14ac:dyDescent="0.2">
      <c r="A30">
        <f t="shared" si="2"/>
        <v>22.5</v>
      </c>
      <c r="B30" t="e">
        <f t="shared" si="3"/>
        <v>#N/A</v>
      </c>
      <c r="C30" t="e">
        <f t="shared" si="3"/>
        <v>#N/A</v>
      </c>
      <c r="D30" t="e">
        <f t="shared" si="3"/>
        <v>#N/A</v>
      </c>
    </row>
    <row r="31" spans="1:4" x14ac:dyDescent="0.2">
      <c r="A31">
        <f t="shared" si="2"/>
        <v>33.75</v>
      </c>
      <c r="B31">
        <f t="shared" si="3"/>
        <v>53.333333333333329</v>
      </c>
      <c r="C31" t="e">
        <f t="shared" si="3"/>
        <v>#N/A</v>
      </c>
      <c r="D31" t="e">
        <f t="shared" si="3"/>
        <v>#N/A</v>
      </c>
    </row>
    <row r="32" spans="1:4" x14ac:dyDescent="0.2">
      <c r="A32">
        <f t="shared" si="2"/>
        <v>50.625</v>
      </c>
      <c r="B32">
        <f t="shared" si="3"/>
        <v>35.555555555555557</v>
      </c>
      <c r="C32" t="e">
        <f t="shared" si="3"/>
        <v>#N/A</v>
      </c>
      <c r="D32" t="e">
        <f t="shared" si="3"/>
        <v>#N/A</v>
      </c>
    </row>
    <row r="33" spans="1:4" x14ac:dyDescent="0.2">
      <c r="A33">
        <f t="shared" si="2"/>
        <v>75.9375</v>
      </c>
      <c r="B33">
        <f t="shared" si="3"/>
        <v>23.703703703703706</v>
      </c>
      <c r="C33" t="e">
        <f t="shared" si="3"/>
        <v>#N/A</v>
      </c>
      <c r="D33" t="e">
        <f t="shared" si="3"/>
        <v>#N/A</v>
      </c>
    </row>
    <row r="34" spans="1:4" x14ac:dyDescent="0.2">
      <c r="A34">
        <f t="shared" si="2"/>
        <v>113.90625</v>
      </c>
      <c r="B34">
        <f t="shared" si="3"/>
        <v>15.80246913580247</v>
      </c>
      <c r="C34" t="e">
        <f t="shared" si="3"/>
        <v>#N/A</v>
      </c>
      <c r="D34" t="e">
        <f t="shared" si="3"/>
        <v>#N/A</v>
      </c>
    </row>
    <row r="35" spans="1:4" x14ac:dyDescent="0.2">
      <c r="A35">
        <f t="shared" si="2"/>
        <v>170.859375</v>
      </c>
      <c r="B35">
        <f t="shared" si="3"/>
        <v>10.534979423868313</v>
      </c>
      <c r="C35" t="e">
        <f t="shared" si="3"/>
        <v>#N/A</v>
      </c>
      <c r="D35" t="e">
        <f t="shared" si="3"/>
        <v>#N/A</v>
      </c>
    </row>
    <row r="36" spans="1:4" x14ac:dyDescent="0.2">
      <c r="A36">
        <f t="shared" si="2"/>
        <v>256.2890625</v>
      </c>
      <c r="B36">
        <f t="shared" si="3"/>
        <v>7.0233196159122091</v>
      </c>
      <c r="C36">
        <f t="shared" si="3"/>
        <v>42.139917695473244</v>
      </c>
      <c r="D36" t="e">
        <f t="shared" si="3"/>
        <v>#N/A</v>
      </c>
    </row>
    <row r="37" spans="1:4" x14ac:dyDescent="0.2">
      <c r="A37">
        <f t="shared" si="2"/>
        <v>384.43359375</v>
      </c>
      <c r="B37">
        <f t="shared" si="3"/>
        <v>4.6822130772748061</v>
      </c>
      <c r="C37">
        <f t="shared" si="3"/>
        <v>28.093278463648833</v>
      </c>
      <c r="D37" t="e">
        <f t="shared" si="3"/>
        <v>#N/A</v>
      </c>
    </row>
    <row r="38" spans="1:4" x14ac:dyDescent="0.2">
      <c r="A38">
        <f t="shared" si="2"/>
        <v>576.650390625</v>
      </c>
      <c r="B38">
        <f t="shared" si="3"/>
        <v>3.1214753848498704</v>
      </c>
      <c r="C38">
        <f t="shared" si="3"/>
        <v>18.728852309099221</v>
      </c>
      <c r="D38" t="e">
        <f t="shared" si="3"/>
        <v>#N/A</v>
      </c>
    </row>
    <row r="39" spans="1:4" x14ac:dyDescent="0.2">
      <c r="A39">
        <f t="shared" si="2"/>
        <v>864.9755859375</v>
      </c>
      <c r="B39">
        <f t="shared" si="3"/>
        <v>2.0809835898999136</v>
      </c>
      <c r="C39">
        <f t="shared" si="3"/>
        <v>12.485901539399482</v>
      </c>
      <c r="D39" t="e">
        <f t="shared" si="3"/>
        <v>#N/A</v>
      </c>
    </row>
    <row r="40" spans="1:4" x14ac:dyDescent="0.2">
      <c r="A40">
        <f t="shared" si="2"/>
        <v>1297.46337890625</v>
      </c>
      <c r="B40">
        <f t="shared" si="3"/>
        <v>1.387322393266609</v>
      </c>
      <c r="C40">
        <f t="shared" si="3"/>
        <v>8.3239343595996544</v>
      </c>
      <c r="D40">
        <f t="shared" si="3"/>
        <v>41.619671797998279</v>
      </c>
    </row>
    <row r="41" spans="1:4" x14ac:dyDescent="0.2">
      <c r="A41">
        <f t="shared" si="2"/>
        <v>1946.195068359375</v>
      </c>
      <c r="B41">
        <f t="shared" si="3"/>
        <v>0.92488159551107274</v>
      </c>
      <c r="C41">
        <f t="shared" si="3"/>
        <v>5.549289573066436</v>
      </c>
      <c r="D41">
        <f t="shared" si="3"/>
        <v>27.746447865332186</v>
      </c>
    </row>
    <row r="42" spans="1:4" x14ac:dyDescent="0.2">
      <c r="A42">
        <f t="shared" si="2"/>
        <v>2919.2926025390625</v>
      </c>
      <c r="B42">
        <f t="shared" si="3"/>
        <v>0.61658773034071523</v>
      </c>
      <c r="C42">
        <f t="shared" si="3"/>
        <v>3.6995263820442905</v>
      </c>
      <c r="D42">
        <f t="shared" si="3"/>
        <v>18.497631910221457</v>
      </c>
    </row>
    <row r="43" spans="1:4" x14ac:dyDescent="0.2">
      <c r="A43">
        <f t="shared" si="2"/>
        <v>4378.9389038085938</v>
      </c>
      <c r="B43">
        <f t="shared" si="3"/>
        <v>0.41105848689381008</v>
      </c>
      <c r="C43">
        <f t="shared" si="3"/>
        <v>2.4663509213628605</v>
      </c>
      <c r="D43">
        <f t="shared" si="3"/>
        <v>12.331754606814306</v>
      </c>
    </row>
    <row r="44" spans="1:4" x14ac:dyDescent="0.2">
      <c r="A44">
        <f t="shared" si="2"/>
        <v>6568.4083557128906</v>
      </c>
      <c r="B44">
        <f t="shared" si="3"/>
        <v>0.27403899126254005</v>
      </c>
      <c r="C44">
        <f t="shared" si="3"/>
        <v>1.6442339475752403</v>
      </c>
      <c r="D44">
        <f t="shared" si="3"/>
        <v>8.2211697378762025</v>
      </c>
    </row>
    <row r="45" spans="1:4" x14ac:dyDescent="0.2">
      <c r="A45">
        <f t="shared" si="2"/>
        <v>9852.6125335693359</v>
      </c>
      <c r="B45">
        <f t="shared" si="3"/>
        <v>0.18269266084169336</v>
      </c>
      <c r="C45">
        <f t="shared" si="3"/>
        <v>1.0961559650501602</v>
      </c>
      <c r="D45">
        <f t="shared" si="3"/>
        <v>5.480779825250802</v>
      </c>
    </row>
    <row r="46" spans="1:4" x14ac:dyDescent="0.2">
      <c r="A46">
        <f t="shared" si="2"/>
        <v>14778.918800354004</v>
      </c>
      <c r="B46">
        <f t="shared" si="3"/>
        <v>0.12179510722779559</v>
      </c>
      <c r="C46">
        <f t="shared" si="3"/>
        <v>0.73077064336677344</v>
      </c>
      <c r="D46">
        <f t="shared" si="3"/>
        <v>3.653853216833868</v>
      </c>
    </row>
    <row r="47" spans="1:4" x14ac:dyDescent="0.2">
      <c r="A47">
        <f t="shared" si="2"/>
        <v>22168.378200531006</v>
      </c>
      <c r="B47">
        <f t="shared" ref="B47:D48" si="4">IF(B24/$H$6&gt;$H$13,#N/A,IF(B24/$H$6&lt;$H$12,#N/A,B24/$H$6))</f>
        <v>8.1196738151863734E-2</v>
      </c>
      <c r="C47">
        <f t="shared" si="4"/>
        <v>0.48718042891118235</v>
      </c>
      <c r="D47">
        <f t="shared" si="4"/>
        <v>2.4359021445559117</v>
      </c>
    </row>
    <row r="48" spans="1:4" x14ac:dyDescent="0.2">
      <c r="A48">
        <f t="shared" si="2"/>
        <v>33252.567300796509</v>
      </c>
      <c r="B48">
        <f t="shared" si="4"/>
        <v>5.4131158767909152E-2</v>
      </c>
      <c r="C48">
        <f t="shared" si="4"/>
        <v>0.32478695260745488</v>
      </c>
      <c r="D48">
        <f t="shared" si="4"/>
        <v>1.6239347630372747</v>
      </c>
    </row>
  </sheetData>
  <phoneticPr fontId="2" type="noConversion"/>
  <dataValidations count="3">
    <dataValidation type="list" allowBlank="1" showInputMessage="1" showErrorMessage="1" sqref="H2" xr:uid="{00000000-0002-0000-0000-000000000000}">
      <formula1>"SF6: 146.06,Air: 28.9645,CO2: 44.0098,CO: 28.0104,N2O: 44.0128,Isobutane: 58.12"</formula1>
    </dataValidation>
    <dataValidation type="list" allowBlank="1" showInputMessage="1" showErrorMessage="1" sqref="H8" xr:uid="{00000000-0002-0000-0000-000001000000}">
      <formula1>"0.5,1,2,5,10,20,50"</formula1>
    </dataValidation>
    <dataValidation type="list" allowBlank="1" showInputMessage="1" showErrorMessage="1" sqref="H10" xr:uid="{00000000-0002-0000-0000-000002000000}">
      <formula1>"normal,accurate"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2"/>
  </sheetPr>
  <dimension ref="A1:L25"/>
  <sheetViews>
    <sheetView workbookViewId="0">
      <selection activeCell="A24" sqref="A24"/>
    </sheetView>
  </sheetViews>
  <sheetFormatPr defaultRowHeight="12.75" x14ac:dyDescent="0.2"/>
  <cols>
    <col min="1" max="1" width="30.42578125" customWidth="1"/>
    <col min="2" max="2" width="12.5703125" customWidth="1"/>
    <col min="3" max="3" width="12" bestFit="1" customWidth="1"/>
    <col min="5" max="5" width="10" bestFit="1" customWidth="1"/>
    <col min="7" max="7" width="10" bestFit="1" customWidth="1"/>
    <col min="9" max="9" width="12.42578125" bestFit="1" customWidth="1"/>
  </cols>
  <sheetData>
    <row r="1" spans="1:12" x14ac:dyDescent="0.2">
      <c r="A1" t="s">
        <v>0</v>
      </c>
      <c r="C1" s="1" t="s">
        <v>1</v>
      </c>
    </row>
    <row r="2" spans="1:12" x14ac:dyDescent="0.2">
      <c r="A2" t="s">
        <v>2</v>
      </c>
      <c r="C2">
        <f>VALUE(RIGHT(C1,LEN(C1)-FIND(":",C1)))</f>
        <v>146.06</v>
      </c>
      <c r="D2" t="s">
        <v>3</v>
      </c>
    </row>
    <row r="3" spans="1:12" x14ac:dyDescent="0.2">
      <c r="A3" t="s">
        <v>10</v>
      </c>
      <c r="C3" s="1">
        <v>10.3</v>
      </c>
      <c r="D3" t="s">
        <v>11</v>
      </c>
    </row>
    <row r="4" spans="1:12" x14ac:dyDescent="0.2">
      <c r="A4" t="s">
        <v>4</v>
      </c>
      <c r="C4" s="1">
        <v>15.4</v>
      </c>
      <c r="D4" t="s">
        <v>5</v>
      </c>
    </row>
    <row r="5" spans="1:12" x14ac:dyDescent="0.2">
      <c r="A5" t="s">
        <v>21</v>
      </c>
      <c r="C5" s="1">
        <v>0</v>
      </c>
      <c r="D5" t="s">
        <v>8</v>
      </c>
    </row>
    <row r="6" spans="1:12" x14ac:dyDescent="0.2">
      <c r="A6" t="s">
        <v>13</v>
      </c>
      <c r="C6" s="34">
        <v>20</v>
      </c>
      <c r="D6" t="s">
        <v>14</v>
      </c>
    </row>
    <row r="7" spans="1:12" x14ac:dyDescent="0.2">
      <c r="A7" t="s">
        <v>23</v>
      </c>
      <c r="C7" s="2">
        <f>101325/(8.314472*(273.15+C6))*C2/1000</f>
        <v>6.0718821695715146</v>
      </c>
      <c r="D7" t="s">
        <v>34</v>
      </c>
    </row>
    <row r="8" spans="1:12" x14ac:dyDescent="0.2">
      <c r="A8" t="s">
        <v>54</v>
      </c>
      <c r="C8" s="15" t="s">
        <v>56</v>
      </c>
    </row>
    <row r="9" spans="1:12" x14ac:dyDescent="0.2">
      <c r="A9" t="s">
        <v>26</v>
      </c>
      <c r="C9">
        <f>IF(C8="1 (small)",0.5,IF(C8="6 (large)",15,3))</f>
        <v>0.5</v>
      </c>
      <c r="D9" t="s">
        <v>37</v>
      </c>
      <c r="E9">
        <f>C9/1000000</f>
        <v>4.9999999999999998E-7</v>
      </c>
      <c r="F9" t="s">
        <v>60</v>
      </c>
      <c r="G9">
        <f>E9*3600</f>
        <v>1.8E-3</v>
      </c>
      <c r="H9" t="s">
        <v>27</v>
      </c>
      <c r="I9">
        <f>E9*C7</f>
        <v>3.0359410847857573E-6</v>
      </c>
      <c r="J9" s="3" t="s">
        <v>63</v>
      </c>
      <c r="K9">
        <f>I9*1000000</f>
        <v>3.0359410847857573</v>
      </c>
      <c r="L9" s="3" t="s">
        <v>64</v>
      </c>
    </row>
    <row r="10" spans="1:12" x14ac:dyDescent="0.2">
      <c r="A10" t="s">
        <v>24</v>
      </c>
      <c r="C10" s="1">
        <v>10</v>
      </c>
      <c r="D10" s="3" t="s">
        <v>22</v>
      </c>
      <c r="E10" t="s">
        <v>41</v>
      </c>
    </row>
    <row r="11" spans="1:12" x14ac:dyDescent="0.2">
      <c r="C11" s="2">
        <f>C10*(8.314472*293.15/101325)/C2*1000</f>
        <v>1.6469357804922107</v>
      </c>
      <c r="D11" s="2" t="s">
        <v>74</v>
      </c>
    </row>
    <row r="12" spans="1:12" x14ac:dyDescent="0.2">
      <c r="C12">
        <f>C10*(8.314472*293.15/101325)/28.9645*1000</f>
        <v>8.3050437638727512</v>
      </c>
      <c r="D12" s="3" t="s">
        <v>75</v>
      </c>
    </row>
    <row r="13" spans="1:12" x14ac:dyDescent="0.2">
      <c r="A13" s="3" t="s">
        <v>67</v>
      </c>
      <c r="C13" s="36">
        <v>12114</v>
      </c>
      <c r="D13" s="3" t="s">
        <v>73</v>
      </c>
    </row>
    <row r="14" spans="1:12" x14ac:dyDescent="0.2">
      <c r="A14" s="3"/>
      <c r="C14" s="35"/>
      <c r="D14" s="3"/>
    </row>
    <row r="15" spans="1:12" ht="25.5" x14ac:dyDescent="0.2">
      <c r="B15" s="38" t="s">
        <v>71</v>
      </c>
      <c r="C15" s="38" t="s">
        <v>72</v>
      </c>
    </row>
    <row r="16" spans="1:12" x14ac:dyDescent="0.2">
      <c r="A16" t="s">
        <v>6</v>
      </c>
      <c r="C16" s="1">
        <v>16.3</v>
      </c>
      <c r="D16" t="s">
        <v>7</v>
      </c>
    </row>
    <row r="17" spans="1:8" x14ac:dyDescent="0.2">
      <c r="A17" t="s">
        <v>9</v>
      </c>
      <c r="B17">
        <f>B18*C2/1000</f>
        <v>1.2344530521094965</v>
      </c>
      <c r="C17">
        <f>C16-C5-C4</f>
        <v>0.90000000000000036</v>
      </c>
      <c r="D17" t="s">
        <v>8</v>
      </c>
    </row>
    <row r="18" spans="1:8" x14ac:dyDescent="0.2">
      <c r="A18" s="3" t="s">
        <v>65</v>
      </c>
      <c r="B18">
        <f>B19/(273.15+C6)/8.314459848</f>
        <v>8.4516845961214315</v>
      </c>
      <c r="C18">
        <f>C17*1000/C2</f>
        <v>6.1618512939887742</v>
      </c>
      <c r="D18" t="s">
        <v>12</v>
      </c>
    </row>
    <row r="19" spans="1:8" x14ac:dyDescent="0.2">
      <c r="A19" t="s">
        <v>19</v>
      </c>
      <c r="B19">
        <f>B21*C3</f>
        <v>20600</v>
      </c>
      <c r="C19">
        <f>C18*8.314472*(273.15+C6)</f>
        <v>15018.8191162536</v>
      </c>
      <c r="D19" t="s">
        <v>20</v>
      </c>
    </row>
    <row r="20" spans="1:8" x14ac:dyDescent="0.2">
      <c r="A20" t="s">
        <v>15</v>
      </c>
      <c r="B20" s="34">
        <v>20</v>
      </c>
      <c r="C20">
        <f>C19/(C3/1000)/100000</f>
        <v>14.581377782770486</v>
      </c>
      <c r="D20" t="s">
        <v>16</v>
      </c>
    </row>
    <row r="21" spans="1:8" x14ac:dyDescent="0.2">
      <c r="A21" t="s">
        <v>15</v>
      </c>
      <c r="B21">
        <f>B20*100</f>
        <v>2000</v>
      </c>
      <c r="C21">
        <f>C19/(C3/1000)/1000</f>
        <v>1458.1377782770487</v>
      </c>
      <c r="D21" t="s">
        <v>17</v>
      </c>
    </row>
    <row r="22" spans="1:8" x14ac:dyDescent="0.2">
      <c r="A22" t="s">
        <v>15</v>
      </c>
      <c r="B22">
        <f>B20/0.981</f>
        <v>20.387359836901123</v>
      </c>
      <c r="C22">
        <f>C20/0.981</f>
        <v>14.863789788756867</v>
      </c>
      <c r="D22" t="s">
        <v>70</v>
      </c>
    </row>
    <row r="23" spans="1:8" x14ac:dyDescent="0.2">
      <c r="A23" t="s">
        <v>25</v>
      </c>
      <c r="B23" s="2">
        <f>B19/101325</f>
        <v>0.20330619294349864</v>
      </c>
      <c r="C23" s="2">
        <f>C19/101325</f>
        <v>0.14822422024429904</v>
      </c>
      <c r="D23" t="s">
        <v>18</v>
      </c>
    </row>
    <row r="24" spans="1:8" x14ac:dyDescent="0.2">
      <c r="A24" s="39" t="s">
        <v>55</v>
      </c>
      <c r="B24" s="33">
        <f>B23/$G9</f>
        <v>112.94788496861035</v>
      </c>
      <c r="C24" s="33">
        <f>C23/$G9</f>
        <v>82.346789024610587</v>
      </c>
      <c r="D24" s="39" t="s">
        <v>66</v>
      </c>
      <c r="E24" t="str">
        <f>"← " &amp; INT(ABS(B24-C24)/AVERAGE(B24:C24)*100) &amp; "% discrepancy between the two estimates"</f>
        <v>← 31% discrepancy between the two estimates</v>
      </c>
      <c r="H24" s="37"/>
    </row>
    <row r="25" spans="1:8" x14ac:dyDescent="0.2">
      <c r="A25" s="3" t="s">
        <v>68</v>
      </c>
      <c r="B25" s="35">
        <f>C13/B24</f>
        <v>107.25300436893204</v>
      </c>
      <c r="C25" s="35">
        <f>C13/C24</f>
        <v>147.10956120437856</v>
      </c>
      <c r="D25" s="3" t="s">
        <v>69</v>
      </c>
    </row>
  </sheetData>
  <phoneticPr fontId="2" type="noConversion"/>
  <dataValidations count="2">
    <dataValidation type="list" allowBlank="1" showInputMessage="1" showErrorMessage="1" sqref="C8" xr:uid="{00000000-0002-0000-0100-000000000000}">
      <formula1>"1 (small),2-5 (standard),6 (large)"</formula1>
    </dataValidation>
    <dataValidation type="list" allowBlank="1" showInputMessage="1" showErrorMessage="1" sqref="C1" xr:uid="{00000000-0002-0000-0100-000001000000}">
      <formula1>"SF6: 146.06,Air: 28.9645,CO2: 44.0098,CO: 28.0104,N2O: 44.0128,Isobutane: 58.12"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choosing dosing nozzle</vt:lpstr>
      <vt:lpstr>gas cylinder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Schild</dc:creator>
  <cp:lastModifiedBy>Peter Schild</cp:lastModifiedBy>
  <dcterms:created xsi:type="dcterms:W3CDTF">1996-10-14T23:33:28Z</dcterms:created>
  <dcterms:modified xsi:type="dcterms:W3CDTF">2021-06-21T11:31:30Z</dcterms:modified>
</cp:coreProperties>
</file>