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_Data\Physics\AutoBalance\MiniBalance\"/>
    </mc:Choice>
  </mc:AlternateContent>
  <xr:revisionPtr revIDLastSave="0" documentId="8_{CA1133C8-05D7-42BE-BD62-5D1BCD4E5CE5}" xr6:coauthVersionLast="34" xr6:coauthVersionMax="34" xr10:uidLastSave="{00000000-0000-0000-0000-000000000000}"/>
  <bookViews>
    <workbookView xWindow="180" yWindow="675" windowWidth="17100" windowHeight="8910" activeTab="1" xr2:uid="{00000000-000D-0000-FFFF-FFFF00000000}"/>
  </bookViews>
  <sheets>
    <sheet name="General" sheetId="1" r:id="rId1"/>
    <sheet name="Balancing" sheetId="2" r:id="rId2"/>
    <sheet name="Calcs" sheetId="3" r:id="rId3"/>
  </sheets>
  <definedNames>
    <definedName name="_xlnm.Print_Area" localSheetId="1">Balancing!$A$1:$H$51</definedName>
    <definedName name="_xlnm.Print_Titles" localSheetId="1">Balancing!$1:$1</definedName>
    <definedName name="_xlnm.Print_Titles" localSheetId="2">Calcs!$1:$1</definedName>
  </definedNames>
  <calcPr calcId="179021"/>
</workbook>
</file>

<file path=xl/calcChain.xml><?xml version="1.0" encoding="utf-8"?>
<calcChain xmlns="http://schemas.openxmlformats.org/spreadsheetml/2006/main">
  <c r="B52" i="2" l="1"/>
  <c r="G53" i="3" l="1"/>
  <c r="C53" i="2" l="1"/>
  <c r="AT8" i="3"/>
  <c r="AT6" i="3"/>
  <c r="C51" i="3"/>
  <c r="C50" i="3"/>
  <c r="C49" i="3"/>
  <c r="C48" i="3"/>
  <c r="C47" i="3"/>
  <c r="AM47" i="3" s="1"/>
  <c r="C46" i="3"/>
  <c r="C45" i="3"/>
  <c r="C44" i="3"/>
  <c r="C43" i="3"/>
  <c r="C42" i="3"/>
  <c r="C41" i="3"/>
  <c r="C40" i="3"/>
  <c r="C39" i="3"/>
  <c r="AM39" i="3" s="1"/>
  <c r="C38" i="3"/>
  <c r="C37" i="3"/>
  <c r="C36" i="3"/>
  <c r="C35" i="3"/>
  <c r="C34" i="3"/>
  <c r="C33" i="3"/>
  <c r="C32" i="3"/>
  <c r="C31" i="3"/>
  <c r="AM31" i="3" s="1"/>
  <c r="C30" i="3"/>
  <c r="C29" i="3"/>
  <c r="C28" i="3"/>
  <c r="C27" i="3"/>
  <c r="C26" i="3"/>
  <c r="C25" i="3"/>
  <c r="C24" i="3"/>
  <c r="C23" i="3"/>
  <c r="AM23" i="3" s="1"/>
  <c r="C22" i="3"/>
  <c r="C21" i="3"/>
  <c r="C20" i="3"/>
  <c r="C19" i="3"/>
  <c r="C18" i="3"/>
  <c r="C17" i="3"/>
  <c r="C16" i="3"/>
  <c r="AM16" i="3" s="1"/>
  <c r="C15" i="3"/>
  <c r="C14" i="3"/>
  <c r="AM14" i="3" s="1"/>
  <c r="C13" i="3"/>
  <c r="AM13" i="3" s="1"/>
  <c r="C12" i="3"/>
  <c r="AM12" i="3" s="1"/>
  <c r="C11" i="3"/>
  <c r="AM11" i="3" s="1"/>
  <c r="C10" i="3"/>
  <c r="AM10" i="3" s="1"/>
  <c r="C9" i="3"/>
  <c r="AM9" i="3" s="1"/>
  <c r="C8" i="3"/>
  <c r="AM8" i="3" s="1"/>
  <c r="C7" i="3"/>
  <c r="E7" i="3"/>
  <c r="C6" i="3"/>
  <c r="E6" i="3" s="1"/>
  <c r="C5" i="3"/>
  <c r="AM5" i="3" s="1"/>
  <c r="C4" i="3"/>
  <c r="AM4" i="3" s="1"/>
  <c r="C3" i="3"/>
  <c r="E3" i="3" s="1"/>
  <c r="C2" i="3"/>
  <c r="E2" i="3" s="1"/>
  <c r="E104" i="3"/>
  <c r="D12" i="3" s="1"/>
  <c r="BV2" i="3"/>
  <c r="A1" i="1" s="1"/>
  <c r="BV3" i="3"/>
  <c r="A2" i="1" s="1"/>
  <c r="BV4" i="3"/>
  <c r="A3" i="1" s="1"/>
  <c r="BV5" i="3"/>
  <c r="A4" i="1" s="1"/>
  <c r="BV6" i="3"/>
  <c r="A5" i="1" s="1"/>
  <c r="BV7" i="3"/>
  <c r="A6" i="1" s="1"/>
  <c r="BV8" i="3"/>
  <c r="A8" i="1" s="1"/>
  <c r="BV9" i="3"/>
  <c r="A9" i="1" s="1"/>
  <c r="BV10" i="3"/>
  <c r="C8" i="1" s="1"/>
  <c r="BV11" i="3"/>
  <c r="A1" i="2" s="1"/>
  <c r="BV12" i="3"/>
  <c r="B1" i="2" s="1"/>
  <c r="BV13" i="3"/>
  <c r="BV14" i="3"/>
  <c r="BV15" i="3"/>
  <c r="D1" i="2" s="1"/>
  <c r="BV16" i="3"/>
  <c r="E1" i="2" s="1"/>
  <c r="BV17" i="3"/>
  <c r="BV18" i="3"/>
  <c r="BV19" i="3"/>
  <c r="G1" i="2" s="1"/>
  <c r="BV20" i="3"/>
  <c r="A1" i="3" s="1"/>
  <c r="BV21" i="3"/>
  <c r="BV22" i="3"/>
  <c r="BV23" i="3"/>
  <c r="BV24" i="3"/>
  <c r="BV25" i="3"/>
  <c r="BV26" i="3"/>
  <c r="BV27" i="3"/>
  <c r="BV28" i="3"/>
  <c r="BV29" i="3"/>
  <c r="BV30" i="3"/>
  <c r="BV31" i="3"/>
  <c r="BV1" i="3"/>
  <c r="C10" i="1" s="1"/>
  <c r="I53" i="3"/>
  <c r="I54" i="3" s="1"/>
  <c r="G54" i="3"/>
  <c r="H53" i="3"/>
  <c r="H54" i="3" s="1"/>
  <c r="J53" i="3"/>
  <c r="J54" i="3" s="1"/>
  <c r="K53" i="3"/>
  <c r="K54" i="3" s="1"/>
  <c r="M53" i="3"/>
  <c r="M54" i="3" s="1"/>
  <c r="N53" i="3"/>
  <c r="N54" i="3" s="1"/>
  <c r="O53" i="3"/>
  <c r="O54" i="3" s="1"/>
  <c r="P53" i="3"/>
  <c r="P54" i="3" s="1"/>
  <c r="Q53" i="3"/>
  <c r="Q54" i="3" s="1"/>
  <c r="R53" i="3"/>
  <c r="R54" i="3" s="1"/>
  <c r="S53" i="3"/>
  <c r="S54" i="3" s="1"/>
  <c r="T53" i="3"/>
  <c r="T54" i="3" s="1"/>
  <c r="U53" i="3"/>
  <c r="U54" i="3" s="1"/>
  <c r="V53" i="3"/>
  <c r="V54" i="3" s="1"/>
  <c r="W53" i="3"/>
  <c r="W54" i="3" s="1"/>
  <c r="X53" i="3"/>
  <c r="X54" i="3" s="1"/>
  <c r="Y53" i="3"/>
  <c r="Y54" i="3" s="1"/>
  <c r="Z53" i="3"/>
  <c r="Z54" i="3" s="1"/>
  <c r="AA53" i="3"/>
  <c r="AA54" i="3" s="1"/>
  <c r="AB53" i="3"/>
  <c r="AB54" i="3" s="1"/>
  <c r="AC53" i="3"/>
  <c r="AC54" i="3" s="1"/>
  <c r="AD53" i="3"/>
  <c r="AD54" i="3" s="1"/>
  <c r="AE53" i="3"/>
  <c r="AE54" i="3" s="1"/>
  <c r="AF53" i="3"/>
  <c r="AF54" i="3" s="1"/>
  <c r="AG53" i="3"/>
  <c r="AG54" i="3" s="1"/>
  <c r="AH53" i="3"/>
  <c r="AH54" i="3" s="1"/>
  <c r="AI53" i="3"/>
  <c r="AI54" i="3" s="1"/>
  <c r="AJ53" i="3"/>
  <c r="AJ54" i="3" s="1"/>
  <c r="AT4" i="3"/>
  <c r="AT3" i="3"/>
  <c r="AT5" i="3"/>
  <c r="AT2" i="3"/>
  <c r="AT7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AL3" i="3"/>
  <c r="AL4" i="3"/>
  <c r="AL7" i="3"/>
  <c r="AL8" i="3"/>
  <c r="AL9" i="3"/>
  <c r="AL10" i="3"/>
  <c r="AL11" i="3"/>
  <c r="AL12" i="3"/>
  <c r="AW12" i="3" s="1"/>
  <c r="AY12" i="3" s="1"/>
  <c r="C12" i="2" s="1"/>
  <c r="AL14" i="3"/>
  <c r="AW14" i="3" s="1"/>
  <c r="AY14" i="3" s="1"/>
  <c r="C14" i="2" s="1"/>
  <c r="AL15" i="3"/>
  <c r="AM15" i="3"/>
  <c r="AW15" i="3"/>
  <c r="AY15" i="3" s="1"/>
  <c r="C15" i="2" s="1"/>
  <c r="AL16" i="3"/>
  <c r="AX16" i="3" s="1"/>
  <c r="B16" i="2" s="1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I14" i="3"/>
  <c r="AL2" i="3"/>
  <c r="I12" i="3"/>
  <c r="I13" i="3"/>
  <c r="J12" i="3"/>
  <c r="J13" i="3"/>
  <c r="J14" i="3"/>
  <c r="H12" i="3"/>
  <c r="H13" i="3"/>
  <c r="H14" i="3"/>
  <c r="H15" i="3"/>
  <c r="G12" i="3"/>
  <c r="G14" i="3"/>
  <c r="H7" i="3"/>
  <c r="G9" i="3"/>
  <c r="G10" i="3"/>
  <c r="H10" i="3"/>
  <c r="G11" i="3"/>
  <c r="H11" i="3"/>
  <c r="G13" i="3"/>
  <c r="E13" i="3"/>
  <c r="E12" i="3"/>
  <c r="E11" i="3"/>
  <c r="E10" i="3"/>
  <c r="G8" i="3"/>
  <c r="E14" i="3"/>
  <c r="I7" i="3"/>
  <c r="J8" i="3"/>
  <c r="I8" i="3"/>
  <c r="J10" i="3"/>
  <c r="I10" i="3"/>
  <c r="J11" i="3"/>
  <c r="I11" i="3"/>
  <c r="AN1" i="2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D18" i="3"/>
  <c r="AM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M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AM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M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M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M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M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M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M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M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M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M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M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M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M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M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M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M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M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M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M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M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M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M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M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M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M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M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M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M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M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H16" i="3"/>
  <c r="J16" i="3"/>
  <c r="I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G16" i="3"/>
  <c r="J15" i="3"/>
  <c r="I15" i="3"/>
  <c r="AX15" i="3"/>
  <c r="B15" i="2" s="1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G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K3" i="3"/>
  <c r="I4" i="3"/>
  <c r="AM7" i="3"/>
  <c r="F8" i="3"/>
  <c r="E8" i="3"/>
  <c r="E9" i="3"/>
  <c r="H8" i="3"/>
  <c r="D45" i="3"/>
  <c r="K7" i="3"/>
  <c r="K6" i="3"/>
  <c r="J9" i="3"/>
  <c r="K9" i="3"/>
  <c r="I9" i="3"/>
  <c r="F9" i="3"/>
  <c r="H9" i="3"/>
  <c r="G7" i="3"/>
  <c r="F7" i="3"/>
  <c r="J7" i="3"/>
  <c r="G6" i="3"/>
  <c r="I6" i="3"/>
  <c r="H6" i="3"/>
  <c r="J6" i="3"/>
  <c r="J2" i="3"/>
  <c r="L2" i="3"/>
  <c r="L4" i="3"/>
  <c r="L3" i="3"/>
  <c r="J3" i="3"/>
  <c r="J4" i="3"/>
  <c r="K2" i="3"/>
  <c r="K4" i="3"/>
  <c r="K5" i="3"/>
  <c r="J5" i="3"/>
  <c r="L5" i="3"/>
  <c r="AL5" i="3"/>
  <c r="L53" i="3"/>
  <c r="L54" i="3" s="1"/>
  <c r="AL13" i="3"/>
  <c r="AW13" i="3" s="1"/>
  <c r="AY13" i="3" s="1"/>
  <c r="C13" i="2" s="1"/>
  <c r="F53" i="3"/>
  <c r="F54" i="3" s="1"/>
  <c r="AL6" i="3"/>
  <c r="AM2" i="3" l="1"/>
  <c r="AM6" i="3"/>
  <c r="E4" i="3"/>
  <c r="AX14" i="3"/>
  <c r="B14" i="2" s="1"/>
  <c r="AM3" i="3"/>
  <c r="D29" i="3"/>
  <c r="D11" i="3"/>
  <c r="D37" i="3"/>
  <c r="D21" i="3"/>
  <c r="D50" i="3"/>
  <c r="E95" i="3"/>
  <c r="D16" i="3"/>
  <c r="D6" i="3"/>
  <c r="F6" i="3" s="1"/>
  <c r="D7" i="3"/>
  <c r="D49" i="3"/>
  <c r="D41" i="3"/>
  <c r="D33" i="3"/>
  <c r="D25" i="3"/>
  <c r="D17" i="3"/>
  <c r="E5" i="3"/>
  <c r="D4" i="3"/>
  <c r="D5" i="3"/>
  <c r="I5" i="3" s="1"/>
  <c r="D3" i="3"/>
  <c r="I3" i="3" s="1"/>
  <c r="AX12" i="3"/>
  <c r="B12" i="2" s="1"/>
  <c r="D34" i="3"/>
  <c r="AW16" i="3"/>
  <c r="AY16" i="3" s="1"/>
  <c r="C16" i="2" s="1"/>
  <c r="E90" i="3"/>
  <c r="BB2" i="3" s="1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D13" i="3"/>
  <c r="D9" i="3"/>
  <c r="D51" i="3"/>
  <c r="D47" i="3"/>
  <c r="D43" i="3"/>
  <c r="D39" i="3"/>
  <c r="D35" i="3"/>
  <c r="D31" i="3"/>
  <c r="D27" i="3"/>
  <c r="D23" i="3"/>
  <c r="D19" i="3"/>
  <c r="D26" i="3"/>
  <c r="D42" i="3"/>
  <c r="D22" i="3"/>
  <c r="D30" i="3"/>
  <c r="D38" i="3"/>
  <c r="D46" i="3"/>
  <c r="AW50" i="3"/>
  <c r="AY50" i="3" s="1"/>
  <c r="C50" i="2" s="1"/>
  <c r="AX50" i="3"/>
  <c r="B50" i="2" s="1"/>
  <c r="AW48" i="3"/>
  <c r="AY48" i="3" s="1"/>
  <c r="C48" i="2" s="1"/>
  <c r="AX48" i="3"/>
  <c r="B48" i="2" s="1"/>
  <c r="AW46" i="3"/>
  <c r="AY46" i="3" s="1"/>
  <c r="C46" i="2" s="1"/>
  <c r="AX46" i="3"/>
  <c r="B46" i="2" s="1"/>
  <c r="AW44" i="3"/>
  <c r="AY44" i="3" s="1"/>
  <c r="C44" i="2" s="1"/>
  <c r="AX44" i="3"/>
  <c r="B44" i="2" s="1"/>
  <c r="AW42" i="3"/>
  <c r="AY42" i="3" s="1"/>
  <c r="C42" i="2" s="1"/>
  <c r="AX42" i="3"/>
  <c r="B42" i="2" s="1"/>
  <c r="AW40" i="3"/>
  <c r="AY40" i="3" s="1"/>
  <c r="C40" i="2" s="1"/>
  <c r="AX40" i="3"/>
  <c r="B40" i="2" s="1"/>
  <c r="AW38" i="3"/>
  <c r="AY38" i="3" s="1"/>
  <c r="C38" i="2" s="1"/>
  <c r="AX38" i="3"/>
  <c r="B38" i="2" s="1"/>
  <c r="AW36" i="3"/>
  <c r="AY36" i="3" s="1"/>
  <c r="C36" i="2" s="1"/>
  <c r="AX36" i="3"/>
  <c r="B36" i="2" s="1"/>
  <c r="AW34" i="3"/>
  <c r="AY34" i="3" s="1"/>
  <c r="C34" i="2" s="1"/>
  <c r="AX34" i="3"/>
  <c r="B34" i="2" s="1"/>
  <c r="AW32" i="3"/>
  <c r="AY32" i="3" s="1"/>
  <c r="C32" i="2" s="1"/>
  <c r="AX32" i="3"/>
  <c r="B32" i="2" s="1"/>
  <c r="AW30" i="3"/>
  <c r="AY30" i="3" s="1"/>
  <c r="C30" i="2" s="1"/>
  <c r="AX30" i="3"/>
  <c r="B30" i="2" s="1"/>
  <c r="AW28" i="3"/>
  <c r="AY28" i="3" s="1"/>
  <c r="C28" i="2" s="1"/>
  <c r="AX28" i="3"/>
  <c r="B28" i="2" s="1"/>
  <c r="AW26" i="3"/>
  <c r="AY26" i="3" s="1"/>
  <c r="C26" i="2" s="1"/>
  <c r="AX26" i="3"/>
  <c r="B26" i="2" s="1"/>
  <c r="AW24" i="3"/>
  <c r="AY24" i="3" s="1"/>
  <c r="C24" i="2" s="1"/>
  <c r="AX24" i="3"/>
  <c r="B24" i="2" s="1"/>
  <c r="AW22" i="3"/>
  <c r="AY22" i="3" s="1"/>
  <c r="C22" i="2" s="1"/>
  <c r="AX22" i="3"/>
  <c r="B22" i="2" s="1"/>
  <c r="AW20" i="3"/>
  <c r="AY20" i="3" s="1"/>
  <c r="C20" i="2" s="1"/>
  <c r="AX20" i="3"/>
  <c r="B20" i="2" s="1"/>
  <c r="AW18" i="3"/>
  <c r="AY18" i="3" s="1"/>
  <c r="C18" i="2" s="1"/>
  <c r="AX18" i="3"/>
  <c r="B18" i="2" s="1"/>
  <c r="AW51" i="3"/>
  <c r="AY51" i="3" s="1"/>
  <c r="C51" i="2" s="1"/>
  <c r="AX51" i="3"/>
  <c r="B51" i="2" s="1"/>
  <c r="AW49" i="3"/>
  <c r="AY49" i="3" s="1"/>
  <c r="C49" i="2" s="1"/>
  <c r="AX49" i="3"/>
  <c r="B49" i="2" s="1"/>
  <c r="AW47" i="3"/>
  <c r="AY47" i="3" s="1"/>
  <c r="C47" i="2" s="1"/>
  <c r="AX47" i="3"/>
  <c r="B47" i="2" s="1"/>
  <c r="AW45" i="3"/>
  <c r="AY45" i="3" s="1"/>
  <c r="C45" i="2" s="1"/>
  <c r="AX45" i="3"/>
  <c r="B45" i="2" s="1"/>
  <c r="AW43" i="3"/>
  <c r="AY43" i="3" s="1"/>
  <c r="C43" i="2" s="1"/>
  <c r="AX43" i="3"/>
  <c r="B43" i="2" s="1"/>
  <c r="AW41" i="3"/>
  <c r="AY41" i="3" s="1"/>
  <c r="C41" i="2" s="1"/>
  <c r="AX41" i="3"/>
  <c r="B41" i="2" s="1"/>
  <c r="AW39" i="3"/>
  <c r="AY39" i="3" s="1"/>
  <c r="C39" i="2" s="1"/>
  <c r="AX39" i="3"/>
  <c r="B39" i="2" s="1"/>
  <c r="AW37" i="3"/>
  <c r="AY37" i="3" s="1"/>
  <c r="C37" i="2" s="1"/>
  <c r="AX37" i="3"/>
  <c r="B37" i="2" s="1"/>
  <c r="AW35" i="3"/>
  <c r="AY35" i="3" s="1"/>
  <c r="C35" i="2" s="1"/>
  <c r="AX35" i="3"/>
  <c r="B35" i="2" s="1"/>
  <c r="AW33" i="3"/>
  <c r="AY33" i="3" s="1"/>
  <c r="C33" i="2" s="1"/>
  <c r="AX33" i="3"/>
  <c r="B33" i="2" s="1"/>
  <c r="AW31" i="3"/>
  <c r="AY31" i="3" s="1"/>
  <c r="C31" i="2" s="1"/>
  <c r="AX31" i="3"/>
  <c r="B31" i="2" s="1"/>
  <c r="AW29" i="3"/>
  <c r="AY29" i="3" s="1"/>
  <c r="C29" i="2" s="1"/>
  <c r="AX29" i="3"/>
  <c r="B29" i="2" s="1"/>
  <c r="AW27" i="3"/>
  <c r="AY27" i="3" s="1"/>
  <c r="C27" i="2" s="1"/>
  <c r="AX27" i="3"/>
  <c r="B27" i="2" s="1"/>
  <c r="AW25" i="3"/>
  <c r="AY25" i="3" s="1"/>
  <c r="C25" i="2" s="1"/>
  <c r="AX25" i="3"/>
  <c r="B25" i="2" s="1"/>
  <c r="AW23" i="3"/>
  <c r="AY23" i="3" s="1"/>
  <c r="C23" i="2" s="1"/>
  <c r="AX23" i="3"/>
  <c r="B23" i="2" s="1"/>
  <c r="AW21" i="3"/>
  <c r="AY21" i="3" s="1"/>
  <c r="C21" i="2" s="1"/>
  <c r="AX21" i="3"/>
  <c r="B21" i="2" s="1"/>
  <c r="AW19" i="3"/>
  <c r="AY19" i="3" s="1"/>
  <c r="C19" i="2" s="1"/>
  <c r="AX19" i="3"/>
  <c r="B19" i="2" s="1"/>
  <c r="AW17" i="3"/>
  <c r="AY17" i="3" s="1"/>
  <c r="C17" i="2" s="1"/>
  <c r="AX17" i="3"/>
  <c r="B17" i="2" s="1"/>
  <c r="D2" i="3"/>
  <c r="D14" i="3"/>
  <c r="D15" i="3"/>
  <c r="D8" i="3"/>
  <c r="D10" i="3"/>
  <c r="D48" i="3"/>
  <c r="D44" i="3"/>
  <c r="D40" i="3"/>
  <c r="D36" i="3"/>
  <c r="D32" i="3"/>
  <c r="D28" i="3"/>
  <c r="D24" i="3"/>
  <c r="D20" i="3"/>
  <c r="G4" i="3"/>
  <c r="G5" i="3"/>
  <c r="E65" i="3"/>
  <c r="AX13" i="3"/>
  <c r="B13" i="2" s="1"/>
  <c r="F1" i="2"/>
  <c r="AX11" i="3" l="1"/>
  <c r="B11" i="2" s="1"/>
  <c r="AN3" i="3"/>
  <c r="AN5" i="3"/>
  <c r="AN7" i="3"/>
  <c r="AN9" i="3"/>
  <c r="AN11" i="3"/>
  <c r="AN13" i="3"/>
  <c r="AN15" i="3"/>
  <c r="AN17" i="3"/>
  <c r="AN19" i="3"/>
  <c r="AN21" i="3"/>
  <c r="AN23" i="3"/>
  <c r="AN25" i="3"/>
  <c r="AN27" i="3"/>
  <c r="AN29" i="3"/>
  <c r="AN31" i="3"/>
  <c r="AN33" i="3"/>
  <c r="AN35" i="3"/>
  <c r="AN37" i="3"/>
  <c r="AN39" i="3"/>
  <c r="AN41" i="3"/>
  <c r="AN43" i="3"/>
  <c r="AN45" i="3"/>
  <c r="AN47" i="3"/>
  <c r="AN49" i="3"/>
  <c r="AN51" i="3"/>
  <c r="AN4" i="3"/>
  <c r="AN6" i="3"/>
  <c r="AN8" i="3"/>
  <c r="AN10" i="3"/>
  <c r="AN12" i="3"/>
  <c r="AN14" i="3"/>
  <c r="AN16" i="3"/>
  <c r="AN18" i="3"/>
  <c r="AN20" i="3"/>
  <c r="AN22" i="3"/>
  <c r="AN24" i="3"/>
  <c r="AN26" i="3"/>
  <c r="AN28" i="3"/>
  <c r="AN30" i="3"/>
  <c r="AN32" i="3"/>
  <c r="AN34" i="3"/>
  <c r="AN36" i="3"/>
  <c r="AN38" i="3"/>
  <c r="AN40" i="3"/>
  <c r="AN42" i="3"/>
  <c r="AN44" i="3"/>
  <c r="AN46" i="3"/>
  <c r="AN48" i="3"/>
  <c r="AN50" i="3"/>
  <c r="AN2" i="3"/>
  <c r="H2" i="3"/>
  <c r="I2" i="3"/>
  <c r="F5" i="3"/>
  <c r="H5" i="3"/>
  <c r="AX7" i="3"/>
  <c r="B7" i="2" s="1"/>
  <c r="AX10" i="3"/>
  <c r="B10" i="2" s="1"/>
  <c r="AX8" i="3"/>
  <c r="B8" i="2" s="1"/>
  <c r="AX9" i="3"/>
  <c r="B9" i="2" s="1"/>
  <c r="AJ57" i="3"/>
  <c r="AX6" i="3"/>
  <c r="B6" i="2" s="1"/>
  <c r="F3" i="3"/>
  <c r="H3" i="3"/>
  <c r="F4" i="3"/>
  <c r="H4" i="3"/>
  <c r="G3" i="3"/>
  <c r="F2" i="3"/>
  <c r="G2" i="3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AO6" i="3"/>
  <c r="AO44" i="3"/>
  <c r="AQ44" i="3" s="1"/>
  <c r="AO30" i="3"/>
  <c r="AQ30" i="3" s="1"/>
  <c r="AO8" i="3"/>
  <c r="AO11" i="3"/>
  <c r="AQ11" i="3" s="1"/>
  <c r="AO21" i="3"/>
  <c r="AQ21" i="3" s="1"/>
  <c r="AO16" i="3"/>
  <c r="AQ16" i="3" s="1"/>
  <c r="AX5" i="3"/>
  <c r="B5" i="2" s="1"/>
  <c r="AO32" i="3"/>
  <c r="AQ32" i="3" s="1"/>
  <c r="AO33" i="3"/>
  <c r="AQ33" i="3" s="1"/>
  <c r="AO5" i="3"/>
  <c r="AO50" i="3"/>
  <c r="AQ50" i="3" s="1"/>
  <c r="AO48" i="3"/>
  <c r="AQ48" i="3" s="1"/>
  <c r="AO29" i="3"/>
  <c r="AQ29" i="3" s="1"/>
  <c r="AO18" i="3"/>
  <c r="AQ18" i="3" s="1"/>
  <c r="AO3" i="3"/>
  <c r="AO45" i="3"/>
  <c r="AQ45" i="3" s="1"/>
  <c r="AO12" i="3"/>
  <c r="AQ12" i="3" s="1"/>
  <c r="AO36" i="3"/>
  <c r="AQ36" i="3" s="1"/>
  <c r="AO7" i="3"/>
  <c r="AO24" i="3"/>
  <c r="AQ24" i="3" s="1"/>
  <c r="AO22" i="3"/>
  <c r="AQ22" i="3" s="1"/>
  <c r="AO26" i="3"/>
  <c r="AQ26" i="3" s="1"/>
  <c r="AO47" i="3"/>
  <c r="AQ47" i="3" s="1"/>
  <c r="AO27" i="3"/>
  <c r="AQ27" i="3" s="1"/>
  <c r="AO40" i="3"/>
  <c r="AQ40" i="3" s="1"/>
  <c r="AO38" i="3"/>
  <c r="AQ38" i="3" s="1"/>
  <c r="AO17" i="3"/>
  <c r="AQ17" i="3" s="1"/>
  <c r="AO43" i="3"/>
  <c r="AQ43" i="3" s="1"/>
  <c r="AO15" i="3"/>
  <c r="AQ15" i="3" s="1"/>
  <c r="AO42" i="3"/>
  <c r="AQ42" i="3" s="1"/>
  <c r="AO34" i="3"/>
  <c r="AQ34" i="3" s="1"/>
  <c r="AO14" i="3"/>
  <c r="AQ14" i="3" s="1"/>
  <c r="AO10" i="3"/>
  <c r="AQ10" i="3" s="1"/>
  <c r="AO51" i="3"/>
  <c r="AQ51" i="3" s="1"/>
  <c r="AO23" i="3"/>
  <c r="AQ23" i="3" s="1"/>
  <c r="AO25" i="3"/>
  <c r="AQ25" i="3" s="1"/>
  <c r="AO13" i="3"/>
  <c r="AQ13" i="3" s="1"/>
  <c r="AO46" i="3"/>
  <c r="AQ46" i="3" s="1"/>
  <c r="AO35" i="3"/>
  <c r="AQ35" i="3" s="1"/>
  <c r="AO19" i="3"/>
  <c r="AQ19" i="3" s="1"/>
  <c r="AO39" i="3"/>
  <c r="AQ39" i="3" s="1"/>
  <c r="AO20" i="3"/>
  <c r="AQ20" i="3" s="1"/>
  <c r="AO4" i="3"/>
  <c r="AO37" i="3"/>
  <c r="AQ37" i="3" s="1"/>
  <c r="AO49" i="3"/>
  <c r="AQ49" i="3" s="1"/>
  <c r="AO2" i="3"/>
  <c r="AO9" i="3"/>
  <c r="AO28" i="3"/>
  <c r="AQ28" i="3" s="1"/>
  <c r="AO31" i="3"/>
  <c r="AQ31" i="3" s="1"/>
  <c r="AO41" i="3"/>
  <c r="AQ41" i="3" s="1"/>
  <c r="AP50" i="3" l="1"/>
  <c r="AP46" i="3"/>
  <c r="AP42" i="3"/>
  <c r="AP38" i="3"/>
  <c r="AP34" i="3"/>
  <c r="AP30" i="3"/>
  <c r="AP26" i="3"/>
  <c r="AP22" i="3"/>
  <c r="AP18" i="3"/>
  <c r="AP14" i="3"/>
  <c r="AP10" i="3"/>
  <c r="AP6" i="3"/>
  <c r="AP51" i="3"/>
  <c r="AP47" i="3"/>
  <c r="AP43" i="3"/>
  <c r="AP39" i="3"/>
  <c r="AP35" i="3"/>
  <c r="AP31" i="3"/>
  <c r="AP27" i="3"/>
  <c r="AP23" i="3"/>
  <c r="AP19" i="3"/>
  <c r="AP15" i="3"/>
  <c r="AP11" i="3"/>
  <c r="AP7" i="3"/>
  <c r="AP3" i="3"/>
  <c r="AP2" i="3"/>
  <c r="AP48" i="3"/>
  <c r="AP44" i="3"/>
  <c r="AP40" i="3"/>
  <c r="AP36" i="3"/>
  <c r="AP32" i="3"/>
  <c r="AP28" i="3"/>
  <c r="AP24" i="3"/>
  <c r="AP20" i="3"/>
  <c r="AP16" i="3"/>
  <c r="AP12" i="3"/>
  <c r="AP8" i="3"/>
  <c r="AP4" i="3"/>
  <c r="AP49" i="3"/>
  <c r="AP45" i="3"/>
  <c r="AP41" i="3"/>
  <c r="AP37" i="3"/>
  <c r="AP33" i="3"/>
  <c r="AP29" i="3"/>
  <c r="AP25" i="3"/>
  <c r="AP21" i="3"/>
  <c r="AP17" i="3"/>
  <c r="AP13" i="3"/>
  <c r="AP9" i="3"/>
  <c r="AP5" i="3"/>
  <c r="AX4" i="3"/>
  <c r="B4" i="2" s="1"/>
  <c r="AX2" i="3"/>
  <c r="B2" i="2" s="1"/>
  <c r="AX3" i="3"/>
  <c r="B3" i="2" s="1"/>
  <c r="E89" i="3"/>
  <c r="AS40" i="3" s="1"/>
  <c r="E66" i="3"/>
  <c r="AQ4" i="3" s="1"/>
  <c r="E68" i="3"/>
  <c r="AQ9" i="3" l="1"/>
  <c r="AQ8" i="3"/>
  <c r="AQ7" i="3"/>
  <c r="AS28" i="3"/>
  <c r="AS10" i="3"/>
  <c r="AS29" i="3"/>
  <c r="AS14" i="3"/>
  <c r="AS19" i="3"/>
  <c r="AS17" i="3"/>
  <c r="AS44" i="3"/>
  <c r="AS26" i="3"/>
  <c r="AS4" i="3"/>
  <c r="AS7" i="3"/>
  <c r="AS9" i="3"/>
  <c r="AS23" i="3"/>
  <c r="AS31" i="3"/>
  <c r="AS41" i="3"/>
  <c r="AS51" i="3"/>
  <c r="AS42" i="3"/>
  <c r="AS20" i="3"/>
  <c r="AS50" i="3"/>
  <c r="AS6" i="3"/>
  <c r="AS2" i="3"/>
  <c r="AS33" i="3"/>
  <c r="AS21" i="3"/>
  <c r="AS47" i="3"/>
  <c r="AS49" i="3"/>
  <c r="AS30" i="3"/>
  <c r="AS11" i="3"/>
  <c r="AS8" i="3"/>
  <c r="AS22" i="3"/>
  <c r="AS16" i="3"/>
  <c r="AS25" i="3"/>
  <c r="AS43" i="3"/>
  <c r="AS48" i="3"/>
  <c r="AS37" i="3"/>
  <c r="AS15" i="3"/>
  <c r="AS35" i="3"/>
  <c r="AS39" i="3"/>
  <c r="AS18" i="3"/>
  <c r="AS32" i="3"/>
  <c r="AS38" i="3"/>
  <c r="AS13" i="3"/>
  <c r="AS3" i="3"/>
  <c r="AS24" i="3"/>
  <c r="AS34" i="3"/>
  <c r="AS45" i="3"/>
  <c r="AS46" i="3"/>
  <c r="AS5" i="3"/>
  <c r="AS12" i="3"/>
  <c r="AS27" i="3"/>
  <c r="AS36" i="3"/>
  <c r="AQ5" i="3"/>
  <c r="AQ6" i="3"/>
  <c r="AQ3" i="3"/>
  <c r="AQ2" i="3"/>
  <c r="E91" i="3" l="1"/>
  <c r="AR31" i="3" s="1"/>
  <c r="E67" i="3"/>
  <c r="E69" i="3" s="1"/>
  <c r="BH14" i="3" l="1"/>
  <c r="G63" i="3"/>
  <c r="BC20" i="3"/>
  <c r="BC26" i="3"/>
  <c r="BC34" i="3"/>
  <c r="BC38" i="3"/>
  <c r="BC42" i="3"/>
  <c r="BC48" i="3"/>
  <c r="BC5" i="3"/>
  <c r="BC7" i="3"/>
  <c r="BC9" i="3"/>
  <c r="BC11" i="3"/>
  <c r="BC13" i="3"/>
  <c r="BC15" i="3"/>
  <c r="BC17" i="3"/>
  <c r="BC19" i="3"/>
  <c r="BC21" i="3"/>
  <c r="BC23" i="3"/>
  <c r="BC25" i="3"/>
  <c r="BC27" i="3"/>
  <c r="BC29" i="3"/>
  <c r="BC31" i="3"/>
  <c r="BC33" i="3"/>
  <c r="BC35" i="3"/>
  <c r="BC37" i="3"/>
  <c r="BC39" i="3"/>
  <c r="BC41" i="3"/>
  <c r="BC43" i="3"/>
  <c r="BC45" i="3"/>
  <c r="BC47" i="3"/>
  <c r="BC49" i="3"/>
  <c r="BC51" i="3"/>
  <c r="BC6" i="3"/>
  <c r="BC8" i="3"/>
  <c r="BC10" i="3"/>
  <c r="BC12" i="3"/>
  <c r="BC14" i="3"/>
  <c r="BC16" i="3"/>
  <c r="BC18" i="3"/>
  <c r="BC22" i="3"/>
  <c r="BC24" i="3"/>
  <c r="BC28" i="3"/>
  <c r="BC30" i="3"/>
  <c r="BC32" i="3"/>
  <c r="BC36" i="3"/>
  <c r="BC40" i="3"/>
  <c r="BC44" i="3"/>
  <c r="BC46" i="3"/>
  <c r="BC50" i="3"/>
  <c r="AR38" i="3"/>
  <c r="AR26" i="3"/>
  <c r="AR8" i="3"/>
  <c r="AR37" i="3"/>
  <c r="AR35" i="3"/>
  <c r="AR13" i="3"/>
  <c r="AR49" i="3"/>
  <c r="AR4" i="3"/>
  <c r="AR7" i="3"/>
  <c r="AR32" i="3"/>
  <c r="AR6" i="3"/>
  <c r="AR48" i="3"/>
  <c r="AR40" i="3"/>
  <c r="AR11" i="3"/>
  <c r="AR39" i="3"/>
  <c r="AR5" i="3"/>
  <c r="AR42" i="3"/>
  <c r="AR45" i="3"/>
  <c r="AR20" i="3"/>
  <c r="AR51" i="3"/>
  <c r="AR46" i="3"/>
  <c r="AR30" i="3"/>
  <c r="AR50" i="3"/>
  <c r="AR41" i="3"/>
  <c r="AR14" i="3"/>
  <c r="AR24" i="3"/>
  <c r="AR33" i="3"/>
  <c r="AR21" i="3"/>
  <c r="AR29" i="3"/>
  <c r="AR34" i="3"/>
  <c r="AR19" i="3"/>
  <c r="AR22" i="3"/>
  <c r="AR17" i="3"/>
  <c r="AR27" i="3"/>
  <c r="AR15" i="3"/>
  <c r="AR16" i="3"/>
  <c r="AR28" i="3"/>
  <c r="AR43" i="3"/>
  <c r="AR3" i="3"/>
  <c r="AR9" i="3"/>
  <c r="BR3" i="3"/>
  <c r="AR47" i="3"/>
  <c r="AR10" i="3"/>
  <c r="AR12" i="3"/>
  <c r="AR18" i="3"/>
  <c r="AR2" i="3"/>
  <c r="AR25" i="3"/>
  <c r="AR44" i="3"/>
  <c r="AR23" i="3"/>
  <c r="AR36" i="3"/>
  <c r="BL4" i="3"/>
  <c r="BK4" i="3"/>
  <c r="AE63" i="3"/>
  <c r="P63" i="3"/>
  <c r="K63" i="3"/>
  <c r="AH56" i="3"/>
  <c r="AI63" i="3"/>
  <c r="BD26" i="3"/>
  <c r="BD23" i="3"/>
  <c r="BI4" i="3"/>
  <c r="BD36" i="3"/>
  <c r="AF63" i="3"/>
  <c r="AD63" i="3"/>
  <c r="AD56" i="3"/>
  <c r="S63" i="3"/>
  <c r="R63" i="3"/>
  <c r="BD37" i="3"/>
  <c r="V63" i="3"/>
  <c r="BD34" i="3"/>
  <c r="AE56" i="3"/>
  <c r="BD31" i="3"/>
  <c r="BD30" i="3"/>
  <c r="BD49" i="3"/>
  <c r="L63" i="3"/>
  <c r="Z56" i="3"/>
  <c r="U56" i="3"/>
  <c r="W56" i="3"/>
  <c r="F63" i="3"/>
  <c r="H63" i="3"/>
  <c r="BD24" i="3"/>
  <c r="BH2" i="3"/>
  <c r="AC63" i="3"/>
  <c r="BD17" i="3"/>
  <c r="BD33" i="3"/>
  <c r="BD21" i="3"/>
  <c r="Y56" i="3"/>
  <c r="U63" i="3"/>
  <c r="BD45" i="3"/>
  <c r="R56" i="3"/>
  <c r="F56" i="3"/>
  <c r="BD42" i="3"/>
  <c r="BD19" i="3"/>
  <c r="AB56" i="3"/>
  <c r="BD35" i="3"/>
  <c r="BD48" i="3"/>
  <c r="BD18" i="3"/>
  <c r="AH63" i="3"/>
  <c r="BD15" i="3"/>
  <c r="V56" i="3"/>
  <c r="BD22" i="3"/>
  <c r="K56" i="3"/>
  <c r="H56" i="3"/>
  <c r="T56" i="3"/>
  <c r="BD12" i="3"/>
  <c r="O56" i="3"/>
  <c r="BD46" i="3"/>
  <c r="AB63" i="3"/>
  <c r="AG56" i="3"/>
  <c r="T63" i="3"/>
  <c r="J63" i="3"/>
  <c r="BI2" i="3"/>
  <c r="X63" i="3"/>
  <c r="P56" i="3"/>
  <c r="BH4" i="3"/>
  <c r="BD38" i="3"/>
  <c r="Q56" i="3"/>
  <c r="BD11" i="3"/>
  <c r="AA56" i="3"/>
  <c r="BD50" i="3"/>
  <c r="Z63" i="3"/>
  <c r="O63" i="3"/>
  <c r="Q63" i="3"/>
  <c r="AJ63" i="3"/>
  <c r="I56" i="3"/>
  <c r="BD51" i="3"/>
  <c r="BD10" i="3"/>
  <c r="AF56" i="3"/>
  <c r="BD29" i="3"/>
  <c r="BD25" i="3"/>
  <c r="BD20" i="3"/>
  <c r="BD47" i="3"/>
  <c r="AA63" i="3"/>
  <c r="N63" i="3"/>
  <c r="I63" i="3"/>
  <c r="BD44" i="3"/>
  <c r="BD13" i="3"/>
  <c r="BD43" i="3"/>
  <c r="BD32" i="3"/>
  <c r="W63" i="3"/>
  <c r="M63" i="3"/>
  <c r="L56" i="3"/>
  <c r="AI56" i="3"/>
  <c r="J56" i="3"/>
  <c r="BD40" i="3"/>
  <c r="N56" i="3"/>
  <c r="BD41" i="3"/>
  <c r="AG63" i="3"/>
  <c r="BD28" i="3"/>
  <c r="AC56" i="3"/>
  <c r="G56" i="3"/>
  <c r="S56" i="3"/>
  <c r="BD16" i="3"/>
  <c r="M56" i="3"/>
  <c r="X56" i="3"/>
  <c r="AJ56" i="3"/>
  <c r="AI57" i="3" s="1"/>
  <c r="BD27" i="3"/>
  <c r="BD39" i="3"/>
  <c r="BD14" i="3"/>
  <c r="Y63" i="3"/>
  <c r="AI61" i="3" l="1"/>
  <c r="AH57" i="3"/>
  <c r="AG57" i="3" s="1"/>
  <c r="AG61" i="3" s="1"/>
  <c r="E92" i="3"/>
  <c r="E93" i="3" s="1"/>
  <c r="E94" i="3" s="1"/>
  <c r="BQ2" i="3"/>
  <c r="BR2" i="3" s="1"/>
  <c r="AJ55" i="3"/>
  <c r="AJ58" i="3"/>
  <c r="AJ62" i="3"/>
  <c r="AJ60" i="3"/>
  <c r="AJ59" i="3"/>
  <c r="M55" i="3"/>
  <c r="X55" i="3"/>
  <c r="S55" i="3"/>
  <c r="AI62" i="3"/>
  <c r="AI58" i="3"/>
  <c r="AI59" i="3"/>
  <c r="AI60" i="3"/>
  <c r="AI55" i="3"/>
  <c r="L55" i="3"/>
  <c r="BG4" i="3"/>
  <c r="AA55" i="3"/>
  <c r="Q55" i="3"/>
  <c r="O55" i="3"/>
  <c r="H55" i="3"/>
  <c r="F55" i="3"/>
  <c r="R55" i="3"/>
  <c r="W55" i="3"/>
  <c r="Z55" i="3"/>
  <c r="AE55" i="3"/>
  <c r="AH55" i="3"/>
  <c r="G55" i="3"/>
  <c r="AC55" i="3"/>
  <c r="N55" i="3"/>
  <c r="J55" i="3"/>
  <c r="AF55" i="3"/>
  <c r="I55" i="3"/>
  <c r="P55" i="3"/>
  <c r="AG55" i="3"/>
  <c r="T55" i="3"/>
  <c r="K55" i="3"/>
  <c r="V55" i="3"/>
  <c r="AB55" i="3"/>
  <c r="Y55" i="3"/>
  <c r="U55" i="3"/>
  <c r="AD55" i="3"/>
  <c r="AH58" i="3" l="1"/>
  <c r="AH59" i="3"/>
  <c r="BC2" i="3"/>
  <c r="BC4" i="3"/>
  <c r="BM4" i="3"/>
  <c r="BN4" i="3" s="1"/>
  <c r="BC3" i="3"/>
  <c r="BD8" i="3"/>
  <c r="BD9" i="3"/>
  <c r="BD6" i="3"/>
  <c r="BD7" i="3"/>
  <c r="AW11" i="3"/>
  <c r="AY11" i="3" s="1"/>
  <c r="C11" i="2" s="1"/>
  <c r="AW10" i="3"/>
  <c r="AY10" i="3" s="1"/>
  <c r="C10" i="2" s="1"/>
  <c r="AW3" i="3"/>
  <c r="AW9" i="3"/>
  <c r="AW7" i="3"/>
  <c r="AW8" i="3"/>
  <c r="AH61" i="3"/>
  <c r="AH60" i="3"/>
  <c r="AH62" i="3"/>
  <c r="AF57" i="3"/>
  <c r="AG59" i="3"/>
  <c r="AG60" i="3"/>
  <c r="AG58" i="3"/>
  <c r="AG62" i="3"/>
  <c r="AW6" i="3"/>
  <c r="AW4" i="3"/>
  <c r="AW5" i="3"/>
  <c r="AW2" i="3"/>
  <c r="BD4" i="3"/>
  <c r="BD5" i="3"/>
  <c r="BG8" i="3" s="1"/>
  <c r="BD2" i="3"/>
  <c r="BD3" i="3"/>
  <c r="BG7" i="3" l="1"/>
  <c r="AF60" i="3"/>
  <c r="AF61" i="3"/>
  <c r="AF59" i="3"/>
  <c r="AE57" i="3"/>
  <c r="AE61" i="3" s="1"/>
  <c r="AF62" i="3"/>
  <c r="AF58" i="3"/>
  <c r="BP4" i="3"/>
  <c r="BJ4" i="3"/>
  <c r="E96" i="3"/>
  <c r="E97" i="3" s="1"/>
  <c r="BR5" i="3"/>
  <c r="E84" i="3" l="1"/>
  <c r="E85" i="3" s="1"/>
  <c r="BI12" i="3"/>
  <c r="BH10" i="3"/>
  <c r="BH12" i="3"/>
  <c r="BH13" i="3"/>
  <c r="BI13" i="3"/>
  <c r="BH7" i="3"/>
  <c r="BI7" i="3" s="1"/>
  <c r="AD57" i="3"/>
  <c r="AD61" i="3" s="1"/>
  <c r="AE59" i="3"/>
  <c r="AE58" i="3"/>
  <c r="AE60" i="3"/>
  <c r="AE62" i="3"/>
  <c r="BQ4" i="3"/>
  <c r="BO4" i="3"/>
  <c r="BR8" i="3" s="1"/>
  <c r="AC57" i="3" l="1"/>
  <c r="AC61" i="3" s="1"/>
  <c r="AD59" i="3"/>
  <c r="AD58" i="3"/>
  <c r="AD60" i="3"/>
  <c r="AD62" i="3"/>
  <c r="BR4" i="3"/>
  <c r="AC58" i="3" l="1"/>
  <c r="AB57" i="3"/>
  <c r="AB61" i="3" s="1"/>
  <c r="AC59" i="3"/>
  <c r="AC60" i="3"/>
  <c r="AC62" i="3"/>
  <c r="AA57" i="3" l="1"/>
  <c r="AA61" i="3" s="1"/>
  <c r="AB62" i="3"/>
  <c r="AB58" i="3"/>
  <c r="AB59" i="3"/>
  <c r="AB60" i="3"/>
  <c r="AA62" i="3" l="1"/>
  <c r="AA58" i="3"/>
  <c r="AA60" i="3"/>
  <c r="Z57" i="3"/>
  <c r="Z61" i="3" s="1"/>
  <c r="AA59" i="3"/>
  <c r="Y57" i="3" l="1"/>
  <c r="Y61" i="3" s="1"/>
  <c r="Z60" i="3"/>
  <c r="Z58" i="3"/>
  <c r="Z59" i="3"/>
  <c r="Z62" i="3"/>
  <c r="Y59" i="3" l="1"/>
  <c r="X57" i="3"/>
  <c r="X61" i="3" s="1"/>
  <c r="Y60" i="3"/>
  <c r="Y58" i="3"/>
  <c r="Y62" i="3"/>
  <c r="X60" i="3" l="1"/>
  <c r="W57" i="3"/>
  <c r="W61" i="3" s="1"/>
  <c r="X59" i="3"/>
  <c r="X58" i="3"/>
  <c r="X62" i="3"/>
  <c r="V57" i="3" l="1"/>
  <c r="V61" i="3" s="1"/>
  <c r="W58" i="3"/>
  <c r="W60" i="3"/>
  <c r="W59" i="3"/>
  <c r="W62" i="3"/>
  <c r="V58" i="3" l="1"/>
  <c r="U57" i="3"/>
  <c r="U61" i="3" s="1"/>
  <c r="V62" i="3"/>
  <c r="V60" i="3"/>
  <c r="V59" i="3"/>
  <c r="U59" i="3" l="1"/>
  <c r="T57" i="3"/>
  <c r="T61" i="3" s="1"/>
  <c r="U58" i="3"/>
  <c r="U60" i="3"/>
  <c r="U62" i="3"/>
  <c r="T58" i="3" l="1"/>
  <c r="S57" i="3"/>
  <c r="S61" i="3" s="1"/>
  <c r="T59" i="3"/>
  <c r="T60" i="3"/>
  <c r="T62" i="3"/>
  <c r="S60" i="3" l="1"/>
  <c r="R57" i="3"/>
  <c r="R61" i="3" s="1"/>
  <c r="S62" i="3"/>
  <c r="S58" i="3"/>
  <c r="S59" i="3"/>
  <c r="Q57" i="3" l="1"/>
  <c r="Q61" i="3" s="1"/>
  <c r="R59" i="3"/>
  <c r="R62" i="3"/>
  <c r="R60" i="3"/>
  <c r="R58" i="3"/>
  <c r="P57" i="3" l="1"/>
  <c r="P61" i="3" s="1"/>
  <c r="Q59" i="3"/>
  <c r="Q60" i="3"/>
  <c r="Q62" i="3"/>
  <c r="Q58" i="3"/>
  <c r="O57" i="3" l="1"/>
  <c r="O61" i="3" s="1"/>
  <c r="P58" i="3"/>
  <c r="P60" i="3"/>
  <c r="P59" i="3"/>
  <c r="P62" i="3"/>
  <c r="N57" i="3" l="1"/>
  <c r="N61" i="3" s="1"/>
  <c r="O62" i="3"/>
  <c r="O58" i="3"/>
  <c r="O60" i="3"/>
  <c r="O59" i="3"/>
  <c r="M57" i="3" l="1"/>
  <c r="M61" i="3" s="1"/>
  <c r="N58" i="3"/>
  <c r="N59" i="3"/>
  <c r="N60" i="3"/>
  <c r="N62" i="3"/>
  <c r="M62" i="3" l="1"/>
  <c r="M60" i="3"/>
  <c r="L57" i="3"/>
  <c r="L61" i="3" s="1"/>
  <c r="M59" i="3"/>
  <c r="M58" i="3"/>
  <c r="L59" i="3" l="1"/>
  <c r="K57" i="3"/>
  <c r="K61" i="3" s="1"/>
  <c r="L58" i="3"/>
  <c r="L62" i="3"/>
  <c r="L60" i="3"/>
  <c r="K58" i="3" l="1"/>
  <c r="J57" i="3"/>
  <c r="J61" i="3" s="1"/>
  <c r="K59" i="3"/>
  <c r="K60" i="3"/>
  <c r="K62" i="3"/>
  <c r="J60" i="3" l="1"/>
  <c r="I57" i="3"/>
  <c r="J58" i="3"/>
  <c r="J59" i="3"/>
  <c r="J62" i="3" s="1"/>
  <c r="H57" i="3" l="1"/>
  <c r="I59" i="3"/>
  <c r="I61" i="3" s="1"/>
  <c r="I58" i="3"/>
  <c r="I60" i="3" s="1"/>
  <c r="I62" i="3" l="1"/>
  <c r="H58" i="3"/>
  <c r="H60" i="3" s="1"/>
  <c r="G57" i="3"/>
  <c r="H59" i="3"/>
  <c r="H61" i="3" s="1"/>
  <c r="H62" i="3" l="1"/>
  <c r="F57" i="3"/>
  <c r="G58" i="3"/>
  <c r="G59" i="3"/>
  <c r="G61" i="3" s="1"/>
  <c r="G60" i="3"/>
  <c r="G62" i="3" l="1"/>
  <c r="F59" i="3"/>
  <c r="E73" i="3" s="1"/>
  <c r="F58" i="3"/>
  <c r="F60" i="3" s="1"/>
  <c r="E74" i="3" s="1"/>
  <c r="F61" i="3" l="1"/>
  <c r="E75" i="3" s="1"/>
  <c r="F62" i="3"/>
  <c r="E76" i="3" s="1"/>
  <c r="E71" i="3"/>
  <c r="E72" i="3"/>
  <c r="E88" i="3" l="1"/>
  <c r="F78" i="3"/>
  <c r="F79" i="3" s="1"/>
  <c r="E78" i="3"/>
  <c r="F80" i="3" l="1"/>
  <c r="F81" i="3" s="1"/>
  <c r="E79" i="3"/>
  <c r="E80" i="3" l="1"/>
  <c r="E81" i="3" s="1"/>
  <c r="C1" i="2"/>
  <c r="E82" i="3" l="1"/>
  <c r="E83" i="3" s="1"/>
  <c r="E86" i="3" s="1"/>
  <c r="BR6" i="3" s="1"/>
  <c r="AU14" i="3" s="1"/>
  <c r="AV14" i="3" s="1"/>
  <c r="AU2" i="3" l="1"/>
  <c r="AV2" i="3" s="1"/>
  <c r="AY2" i="3" s="1"/>
  <c r="C2" i="2" s="1"/>
  <c r="AU51" i="3"/>
  <c r="AV51" i="3" s="1"/>
  <c r="AU6" i="3"/>
  <c r="AV6" i="3" s="1"/>
  <c r="AY6" i="3" s="1"/>
  <c r="C6" i="2" s="1"/>
  <c r="AU18" i="3"/>
  <c r="AV18" i="3" s="1"/>
  <c r="AU22" i="3"/>
  <c r="AV22" i="3" s="1"/>
  <c r="AU31" i="3"/>
  <c r="AV31" i="3" s="1"/>
  <c r="AU44" i="3"/>
  <c r="AV44" i="3" s="1"/>
  <c r="AU36" i="3"/>
  <c r="AV36" i="3" s="1"/>
  <c r="AU30" i="3"/>
  <c r="AV30" i="3" s="1"/>
  <c r="AU5" i="3"/>
  <c r="AV5" i="3" s="1"/>
  <c r="AY5" i="3" s="1"/>
  <c r="C5" i="2" s="1"/>
  <c r="AU40" i="3"/>
  <c r="AV40" i="3" s="1"/>
  <c r="AU39" i="3"/>
  <c r="AV39" i="3" s="1"/>
  <c r="AU50" i="3"/>
  <c r="AV50" i="3" s="1"/>
  <c r="AU19" i="3"/>
  <c r="AV19" i="3" s="1"/>
  <c r="AU9" i="3"/>
  <c r="AV9" i="3" s="1"/>
  <c r="AY9" i="3" s="1"/>
  <c r="C9" i="2" s="1"/>
  <c r="AU35" i="3"/>
  <c r="AV35" i="3" s="1"/>
  <c r="AU41" i="3"/>
  <c r="AV41" i="3" s="1"/>
  <c r="AU12" i="3"/>
  <c r="AV12" i="3" s="1"/>
  <c r="AU16" i="3"/>
  <c r="AV16" i="3" s="1"/>
  <c r="AU33" i="3"/>
  <c r="AV33" i="3" s="1"/>
  <c r="AU45" i="3"/>
  <c r="AV45" i="3" s="1"/>
  <c r="AU15" i="3"/>
  <c r="AV15" i="3" s="1"/>
  <c r="AU4" i="3"/>
  <c r="AV4" i="3" s="1"/>
  <c r="AY4" i="3" s="1"/>
  <c r="C4" i="2" s="1"/>
  <c r="AU20" i="3"/>
  <c r="AV20" i="3" s="1"/>
  <c r="AU28" i="3"/>
  <c r="AV28" i="3" s="1"/>
  <c r="AU11" i="3"/>
  <c r="AV11" i="3" s="1"/>
  <c r="AU13" i="3"/>
  <c r="AV13" i="3" s="1"/>
  <c r="AU27" i="3"/>
  <c r="AV27" i="3" s="1"/>
  <c r="AU17" i="3"/>
  <c r="AV17" i="3" s="1"/>
  <c r="AU7" i="3"/>
  <c r="AV7" i="3" s="1"/>
  <c r="AY7" i="3" s="1"/>
  <c r="C7" i="2" s="1"/>
  <c r="AU8" i="3"/>
  <c r="AV8" i="3" s="1"/>
  <c r="AY8" i="3" s="1"/>
  <c r="C8" i="2" s="1"/>
  <c r="AU46" i="3"/>
  <c r="AV46" i="3" s="1"/>
  <c r="AU48" i="3"/>
  <c r="AV48" i="3" s="1"/>
  <c r="AU32" i="3"/>
  <c r="AV32" i="3" s="1"/>
  <c r="AU25" i="3"/>
  <c r="AV25" i="3" s="1"/>
  <c r="AU24" i="3"/>
  <c r="AV24" i="3" s="1"/>
  <c r="AU10" i="3"/>
  <c r="AV10" i="3" s="1"/>
  <c r="AU26" i="3"/>
  <c r="AV26" i="3" s="1"/>
  <c r="AU49" i="3"/>
  <c r="AV49" i="3" s="1"/>
  <c r="AU43" i="3"/>
  <c r="AV43" i="3" s="1"/>
  <c r="AU29" i="3"/>
  <c r="AV29" i="3" s="1"/>
  <c r="AU34" i="3"/>
  <c r="AV34" i="3" s="1"/>
  <c r="AU23" i="3"/>
  <c r="AV23" i="3" s="1"/>
  <c r="AU3" i="3"/>
  <c r="AV3" i="3" s="1"/>
  <c r="AY3" i="3" s="1"/>
  <c r="C3" i="2" s="1"/>
  <c r="AU47" i="3"/>
  <c r="AV47" i="3" s="1"/>
  <c r="AU38" i="3"/>
  <c r="AV38" i="3" s="1"/>
  <c r="AU42" i="3"/>
  <c r="AV42" i="3" s="1"/>
  <c r="AU37" i="3"/>
  <c r="AV37" i="3" s="1"/>
  <c r="AU21" i="3"/>
  <c r="AV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G. Schild</author>
  </authors>
  <commentList>
    <comment ref="B2" authorId="0" shapeId="0" xr:uid="{00000000-0006-0000-0000-000001000000}">
      <text>
        <r>
          <rPr>
            <b/>
            <sz val="9"/>
            <color indexed="12"/>
            <rFont val="Tahoma"/>
            <family val="2"/>
          </rPr>
          <t>Building / project name or description</t>
        </r>
      </text>
    </comment>
    <comment ref="B3" authorId="0" shapeId="0" xr:uid="{00000000-0006-0000-0000-000002000000}">
      <text>
        <r>
          <rPr>
            <b/>
            <sz val="9"/>
            <color indexed="12"/>
            <rFont val="Tahoma"/>
            <family val="2"/>
          </rPr>
          <t xml:space="preserve">Description of duct system being balanced.
</t>
        </r>
        <r>
          <rPr>
            <sz val="9"/>
            <color indexed="12"/>
            <rFont val="Tahoma"/>
            <family val="2"/>
          </rPr>
          <t>Mention the air handling unit (e.g. number/code), 
and whether it is the supply or exhaust duct system.</t>
        </r>
      </text>
    </comment>
    <comment ref="B4" authorId="0" shapeId="0" xr:uid="{00000000-0006-0000-0000-000003000000}">
      <text>
        <r>
          <rPr>
            <b/>
            <sz val="9"/>
            <color indexed="12"/>
            <rFont val="Tahoma"/>
            <family val="2"/>
          </rPr>
          <t>Air handling unit setting during balancing:</t>
        </r>
        <r>
          <rPr>
            <sz val="9"/>
            <color indexed="12"/>
            <rFont val="Tahoma"/>
            <family val="2"/>
          </rPr>
          <t xml:space="preserve">
e.g. flow rate, fan speed, pressure rise,
or variable frequency drive setting)</t>
        </r>
      </text>
    </comment>
    <comment ref="B5" authorId="0" shapeId="0" xr:uid="{00000000-0006-0000-0000-000004000000}">
      <text>
        <r>
          <rPr>
            <b/>
            <sz val="9"/>
            <color indexed="12"/>
            <rFont val="Tahoma"/>
            <family val="2"/>
          </rPr>
          <t>Date when balancing was conducted</t>
        </r>
      </text>
    </comment>
    <comment ref="B6" authorId="0" shapeId="0" xr:uid="{00000000-0006-0000-0000-000005000000}">
      <text>
        <r>
          <rPr>
            <b/>
            <sz val="9"/>
            <color indexed="12"/>
            <rFont val="Tahoma"/>
            <family val="2"/>
          </rPr>
          <t>Your name</t>
        </r>
      </text>
    </comment>
    <comment ref="B8" authorId="0" shapeId="0" xr:uid="{00000000-0006-0000-0000-000006000000}">
      <text>
        <r>
          <rPr>
            <sz val="9"/>
            <color indexed="12"/>
            <rFont val="Tahoma"/>
            <family val="2"/>
          </rPr>
          <t>Units of measurement of the design
flow rate for terminals/dampers,
i.e. column E in the "Balancing" worksheet.
The alternatives are listed to the right.</t>
        </r>
      </text>
    </comment>
    <comment ref="B9" authorId="0" shapeId="0" xr:uid="{00000000-0006-0000-0000-000007000000}">
      <text>
        <r>
          <rPr>
            <b/>
            <sz val="9"/>
            <color indexed="12"/>
            <rFont val="Tahoma"/>
            <family val="2"/>
          </rPr>
          <t>Required accuracy of balancing.</t>
        </r>
        <r>
          <rPr>
            <sz val="9"/>
            <color indexed="12"/>
            <rFont val="Tahoma"/>
            <family val="2"/>
          </rPr>
          <t xml:space="preserve">
A higher percentage means that the
spreadsheet will accept a higher percentage
deviation from perfectly balanced flow rate
at each individual terminal/damper.</t>
        </r>
      </text>
    </comment>
    <comment ref="B10" authorId="0" shapeId="0" xr:uid="{00000000-0006-0000-0000-000008000000}">
      <text>
        <r>
          <rPr>
            <b/>
            <sz val="9"/>
            <color indexed="12"/>
            <rFont val="Tahoma"/>
            <family val="2"/>
          </rPr>
          <t>Language number: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1: English
2: Czech
3: Danish
4: Dutch
5: French
6: Greek
7: Korean
8: Norwegian
9: Spanish
You can add more languages;
contact peter.schild@sintef.no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G. Schild</author>
  </authors>
  <commentList>
    <comment ref="A1" authorId="0" shapeId="0" xr:uid="{00000000-0006-0000-0100-000001000000}">
      <text>
        <r>
          <rPr>
            <b/>
            <sz val="9"/>
            <color indexed="12"/>
            <rFont val="Tahoma"/>
            <family val="2"/>
          </rPr>
          <t xml:space="preserve">Terminal/damper code.
</t>
        </r>
        <r>
          <rPr>
            <sz val="9"/>
            <color indexed="81"/>
            <rFont val="Tahoma"/>
            <family val="2"/>
          </rPr>
          <t>● Fill out the green columns
for all terminals &amp; dampers in
the system before balancing
(can be done beforehand in the office).</t>
        </r>
        <r>
          <rPr>
            <b/>
            <sz val="9"/>
            <color indexed="12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● </t>
        </r>
        <r>
          <rPr>
            <sz val="9"/>
            <color indexed="81"/>
            <rFont val="Tahoma"/>
            <family val="2"/>
          </rPr>
          <t>This column is just for your information;
it is not used as input for calculations.
● You can list all the terminals/dampers
in the whole system, both supply and exhaust.</t>
        </r>
      </text>
    </comment>
    <comment ref="B1" authorId="0" shapeId="0" xr:uid="{00000000-0006-0000-0100-000002000000}">
      <text>
        <r>
          <rPr>
            <b/>
            <sz val="9"/>
            <color indexed="12"/>
            <rFont val="Tahoma"/>
            <family val="2"/>
          </rPr>
          <t xml:space="preserve">Percentage of designed flow rate:
= Measured / Designed × 100%
</t>
        </r>
        <r>
          <rPr>
            <sz val="9"/>
            <color indexed="81"/>
            <rFont val="Tahoma"/>
            <family val="2"/>
          </rPr>
          <t xml:space="preserve">For optimum accuracy, try to keep in range 70%-140%.
Values exceeding this are coloured red.
</t>
        </r>
        <r>
          <rPr>
            <b/>
            <sz val="9"/>
            <color indexed="10"/>
            <rFont val="Tahoma"/>
            <family val="2"/>
          </rPr>
          <t>● The equations in thus column
must not be changed or deleted!</t>
        </r>
      </text>
    </comment>
    <comment ref="C1" authorId="0" shapeId="0" xr:uid="{00000000-0006-0000-0100-000003000000}">
      <text>
        <r>
          <rPr>
            <b/>
            <sz val="9"/>
            <color indexed="12"/>
            <rFont val="Tahoma"/>
            <family val="2"/>
          </rPr>
          <t xml:space="preserve">Information column:
</t>
        </r>
        <r>
          <rPr>
            <sz val="9"/>
            <color indexed="81"/>
            <rFont val="Tahoma"/>
            <family val="2"/>
          </rPr>
          <t xml:space="preserve">● Location of Referance (R)
and Critical (C) terminal/damper.
● Suggested adjustment (estimated),
either approximate first guess ("Estim.1")
or more accurate iterated estimate 
("Estim.2", "Estim.3", osv).
● Or other advice / messages.
</t>
        </r>
        <r>
          <rPr>
            <b/>
            <sz val="9"/>
            <color indexed="10"/>
            <rFont val="Tahoma"/>
            <family val="2"/>
          </rPr>
          <t>● The equations in this column
must not be changed / deleted!</t>
        </r>
      </text>
    </comment>
    <comment ref="D1" authorId="0" shapeId="0" xr:uid="{00000000-0006-0000-0100-000004000000}">
      <text>
        <r>
          <rPr>
            <b/>
            <sz val="9"/>
            <color indexed="12"/>
            <rFont val="Tahoma"/>
            <family val="2"/>
          </rPr>
          <t>Measurement units of the 
instruments used for balancing.</t>
        </r>
        <r>
          <rPr>
            <sz val="9"/>
            <color indexed="81"/>
            <rFont val="Tahoma"/>
            <family val="2"/>
          </rPr>
          <t xml:space="preserve">
● Alternatives:
</t>
        </r>
        <r>
          <rPr>
            <sz val="9"/>
            <color indexed="12"/>
            <rFont val="Tahoma"/>
            <family val="2"/>
          </rPr>
          <t>pa, m3/h, m3/s, l/s, dm3/s, cfm</t>
        </r>
        <r>
          <rPr>
            <sz val="9"/>
            <color indexed="81"/>
            <rFont val="Tahoma"/>
            <family val="2"/>
          </rPr>
          <t xml:space="preserve">
● Terminals/dampers can have
different measurement units.</t>
        </r>
      </text>
    </comment>
    <comment ref="E1" authorId="0" shapeId="0" xr:uid="{00000000-0006-0000-0100-000005000000}">
      <text>
        <r>
          <rPr>
            <b/>
            <sz val="9"/>
            <color indexed="12"/>
            <rFont val="Tahoma"/>
            <family val="2"/>
          </rPr>
          <t>Designed air flow rate
though each terminal or damper.</t>
        </r>
        <r>
          <rPr>
            <b/>
            <sz val="9"/>
            <color indexed="81"/>
            <rFont val="Tahoma"/>
            <family val="2"/>
          </rPr>
          <t xml:space="preserve">
● </t>
        </r>
        <r>
          <rPr>
            <sz val="9"/>
            <color indexed="81"/>
            <rFont val="Tahoma"/>
            <family val="2"/>
          </rPr>
          <t>Measurement unit is defined
in worksheet "General".
● One can list all the terminals/
dampers in the whole system,
both supply and exhaust (Can be
done beforehand in the office).</t>
        </r>
      </text>
    </comment>
    <comment ref="F1" authorId="0" shapeId="0" xr:uid="{00000000-0006-0000-0100-000006000000}">
      <text>
        <r>
          <rPr>
            <b/>
            <sz val="9"/>
            <color indexed="12"/>
            <rFont val="Tahoma"/>
            <family val="2"/>
          </rPr>
          <t>K-factor [</t>
        </r>
        <r>
          <rPr>
            <b/>
            <sz val="9"/>
            <color indexed="12"/>
            <rFont val="Arial"/>
            <family val="2"/>
          </rPr>
          <t>ℓ</t>
        </r>
        <r>
          <rPr>
            <b/>
            <sz val="9"/>
            <color indexed="12"/>
            <rFont val="Tahoma"/>
            <family val="2"/>
          </rPr>
          <t>/s @ 1Pa]</t>
        </r>
        <r>
          <rPr>
            <sz val="9"/>
            <color indexed="81"/>
            <rFont val="Tahoma"/>
            <family val="2"/>
          </rPr>
          <t xml:space="preserve">
● The K-factor is only needed for
terminals/dampers where one measures
air flow rate indirectly by means of a
manometer (differential air pressure).
● Therefore this column is left 
empty for terminals/dampers where you
measure the air flow rate directly.
● Definition: </t>
        </r>
        <r>
          <rPr>
            <i/>
            <sz val="9"/>
            <color indexed="81"/>
            <rFont val="Times New Roman"/>
            <family val="1"/>
          </rPr>
          <t>Q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i/>
            <sz val="9"/>
            <color indexed="81"/>
            <rFont val="Times New Roman"/>
            <family val="1"/>
          </rPr>
          <t>k×</t>
        </r>
        <r>
          <rPr>
            <sz val="9"/>
            <color indexed="81"/>
            <rFont val="Arial"/>
            <family val="2"/>
          </rPr>
          <t>√∆</t>
        </r>
        <r>
          <rPr>
            <i/>
            <sz val="9"/>
            <color indexed="81"/>
            <rFont val="Times New Roman"/>
            <family val="1"/>
          </rPr>
          <t>p</t>
        </r>
        <r>
          <rPr>
            <sz val="9"/>
            <color indexed="81"/>
            <rFont val="Arial"/>
            <family val="2"/>
          </rPr>
          <t xml:space="preserve">
where: </t>
        </r>
        <r>
          <rPr>
            <i/>
            <sz val="9"/>
            <color indexed="81"/>
            <rFont val="Times New Roman"/>
            <family val="1"/>
          </rPr>
          <t>Q</t>
        </r>
        <r>
          <rPr>
            <sz val="9"/>
            <color indexed="81"/>
            <rFont val="Arial"/>
            <family val="2"/>
          </rPr>
          <t xml:space="preserve">=m³/h, </t>
        </r>
        <r>
          <rPr>
            <i/>
            <sz val="9"/>
            <color indexed="81"/>
            <rFont val="Times New Roman"/>
            <family val="1"/>
          </rPr>
          <t>k</t>
        </r>
        <r>
          <rPr>
            <sz val="9"/>
            <color indexed="81"/>
            <rFont val="Arial"/>
            <family val="2"/>
          </rPr>
          <t xml:space="preserve">=k-factor, </t>
        </r>
        <r>
          <rPr>
            <sz val="9"/>
            <color indexed="81"/>
            <rFont val="Times New Roman"/>
            <family val="1"/>
          </rPr>
          <t>∆</t>
        </r>
        <r>
          <rPr>
            <i/>
            <sz val="9"/>
            <color indexed="81"/>
            <rFont val="Times New Roman"/>
            <family val="1"/>
          </rPr>
          <t>p</t>
        </r>
        <r>
          <rPr>
            <sz val="9"/>
            <color indexed="81"/>
            <rFont val="Arial"/>
            <family val="2"/>
          </rPr>
          <t xml:space="preserve">=pa
● For pitot tube traverse: </t>
        </r>
        <r>
          <rPr>
            <i/>
            <sz val="9"/>
            <color indexed="81"/>
            <rFont val="Times New Roman"/>
            <family val="1"/>
          </rPr>
          <t>k</t>
        </r>
        <r>
          <rPr>
            <sz val="9"/>
            <color indexed="81"/>
            <rFont val="Times New Roman"/>
            <family val="1"/>
          </rPr>
          <t>≈1291×</t>
        </r>
        <r>
          <rPr>
            <i/>
            <sz val="9"/>
            <color indexed="81"/>
            <rFont val="Times New Roman"/>
            <family val="1"/>
          </rPr>
          <t>A</t>
        </r>
        <r>
          <rPr>
            <sz val="9"/>
            <color indexed="81"/>
            <rFont val="Arial"/>
            <family val="2"/>
          </rPr>
          <t xml:space="preserve">
where: </t>
        </r>
        <r>
          <rPr>
            <i/>
            <sz val="9"/>
            <color indexed="81"/>
            <rFont val="Times New Roman"/>
            <family val="1"/>
          </rPr>
          <t>A</t>
        </r>
        <r>
          <rPr>
            <sz val="9"/>
            <color indexed="81"/>
            <rFont val="Arial"/>
            <family val="2"/>
          </rPr>
          <t>=duct cross section area [m²]</t>
        </r>
      </text>
    </comment>
    <comment ref="H1" authorId="0" shapeId="0" xr:uid="{00000000-0006-0000-0100-000007000000}">
      <text>
        <r>
          <rPr>
            <b/>
            <sz val="9"/>
            <color indexed="12"/>
            <rFont val="Tahoma"/>
            <family val="2"/>
          </rPr>
          <t>Initial (orienting) measurements: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● Take the initial measurements
before starting balancing. Initial
measurements are often done with
fully open terminals/dampers.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● Alternatively, this column can be used
for control-measurement of the whole,
or part of the, duct system.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● When balancing, you should normally
only fill in the rows for one balancing 
group at a time (e.g. a row of terminals)
● All cells in the yellow columns shall be
cleared apart from the cells that
belong to the group being balanced.
● Initial measurements should include all
terminals/dampers in the balancing group.</t>
        </r>
      </text>
    </comment>
    <comment ref="I1" authorId="0" shapeId="0" xr:uid="{00000000-0006-0000-0100-000008000000}">
      <text>
        <r>
          <rPr>
            <b/>
            <sz val="9"/>
            <color indexed="12"/>
            <rFont val="Tahoma"/>
            <family val="2"/>
          </rPr>
          <t>Measurements during balancing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● All cells in the yellow columns
shall be empty apart from the cells
that belong to the duct string being
balanced.
● Use a new column after each
adjustment. You can have more than
one adjustment per terminal/damper
● </t>
        </r>
        <r>
          <rPr>
            <u/>
            <sz val="9"/>
            <color indexed="81"/>
            <rFont val="Tahoma"/>
            <family val="2"/>
          </rPr>
          <t>Normally</t>
        </r>
        <r>
          <rPr>
            <sz val="9"/>
            <color indexed="81"/>
            <rFont val="Tahoma"/>
            <family val="2"/>
          </rPr>
          <t xml:space="preserve"> you enter 2 measurements
in each column: (1) the terminal/damper
being balanced, and (2) the simultaneous
measurement at the Reference terminal.
● You can actually enter more than 2
measurements per column, if you wish.
● You do not actually have to use the end
terminal/damper as Reference (though this
is normally recommended).</t>
        </r>
      </text>
    </comment>
  </commentList>
</comments>
</file>

<file path=xl/sharedStrings.xml><?xml version="1.0" encoding="utf-8"?>
<sst xmlns="http://schemas.openxmlformats.org/spreadsheetml/2006/main" count="407" uniqueCount="354">
  <si>
    <t>Måleenhet</t>
  </si>
  <si>
    <t>m3/h</t>
  </si>
  <si>
    <t>(ikke flere rad)</t>
  </si>
  <si>
    <t>Prosj.m3/s</t>
  </si>
  <si>
    <t>Count</t>
  </si>
  <si>
    <t>LastCol</t>
  </si>
  <si>
    <t>FirstRow</t>
  </si>
  <si>
    <t>Row\Col</t>
  </si>
  <si>
    <t>FirstRowX</t>
  </si>
  <si>
    <t>LastRowY</t>
  </si>
  <si>
    <t>SumX</t>
  </si>
  <si>
    <t>SumY</t>
  </si>
  <si>
    <t>SumXX</t>
  </si>
  <si>
    <t>XX</t>
  </si>
  <si>
    <t>XY</t>
  </si>
  <si>
    <t>SumXY</t>
  </si>
  <si>
    <t>N</t>
  </si>
  <si>
    <t>b</t>
  </si>
  <si>
    <t>a</t>
  </si>
  <si>
    <t>denom</t>
  </si>
  <si>
    <t>cross at x=y=</t>
  </si>
  <si>
    <t>MinOrient (Index)</t>
  </si>
  <si>
    <t>IndexRow</t>
  </si>
  <si>
    <t>RefRow</t>
  </si>
  <si>
    <t>Guess m3/s</t>
  </si>
  <si>
    <t>Guess IOunits</t>
  </si>
  <si>
    <t>% prosj.</t>
  </si>
  <si>
    <t>Prosj.måleenhet</t>
  </si>
  <si>
    <t>Estimat</t>
  </si>
  <si>
    <t>Dato innregulert</t>
  </si>
  <si>
    <t>Bygning/prosjekt</t>
  </si>
  <si>
    <t>Utført av</t>
  </si>
  <si>
    <t>Aggregat innstilling</t>
  </si>
  <si>
    <t>Colour convention:</t>
  </si>
  <si>
    <t>Green</t>
  </si>
  <si>
    <t>Red</t>
  </si>
  <si>
    <t>Cell formula contains references to Innregulering worksheet</t>
  </si>
  <si>
    <t>Cell with unique fomula in a row/column of cells with same formula</t>
  </si>
  <si>
    <t>BadUnits?</t>
  </si>
  <si>
    <t>m3/s</t>
  </si>
  <si>
    <t>l/s</t>
  </si>
  <si>
    <t>dm3/s</t>
  </si>
  <si>
    <t>Volume flow rate conversion mult.fact to m3/s</t>
  </si>
  <si>
    <t>facM&gt;m3s</t>
  </si>
  <si>
    <t>Prosjektert Fac&gt;m3/s</t>
  </si>
  <si>
    <t>Empty?</t>
  </si>
  <si>
    <t>Message</t>
  </si>
  <si>
    <t>Col#,&gt;1 rows</t>
  </si>
  <si>
    <t>Row#lastCol</t>
  </si>
  <si>
    <t>▲terminals %. 1=orienteende målinger, 2+=innregulering</t>
  </si>
  <si>
    <t>Interp.Cols</t>
  </si>
  <si>
    <t>Row#balance!</t>
  </si>
  <si>
    <t>%/Prosj.</t>
  </si>
  <si>
    <t>Row estim.</t>
  </si>
  <si>
    <t>1stRow unbal.</t>
  </si>
  <si>
    <t>LastRow in lastCol</t>
  </si>
  <si>
    <t>Orein.m3/s</t>
  </si>
  <si>
    <t>f2,d sO</t>
  </si>
  <si>
    <t>f1,e sP</t>
  </si>
  <si>
    <t>Blue</t>
  </si>
  <si>
    <t>Cells which refer to neighbouring cells in same row or column (cumulative). Care should be taken when deleting rows/columns in the series</t>
  </si>
  <si>
    <t>est.2 possible</t>
  </si>
  <si>
    <t>Estim.0.orient</t>
  </si>
  <si>
    <t>Types of estimate, with successively increasing degree of accuracy:</t>
  </si>
  <si>
    <t>ThisRow cols</t>
  </si>
  <si>
    <t>Col#,only 2 rows (first &amp; last)</t>
  </si>
  <si>
    <t>b_1st,VAVg,this</t>
  </si>
  <si>
    <t>b_end,true,this</t>
  </si>
  <si>
    <t>Guess%</t>
  </si>
  <si>
    <t>MinLastCol (Index), if all else fails</t>
  </si>
  <si>
    <t>Dette arket skal ikke endres !</t>
  </si>
  <si>
    <t>Do not change this worksheet !</t>
  </si>
  <si>
    <t>Language version</t>
  </si>
  <si>
    <t>Languages:</t>
  </si>
  <si>
    <t>English</t>
  </si>
  <si>
    <t>Norsk</t>
  </si>
  <si>
    <t>Medling</t>
  </si>
  <si>
    <t>Estim.</t>
  </si>
  <si>
    <t>(tom kolonne)</t>
  </si>
  <si>
    <t>(R)</t>
  </si>
  <si>
    <t>(I)</t>
  </si>
  <si>
    <t>Enhet?</t>
  </si>
  <si>
    <t>K-fact?</t>
  </si>
  <si>
    <t>K-fakt?</t>
  </si>
  <si>
    <t>Prosj?</t>
  </si>
  <si>
    <t>Orient?</t>
  </si>
  <si>
    <t>Måle&gt;</t>
  </si>
  <si>
    <t>(ikke flere kolonner)</t>
  </si>
  <si>
    <t>General input data</t>
  </si>
  <si>
    <t>Generell inndata</t>
  </si>
  <si>
    <t>Building/project</t>
  </si>
  <si>
    <t>AHU operating point</t>
  </si>
  <si>
    <t>Date balanced</t>
  </si>
  <si>
    <t>Balanced by</t>
  </si>
  <si>
    <t>Design flow units</t>
  </si>
  <si>
    <t>Guess</t>
  </si>
  <si>
    <t>Meas.units</t>
  </si>
  <si>
    <t>Prosj.</t>
  </si>
  <si>
    <t>(empty col.)</t>
  </si>
  <si>
    <t>Units?</t>
  </si>
  <si>
    <t>Design?</t>
  </si>
  <si>
    <t>Initial?</t>
  </si>
  <si>
    <t>Next&gt;</t>
  </si>
  <si>
    <t>(no more rows)</t>
  </si>
  <si>
    <t>(no more columns)</t>
  </si>
  <si>
    <t xml:space="preserve"> Orient. &amp; Innregulering  (tøm disse gule kolonner før hver streng)</t>
  </si>
  <si>
    <t>Anlegg #</t>
  </si>
  <si>
    <t>AHU #</t>
  </si>
  <si>
    <t>Balancing accuracy</t>
  </si>
  <si>
    <t>Innreg.nøyaktighet</t>
  </si>
  <si>
    <t>Spjeld</t>
  </si>
  <si>
    <t>Term.</t>
  </si>
  <si>
    <t>%design</t>
  </si>
  <si>
    <t>Desig.</t>
  </si>
  <si>
    <t>(Ref.)</t>
  </si>
  <si>
    <t>Row#lastCol_notIndex</t>
  </si>
  <si>
    <t>Row Next&gt;</t>
  </si>
  <si>
    <t>String Last Row</t>
  </si>
  <si>
    <t>Row Next&gt;test</t>
  </si>
  <si>
    <t>Row Next&gt; jump over Index</t>
  </si>
  <si>
    <t>insert new rows above</t>
  </si>
  <si>
    <t>Check&gt;</t>
  </si>
  <si>
    <t>Sjekk&gt;</t>
  </si>
  <si>
    <t>Česky</t>
  </si>
  <si>
    <t>Dansk</t>
  </si>
  <si>
    <t>Nederlands</t>
  </si>
  <si>
    <t>Ελληνικά</t>
  </si>
  <si>
    <t>한국어</t>
  </si>
  <si>
    <t>Español</t>
  </si>
  <si>
    <t>Obecné vstupní data</t>
  </si>
  <si>
    <t>Generelle inputdata</t>
  </si>
  <si>
    <t>Algemene invoergegevens</t>
  </si>
  <si>
    <t>Bodova/projekt</t>
  </si>
  <si>
    <t>Bygning/projekt</t>
  </si>
  <si>
    <t>Gebouw/project</t>
  </si>
  <si>
    <t>Κτίριο/έργου</t>
  </si>
  <si>
    <t>건물/프로젝트</t>
  </si>
  <si>
    <t>Větrací jednotka #</t>
  </si>
  <si>
    <t>System #</t>
  </si>
  <si>
    <t>MVU #</t>
  </si>
  <si>
    <t>Provozní bod</t>
  </si>
  <si>
    <t>MVU volume</t>
  </si>
  <si>
    <t>Datum</t>
  </si>
  <si>
    <t>Date d'équilibrage</t>
  </si>
  <si>
    <t>Ημερομηνία</t>
  </si>
  <si>
    <t>날짜</t>
  </si>
  <si>
    <t>Vyvážena, jméno</t>
  </si>
  <si>
    <t>Ingesteld door</t>
  </si>
  <si>
    <t>Náv. jednotka průtoku</t>
  </si>
  <si>
    <t>Gebruikte eenheid ontwerp</t>
  </si>
  <si>
    <t>Přesnost vyvážení</t>
  </si>
  <si>
    <t>Nauwkeurigheid instelling</t>
  </si>
  <si>
    <t>Klapka</t>
  </si>
  <si>
    <t>Ventiel</t>
  </si>
  <si>
    <t>%/Návrh</t>
  </si>
  <si>
    <t>%/Ontwerp.</t>
  </si>
  <si>
    <t>%/Σχέδιο</t>
  </si>
  <si>
    <t>Bericht</t>
  </si>
  <si>
    <t>Μήνυμα</t>
  </si>
  <si>
    <t>메시지</t>
  </si>
  <si>
    <t>Mensaje</t>
  </si>
  <si>
    <t>Odhad</t>
  </si>
  <si>
    <t>Raden</t>
  </si>
  <si>
    <t>Jed.</t>
  </si>
  <si>
    <t>Eenheid</t>
  </si>
  <si>
    <t>Unité</t>
  </si>
  <si>
    <t>(mezera)</t>
  </si>
  <si>
    <t>(lege kolom)</t>
  </si>
  <si>
    <t xml:space="preserve"> Počátek &amp; Vyvážení (na počátku vymazat sloupce</t>
  </si>
  <si>
    <t>Initieel &amp; instellingen(maak de colummen leeg voor aanvang)</t>
  </si>
  <si>
    <t>Neměňte tento list!</t>
  </si>
  <si>
    <t>Breng geen veranderingen aan in dit werkblad</t>
  </si>
  <si>
    <t>Ne pas modifier cette feuille de travail!</t>
  </si>
  <si>
    <t>Μην αλλάξετε αυτό το φύλλο εργασίας!</t>
  </si>
  <si>
    <t>이 워크시트를 변경하지 마십시오!</t>
  </si>
  <si>
    <t>No cambiar esta hoja de cálculo!</t>
  </si>
  <si>
    <t>Jednotka?</t>
  </si>
  <si>
    <t>Eenheid?</t>
  </si>
  <si>
    <t>Unités?</t>
  </si>
  <si>
    <t>K?</t>
  </si>
  <si>
    <t>Návrh?</t>
  </si>
  <si>
    <t>Ontwerp.</t>
  </si>
  <si>
    <t>Poč.?</t>
  </si>
  <si>
    <t>Initieel?</t>
  </si>
  <si>
    <t>Další&gt;</t>
  </si>
  <si>
    <t>Volgende</t>
  </si>
  <si>
    <t>(žádné další řádky)</t>
  </si>
  <si>
    <t>(niet meer rijen)</t>
  </si>
  <si>
    <t>(pas plus de lignes)</t>
  </si>
  <si>
    <t>(δεν υπάρχουν περισσότερες σειρές)</t>
  </si>
  <si>
    <t>(no hay más filas)</t>
  </si>
  <si>
    <t>(žádné další sloupce)</t>
  </si>
  <si>
    <t>(niet meer kolommen)</t>
  </si>
  <si>
    <t>(pas plus de colonnes)</t>
  </si>
  <si>
    <t>(δεν υπάρχουν περισσότερες στήλες)</t>
  </si>
  <si>
    <t>(no hay más columnas)</t>
  </si>
  <si>
    <t>Kontr.&gt;</t>
  </si>
  <si>
    <t>Contr</t>
  </si>
  <si>
    <t>No more languages</t>
  </si>
  <si>
    <t>Données générales</t>
  </si>
  <si>
    <t>Bâtiment / projet</t>
  </si>
  <si>
    <t>Groupe n°</t>
  </si>
  <si>
    <t>Position de réglage</t>
  </si>
  <si>
    <t>Nom de l'opérateur</t>
  </si>
  <si>
    <t>Unité de débit</t>
  </si>
  <si>
    <t>Précision requise</t>
  </si>
  <si>
    <t>Bouch</t>
  </si>
  <si>
    <t>%/Proj</t>
  </si>
  <si>
    <t>(col. vide)</t>
  </si>
  <si>
    <t>Initial &amp; Equilibrage (videz ces colonnes avant de commencer)</t>
  </si>
  <si>
    <t>Projet?</t>
  </si>
  <si>
    <t>Init.?</t>
  </si>
  <si>
    <t>Suite&gt;</t>
  </si>
  <si>
    <t>Contr.&gt;</t>
  </si>
  <si>
    <t>일반 입력 데이터</t>
  </si>
  <si>
    <t>시스템 수</t>
  </si>
  <si>
    <t>시스템 운전포인트</t>
  </si>
  <si>
    <t>밸런싱 수행자</t>
  </si>
  <si>
    <t>설계유량 단위</t>
  </si>
  <si>
    <t>밸런싱 정확도</t>
  </si>
  <si>
    <t>터미널(댐퍼)</t>
  </si>
  <si>
    <t>설계유량 비율</t>
  </si>
  <si>
    <t>예측</t>
  </si>
  <si>
    <t>측정 단위</t>
  </si>
  <si>
    <t>(공란)</t>
  </si>
  <si>
    <t>초기&amp;밸런싱(새로운 문장을 입력하기 전에 이 열을 지우시오)</t>
  </si>
  <si>
    <t>참조</t>
  </si>
  <si>
    <t>단위?</t>
  </si>
  <si>
    <t>설계유량?</t>
  </si>
  <si>
    <t>초기측정치?</t>
  </si>
  <si>
    <t>다음&gt;</t>
  </si>
  <si>
    <t>(더 이상의 행이 없습니다)</t>
  </si>
  <si>
    <t>(더 이상의 열이 없습니다)</t>
  </si>
  <si>
    <t>확인&gt;</t>
  </si>
  <si>
    <t>Korean</t>
  </si>
  <si>
    <t>Entrada general de datos</t>
  </si>
  <si>
    <t>Edificio / proyecto</t>
  </si>
  <si>
    <t>Numero de unidades de tratamiento de aire (UTA)</t>
  </si>
  <si>
    <t>¿punto de operación de la UTA?</t>
  </si>
  <si>
    <t>Fecha del equilibrado</t>
  </si>
  <si>
    <t>Nombre de la persona que realizó el equilibrado</t>
  </si>
  <si>
    <t xml:space="preserve">Unidades SI de diseño del flujo </t>
  </si>
  <si>
    <t>Precisión del equilibrado</t>
  </si>
  <si>
    <t>Term.aire</t>
  </si>
  <si>
    <t>%/Diseño</t>
  </si>
  <si>
    <t>Unid.de.Med</t>
  </si>
  <si>
    <t>Inicial &amp; Equilibrado (Borrar estas columnas antes de empezar una nueva serie)</t>
  </si>
  <si>
    <t>¿Unidades?</t>
  </si>
  <si>
    <t>¿Diseño?</t>
  </si>
  <si>
    <t>¿Inicial?</t>
  </si>
  <si>
    <t>Siguiente&gt;</t>
  </si>
  <si>
    <t>Control&gt;</t>
  </si>
  <si>
    <t>(colum.vacia)</t>
  </si>
  <si>
    <t>¿Fact-K?</t>
  </si>
  <si>
    <t>Δεδομένα εισόδου</t>
  </si>
  <si>
    <t>ΜΔΑ #</t>
  </si>
  <si>
    <t>Σημείο λειτουργίας ΜΔΑ</t>
  </si>
  <si>
    <t>Εξισορροπημένο από</t>
  </si>
  <si>
    <t>Μονάδες παροχής σχεδιασμού</t>
  </si>
  <si>
    <t>Ακρίβεια εξισορρόπησης</t>
  </si>
  <si>
    <t>ΤΔΑ</t>
  </si>
  <si>
    <t>Εκτίμηση</t>
  </si>
  <si>
    <t>Μονάδες μέτρησης</t>
  </si>
  <si>
    <t>Σχεδ.</t>
  </si>
  <si>
    <t>Κενή στήλη</t>
  </si>
  <si>
    <t>Αρχική τιμή και Εξισορρόπηση (Καθαρίστε αυτές τις στήλες πριν εισάγετε οτιδήποτε νέο)</t>
  </si>
  <si>
    <t>(Αναφ.)</t>
  </si>
  <si>
    <t>Μονάδες?</t>
  </si>
  <si>
    <t>Συντ. Κ?</t>
  </si>
  <si>
    <t>Σχεδιασμός?</t>
  </si>
  <si>
    <t>Αρχική?</t>
  </si>
  <si>
    <t>Επόμενο&gt;</t>
  </si>
  <si>
    <t>Έλεγχος&gt;</t>
  </si>
  <si>
    <t>Czech</t>
  </si>
  <si>
    <t>Danish</t>
  </si>
  <si>
    <t>Dutch</t>
  </si>
  <si>
    <t>French</t>
  </si>
  <si>
    <t>Greek</t>
  </si>
  <si>
    <t>Norwegian</t>
  </si>
  <si>
    <t>Spanish</t>
  </si>
  <si>
    <t>Français</t>
  </si>
  <si>
    <t>설계유량:</t>
  </si>
  <si>
    <t>Diseño,</t>
  </si>
  <si>
    <t>Ontwerp,</t>
  </si>
  <si>
    <t>Návrh,</t>
  </si>
  <si>
    <t>cfm</t>
  </si>
  <si>
    <t>l/min</t>
  </si>
  <si>
    <t xml:space="preserve"> (alternatives: pa, cfm, dm3/s, l/s, l/min, m3/h, m3/s)</t>
  </si>
  <si>
    <t xml:space="preserve"> (alternativy: pa, cfm, dm3/s, l/s, l/min, m3/h, m3/s)</t>
  </si>
  <si>
    <t xml:space="preserve"> (alternativ: pa, cfm, dm3/s, l/s, l/min, m3/h, m3/s)</t>
  </si>
  <si>
    <t xml:space="preserve"> (alternatieven: pa, cfm, dm3/s, l/s, l/min, m3/h, m3/s)</t>
  </si>
  <si>
    <t xml:space="preserve"> (Alternatives: pa, cfm, dm3/s, l/s, l/min, m3/h, m3/s)</t>
  </si>
  <si>
    <t>(εναλλακτικά: pa, cfm, dm3/s, l/s, l/min, m3/h, m3/s)</t>
  </si>
  <si>
    <t xml:space="preserve"> (대체 단위: pa, cfm, dm3/s, l/s, l/min, m3/h, m3/s)</t>
  </si>
  <si>
    <t xml:space="preserve"> (alternativer: pa, cfm, dm3/s, l/s, l/min, m3/h, m3/s)</t>
  </si>
  <si>
    <t xml:space="preserve"> (alternativas: pa, cfm, dm3/s, l/s, l/min, m3/h, m3/s)</t>
  </si>
  <si>
    <t>Language</t>
  </si>
  <si>
    <t>K-factor,l/s</t>
  </si>
  <si>
    <t>K (l/s)?</t>
  </si>
  <si>
    <t>K-faktor,l/s</t>
  </si>
  <si>
    <t>K-fact.(l/s)</t>
  </si>
  <si>
    <t>Συντελεστής Κ(l/s)</t>
  </si>
  <si>
    <t>factor-K,l/s</t>
  </si>
  <si>
    <t>Guess0: first estimate right after orienteering measurements</t>
  </si>
  <si>
    <t>Guess2+: interpolation of 2+ columns of measurements</t>
  </si>
  <si>
    <t>Finished?</t>
  </si>
  <si>
    <t>100% VAV</t>
  </si>
  <si>
    <t>Index f, if unbalanced above index</t>
  </si>
  <si>
    <t>Green = ±</t>
  </si>
  <si>
    <t>(I&amp;R)</t>
  </si>
  <si>
    <t>(I+R)</t>
  </si>
  <si>
    <t>(Α&amp;Δ)</t>
  </si>
  <si>
    <t>인덱스/참조</t>
  </si>
  <si>
    <t>(Index)</t>
  </si>
  <si>
    <t>(Δείκτης)</t>
  </si>
  <si>
    <t>인덱스</t>
  </si>
  <si>
    <t>Desig.,</t>
  </si>
  <si>
    <t xml:space="preserve"> Initial &amp; Balancing (clear these yellow columns before starting a new balancing group)</t>
  </si>
  <si>
    <t>x</t>
  </si>
  <si>
    <t>z</t>
  </si>
  <si>
    <t>OUTPUT</t>
  </si>
  <si>
    <t>Min (indx) %</t>
  </si>
  <si>
    <t>Weighted: 55%VAV, 45%CAV. Valid only for column 1</t>
  </si>
  <si>
    <t>Guess1: first estimate for new terminal (column 2+), 3R model (between CAV&amp;VAV limits), based on changes from orienteering</t>
  </si>
  <si>
    <t>LastCol &gt;1 rows</t>
  </si>
  <si>
    <t>Both Rows &lt;&gt;""</t>
  </si>
  <si>
    <t>b can't be a positive slope. must reduce x to increase y, and vice versa. Also cant est.2 if first column after orient unless index-&gt;ref</t>
  </si>
  <si>
    <t>Guess#</t>
  </si>
  <si>
    <t>Db</t>
  </si>
  <si>
    <t>Qb,1</t>
  </si>
  <si>
    <t>Qb,2</t>
  </si>
  <si>
    <t>r(Qb,2)</t>
  </si>
  <si>
    <t>Qa,1</t>
  </si>
  <si>
    <t>r,CAV</t>
  </si>
  <si>
    <t>Da</t>
  </si>
  <si>
    <t>ra2,VAV</t>
  </si>
  <si>
    <t>Best guess between VAV &amp; CAV</t>
  </si>
  <si>
    <t>final avg r</t>
  </si>
  <si>
    <t>check if can use 1st best guess in col2, coz 1stRow trottled (decreased more than 2nd row increased), and row2 not index:  a1+b1&gt;a2+b2  &amp;  a1-a2&gt;b1-b2</t>
  </si>
  <si>
    <t>interpolate?</t>
  </si>
  <si>
    <t>exception col2 bestguess</t>
  </si>
  <si>
    <t>account for guess1 exception in column 2</t>
  </si>
  <si>
    <t>YY</t>
  </si>
  <si>
    <t>SumYY</t>
  </si>
  <si>
    <t>best one, limited</t>
  </si>
  <si>
    <t>x-y</t>
  </si>
  <si>
    <t>y-x</t>
  </si>
  <si>
    <t>This Row guess</t>
  </si>
  <si>
    <t>except. test</t>
  </si>
  <si>
    <t>Row#2ndLastCol</t>
  </si>
  <si>
    <t>Both</t>
  </si>
  <si>
    <t>can use bestguess?</t>
  </si>
  <si>
    <t>! Use any row for reference. Must be unchanged</t>
  </si>
  <si>
    <t>! But this wont work for index-ref? all must have the atd being throttled, and index (or other ref.)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</si>
</sst>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\ %"/>
  </numFmts>
  <fonts count="37" x14ac:knownFonts="1">
    <font>
      <sz val="11"/>
      <color rgb="FF000000"/>
      <name val="Calibri"/>
      <family val="2"/>
      <scheme val="minor"/>
    </font>
    <font>
      <sz val="8"/>
      <color indexed="12"/>
      <name val="Tahoma"/>
      <family val="2"/>
    </font>
    <font>
      <b/>
      <sz val="8"/>
      <color indexed="12"/>
      <name val="Tahoma"/>
      <family val="2"/>
    </font>
    <font>
      <b/>
      <sz val="8"/>
      <color indexed="10"/>
      <name val="Tahoma"/>
      <family val="2"/>
    </font>
    <font>
      <sz val="8"/>
      <color indexed="8"/>
      <name val="Arial"/>
      <family val="2"/>
    </font>
    <font>
      <sz val="8"/>
      <color indexed="10"/>
      <name val="Tahoma"/>
      <family val="2"/>
    </font>
    <font>
      <b/>
      <sz val="8"/>
      <color indexed="8"/>
      <name val="Tahoma"/>
      <family val="2"/>
    </font>
    <font>
      <sz val="8"/>
      <color indexed="57"/>
      <name val="Tahoma"/>
      <family val="2"/>
    </font>
    <font>
      <b/>
      <sz val="8"/>
      <color indexed="57"/>
      <name val="Tahoma"/>
      <family val="2"/>
    </font>
    <font>
      <b/>
      <sz val="7"/>
      <color indexed="12"/>
      <name val="Tahoma"/>
      <family val="2"/>
    </font>
    <font>
      <sz val="8"/>
      <name val="Tahoma"/>
      <family val="2"/>
    </font>
    <font>
      <b/>
      <sz val="7"/>
      <color indexed="8"/>
      <name val="Tahoma"/>
      <family val="2"/>
    </font>
    <font>
      <b/>
      <sz val="9"/>
      <color indexed="12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2"/>
      <name val="Tahoma"/>
      <family val="2"/>
    </font>
    <font>
      <b/>
      <sz val="9"/>
      <color indexed="12"/>
      <name val="Arial"/>
      <family val="2"/>
    </font>
    <font>
      <i/>
      <sz val="9"/>
      <color indexed="81"/>
      <name val="Times New Roman"/>
      <family val="1"/>
    </font>
    <font>
      <sz val="9"/>
      <color indexed="81"/>
      <name val="Arial"/>
      <family val="2"/>
    </font>
    <font>
      <sz val="9"/>
      <color indexed="81"/>
      <name val="Times New Roman"/>
      <family val="1"/>
    </font>
    <font>
      <u/>
      <sz val="9"/>
      <color indexed="81"/>
      <name val="Tahoma"/>
      <family val="2"/>
    </font>
    <font>
      <sz val="7"/>
      <color indexed="57"/>
      <name val="Tahoma"/>
      <family val="2"/>
    </font>
    <font>
      <b/>
      <sz val="9"/>
      <color indexed="10"/>
      <name val="Tahoma"/>
      <family val="2"/>
    </font>
    <font>
      <sz val="8"/>
      <color rgb="FF0070C0"/>
      <name val="Tahoma"/>
      <family val="2"/>
    </font>
    <font>
      <sz val="7"/>
      <color rgb="FF0070C0"/>
      <name val="Tahoma"/>
      <family val="2"/>
    </font>
    <font>
      <b/>
      <sz val="7"/>
      <color rgb="FF000000"/>
      <name val="Tahoma"/>
      <family val="2"/>
    </font>
    <font>
      <b/>
      <sz val="11"/>
      <color indexed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color indexed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rgb="FF008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dashed">
        <color indexed="64"/>
      </right>
      <top/>
      <bottom style="thin">
        <color indexed="55"/>
      </bottom>
      <diagonal/>
    </border>
    <border>
      <left/>
      <right style="dashed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rgb="FF969696"/>
      </right>
      <top/>
      <bottom/>
      <diagonal/>
    </border>
    <border>
      <left/>
      <right style="double">
        <color rgb="FF969696"/>
      </right>
      <top/>
      <bottom style="medium">
        <color indexed="64"/>
      </bottom>
      <diagonal/>
    </border>
    <border>
      <left/>
      <right style="double">
        <color rgb="FF969696"/>
      </right>
      <top/>
      <bottom style="thin">
        <color indexed="55"/>
      </bottom>
      <diagonal/>
    </border>
    <border>
      <left/>
      <right style="double">
        <color rgb="FF969696"/>
      </right>
      <top style="thin">
        <color indexed="55"/>
      </top>
      <bottom style="thin">
        <color indexed="55"/>
      </bottom>
      <diagonal/>
    </border>
    <border>
      <left/>
      <right style="double">
        <color rgb="FF969696"/>
      </right>
      <top style="thin">
        <color indexed="55"/>
      </top>
      <bottom/>
      <diagonal/>
    </border>
  </borders>
  <cellStyleXfs count="1">
    <xf numFmtId="0" fontId="0" fillId="2" borderId="0"/>
  </cellStyleXfs>
  <cellXfs count="121">
    <xf numFmtId="0" fontId="0" fillId="2" borderId="0" xfId="0"/>
    <xf numFmtId="0" fontId="1" fillId="2" borderId="0" xfId="0" applyFont="1" applyAlignment="1">
      <alignment horizontal="right"/>
    </xf>
    <xf numFmtId="0" fontId="5" fillId="2" borderId="0" xfId="0" applyFont="1"/>
    <xf numFmtId="0" fontId="4" fillId="2" borderId="0" xfId="0" applyFont="1"/>
    <xf numFmtId="0" fontId="0" fillId="2" borderId="0" xfId="0" quotePrefix="1"/>
    <xf numFmtId="9" fontId="2" fillId="2" borderId="0" xfId="0" applyNumberFormat="1" applyFont="1" applyAlignment="1">
      <alignment horizontal="center"/>
    </xf>
    <xf numFmtId="0" fontId="2" fillId="2" borderId="0" xfId="0" applyFont="1" applyAlignment="1">
      <alignment horizontal="center"/>
    </xf>
    <xf numFmtId="0" fontId="6" fillId="2" borderId="0" xfId="0" applyFont="1" applyAlignment="1">
      <alignment horizontal="center"/>
    </xf>
    <xf numFmtId="9" fontId="6" fillId="2" borderId="0" xfId="0" applyNumberFormat="1" applyFont="1" applyAlignment="1">
      <alignment horizontal="center"/>
    </xf>
    <xf numFmtId="0" fontId="6" fillId="2" borderId="0" xfId="0" applyFont="1"/>
    <xf numFmtId="0" fontId="7" fillId="2" borderId="0" xfId="0" applyFont="1"/>
    <xf numFmtId="0" fontId="7" fillId="2" borderId="1" xfId="0" applyFont="1" applyBorder="1"/>
    <xf numFmtId="0" fontId="7" fillId="2" borderId="2" xfId="0" applyFont="1" applyBorder="1"/>
    <xf numFmtId="0" fontId="7" fillId="2" borderId="3" xfId="0" applyFont="1" applyBorder="1"/>
    <xf numFmtId="0" fontId="7" fillId="2" borderId="4" xfId="0" applyFont="1" applyBorder="1"/>
    <xf numFmtId="0" fontId="7" fillId="2" borderId="5" xfId="0" applyFont="1" applyBorder="1"/>
    <xf numFmtId="0" fontId="7" fillId="2" borderId="6" xfId="0" applyFont="1" applyBorder="1"/>
    <xf numFmtId="0" fontId="7" fillId="2" borderId="7" xfId="0" applyFont="1" applyBorder="1"/>
    <xf numFmtId="0" fontId="7" fillId="2" borderId="8" xfId="0" applyFont="1" applyBorder="1"/>
    <xf numFmtId="0" fontId="8" fillId="2" borderId="0" xfId="0" applyFont="1" applyAlignment="1">
      <alignment horizontal="center"/>
    </xf>
    <xf numFmtId="0" fontId="7" fillId="2" borderId="0" xfId="0" applyFont="1" applyAlignment="1">
      <alignment horizontal="right"/>
    </xf>
    <xf numFmtId="0" fontId="1" fillId="2" borderId="0" xfId="0" applyFont="1"/>
    <xf numFmtId="0" fontId="1" fillId="4" borderId="0" xfId="0" applyFont="1" applyFill="1" applyAlignment="1">
      <alignment horizontal="right"/>
    </xf>
    <xf numFmtId="0" fontId="3" fillId="2" borderId="0" xfId="0" applyFont="1" applyAlignment="1">
      <alignment horizontal="left"/>
    </xf>
    <xf numFmtId="0" fontId="2" fillId="2" borderId="0" xfId="0" applyFont="1"/>
    <xf numFmtId="0" fontId="2" fillId="2" borderId="0" xfId="0" applyFont="1" applyAlignment="1">
      <alignment horizontal="left"/>
    </xf>
    <xf numFmtId="0" fontId="0" fillId="2" borderId="0" xfId="0" applyAlignment="1">
      <alignment horizontal="right"/>
    </xf>
    <xf numFmtId="0" fontId="0" fillId="2" borderId="21" xfId="0" applyBorder="1"/>
    <xf numFmtId="0" fontId="0" fillId="2" borderId="22" xfId="0" applyBorder="1"/>
    <xf numFmtId="0" fontId="0" fillId="2" borderId="23" xfId="0" applyBorder="1"/>
    <xf numFmtId="0" fontId="0" fillId="2" borderId="24" xfId="0" applyBorder="1"/>
    <xf numFmtId="0" fontId="0" fillId="2" borderId="0" xfId="0" applyBorder="1"/>
    <xf numFmtId="0" fontId="0" fillId="2" borderId="25" xfId="0" applyBorder="1"/>
    <xf numFmtId="0" fontId="0" fillId="2" borderId="20" xfId="0" applyBorder="1"/>
    <xf numFmtId="0" fontId="0" fillId="2" borderId="26" xfId="0" applyBorder="1"/>
    <xf numFmtId="0" fontId="8" fillId="2" borderId="0" xfId="0" applyFont="1" applyAlignment="1">
      <alignment horizontal="right"/>
    </xf>
    <xf numFmtId="0" fontId="11" fillId="2" borderId="0" xfId="0" applyFont="1" applyAlignment="1">
      <alignment horizontal="right"/>
    </xf>
    <xf numFmtId="0" fontId="10" fillId="2" borderId="0" xfId="0" applyFont="1"/>
    <xf numFmtId="0" fontId="21" fillId="2" borderId="0" xfId="0" applyFont="1"/>
    <xf numFmtId="0" fontId="1" fillId="7" borderId="0" xfId="0" applyFont="1" applyFill="1" applyAlignment="1">
      <alignment horizontal="right"/>
    </xf>
    <xf numFmtId="0" fontId="9" fillId="2" borderId="27" xfId="0" applyFont="1" applyBorder="1"/>
    <xf numFmtId="0" fontId="0" fillId="2" borderId="28" xfId="0" applyBorder="1"/>
    <xf numFmtId="0" fontId="0" fillId="2" borderId="29" xfId="0" applyBorder="1"/>
    <xf numFmtId="0" fontId="0" fillId="2" borderId="30" xfId="0" applyBorder="1"/>
    <xf numFmtId="0" fontId="0" fillId="2" borderId="31" xfId="0" applyBorder="1"/>
    <xf numFmtId="0" fontId="0" fillId="2" borderId="32" xfId="0" applyBorder="1"/>
    <xf numFmtId="0" fontId="0" fillId="2" borderId="33" xfId="0" applyBorder="1"/>
    <xf numFmtId="0" fontId="0" fillId="2" borderId="37" xfId="0" applyBorder="1"/>
    <xf numFmtId="0" fontId="0" fillId="2" borderId="38" xfId="0" applyBorder="1"/>
    <xf numFmtId="0" fontId="23" fillId="8" borderId="0" xfId="0" applyFont="1" applyFill="1" applyAlignment="1">
      <alignment horizontal="right"/>
    </xf>
    <xf numFmtId="0" fontId="24" fillId="8" borderId="0" xfId="0" applyFont="1" applyFill="1" applyAlignment="1">
      <alignment horizontal="right"/>
    </xf>
    <xf numFmtId="0" fontId="25" fillId="2" borderId="0" xfId="0" applyFont="1" applyBorder="1"/>
    <xf numFmtId="0" fontId="1" fillId="9" borderId="0" xfId="0" applyFont="1" applyFill="1" applyAlignment="1">
      <alignment horizontal="right"/>
    </xf>
    <xf numFmtId="0" fontId="24" fillId="10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9" borderId="0" xfId="0" applyFill="1" applyBorder="1"/>
    <xf numFmtId="0" fontId="0" fillId="9" borderId="0" xfId="0" applyFill="1"/>
    <xf numFmtId="0" fontId="0" fillId="2" borderId="0" xfId="0" applyFont="1"/>
    <xf numFmtId="0" fontId="26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7" fillId="0" borderId="0" xfId="0" applyFont="1" applyFill="1"/>
    <xf numFmtId="14" fontId="27" fillId="0" borderId="0" xfId="0" applyNumberFormat="1" applyFont="1" applyFill="1"/>
    <xf numFmtId="10" fontId="27" fillId="0" borderId="0" xfId="0" applyNumberFormat="1" applyFont="1" applyFill="1"/>
    <xf numFmtId="0" fontId="27" fillId="0" borderId="0" xfId="0" applyFont="1" applyFill="1" applyAlignment="1">
      <alignment horizontal="right"/>
    </xf>
    <xf numFmtId="0" fontId="0" fillId="5" borderId="40" xfId="0" applyFont="1" applyFill="1" applyBorder="1" applyProtection="1">
      <protection locked="0"/>
    </xf>
    <xf numFmtId="0" fontId="0" fillId="5" borderId="20" xfId="0" applyFont="1" applyFill="1" applyBorder="1" applyProtection="1"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Protection="1">
      <protection locked="0"/>
    </xf>
    <xf numFmtId="0" fontId="0" fillId="6" borderId="34" xfId="0" applyFont="1" applyFill="1" applyBorder="1" applyAlignment="1" applyProtection="1">
      <alignment horizontal="right"/>
      <protection locked="0"/>
    </xf>
    <xf numFmtId="0" fontId="27" fillId="6" borderId="9" xfId="0" applyFont="1" applyFill="1" applyBorder="1" applyAlignment="1" applyProtection="1">
      <alignment horizontal="right"/>
      <protection locked="0"/>
    </xf>
    <xf numFmtId="0" fontId="27" fillId="6" borderId="9" xfId="0" applyFont="1" applyFill="1" applyBorder="1" applyProtection="1">
      <protection locked="0"/>
    </xf>
    <xf numFmtId="0" fontId="27" fillId="6" borderId="10" xfId="0" applyFont="1" applyFill="1" applyBorder="1" applyProtection="1">
      <protection locked="0"/>
    </xf>
    <xf numFmtId="0" fontId="0" fillId="5" borderId="41" xfId="0" applyFont="1" applyFill="1" applyBorder="1" applyProtection="1">
      <protection locked="0"/>
    </xf>
    <xf numFmtId="0" fontId="0" fillId="5" borderId="35" xfId="0" applyFont="1" applyFill="1" applyBorder="1" applyProtection="1">
      <protection locked="0"/>
    </xf>
    <xf numFmtId="0" fontId="0" fillId="5" borderId="9" xfId="0" applyFont="1" applyFill="1" applyBorder="1" applyProtection="1">
      <protection locked="0"/>
    </xf>
    <xf numFmtId="0" fontId="0" fillId="5" borderId="10" xfId="0" applyFont="1" applyFill="1" applyBorder="1" applyProtection="1">
      <protection locked="0"/>
    </xf>
    <xf numFmtId="0" fontId="27" fillId="6" borderId="11" xfId="0" applyFont="1" applyFill="1" applyBorder="1" applyAlignment="1" applyProtection="1">
      <alignment horizontal="right"/>
      <protection locked="0"/>
    </xf>
    <xf numFmtId="0" fontId="27" fillId="6" borderId="12" xfId="0" applyFont="1" applyFill="1" applyBorder="1" applyAlignment="1" applyProtection="1">
      <alignment horizontal="right"/>
      <protection locked="0"/>
    </xf>
    <xf numFmtId="0" fontId="27" fillId="6" borderId="13" xfId="0" applyFont="1" applyFill="1" applyBorder="1" applyProtection="1">
      <protection locked="0"/>
    </xf>
    <xf numFmtId="0" fontId="0" fillId="5" borderId="42" xfId="0" applyFont="1" applyFill="1" applyBorder="1" applyProtection="1">
      <protection locked="0"/>
    </xf>
    <xf numFmtId="0" fontId="0" fillId="5" borderId="36" xfId="0" applyFont="1" applyFill="1" applyBorder="1" applyProtection="1">
      <protection locked="0"/>
    </xf>
    <xf numFmtId="0" fontId="0" fillId="5" borderId="12" xfId="0" applyFont="1" applyFill="1" applyBorder="1" applyProtection="1">
      <protection locked="0"/>
    </xf>
    <xf numFmtId="0" fontId="0" fillId="5" borderId="13" xfId="0" applyFont="1" applyFill="1" applyBorder="1" applyProtection="1">
      <protection locked="0"/>
    </xf>
    <xf numFmtId="0" fontId="0" fillId="5" borderId="12" xfId="0" applyNumberFormat="1" applyFont="1" applyFill="1" applyBorder="1" applyProtection="1">
      <protection locked="0"/>
    </xf>
    <xf numFmtId="0" fontId="0" fillId="5" borderId="42" xfId="0" applyNumberFormat="1" applyFont="1" applyFill="1" applyBorder="1" applyProtection="1">
      <protection locked="0"/>
    </xf>
    <xf numFmtId="0" fontId="0" fillId="5" borderId="11" xfId="0" applyFont="1" applyFill="1" applyBorder="1" applyProtection="1">
      <protection locked="0"/>
    </xf>
    <xf numFmtId="0" fontId="27" fillId="6" borderId="12" xfId="0" applyFont="1" applyFill="1" applyBorder="1" applyProtection="1">
      <protection locked="0"/>
    </xf>
    <xf numFmtId="0" fontId="0" fillId="5" borderId="12" xfId="0" quotePrefix="1" applyFont="1" applyFill="1" applyBorder="1" applyProtection="1">
      <protection locked="0"/>
    </xf>
    <xf numFmtId="0" fontId="27" fillId="6" borderId="13" xfId="0" quotePrefix="1" applyFont="1" applyFill="1" applyBorder="1" applyProtection="1">
      <protection locked="0"/>
    </xf>
    <xf numFmtId="164" fontId="27" fillId="6" borderId="11" xfId="0" applyNumberFormat="1" applyFont="1" applyFill="1" applyBorder="1" applyAlignment="1" applyProtection="1">
      <alignment horizontal="right"/>
      <protection locked="0"/>
    </xf>
    <xf numFmtId="0" fontId="27" fillId="6" borderId="14" xfId="0" applyFont="1" applyFill="1" applyBorder="1" applyAlignment="1" applyProtection="1">
      <alignment horizontal="right"/>
      <protection locked="0"/>
    </xf>
    <xf numFmtId="0" fontId="27" fillId="6" borderId="15" xfId="0" applyFont="1" applyFill="1" applyBorder="1" applyAlignment="1" applyProtection="1">
      <alignment horizontal="right"/>
      <protection locked="0"/>
    </xf>
    <xf numFmtId="0" fontId="27" fillId="6" borderId="15" xfId="0" applyFont="1" applyFill="1" applyBorder="1" applyProtection="1">
      <protection locked="0"/>
    </xf>
    <xf numFmtId="0" fontId="27" fillId="6" borderId="16" xfId="0" applyFont="1" applyFill="1" applyBorder="1" applyProtection="1">
      <protection locked="0"/>
    </xf>
    <xf numFmtId="0" fontId="0" fillId="5" borderId="43" xfId="0" applyFont="1" applyFill="1" applyBorder="1" applyProtection="1">
      <protection locked="0"/>
    </xf>
    <xf numFmtId="0" fontId="0" fillId="5" borderId="14" xfId="0" applyFont="1" applyFill="1" applyBorder="1" applyProtection="1">
      <protection locked="0"/>
    </xf>
    <xf numFmtId="0" fontId="0" fillId="5" borderId="15" xfId="0" applyFont="1" applyFill="1" applyBorder="1" applyProtection="1">
      <protection locked="0"/>
    </xf>
    <xf numFmtId="0" fontId="0" fillId="5" borderId="16" xfId="0" applyFont="1" applyFill="1" applyBorder="1" applyProtection="1">
      <protection locked="0"/>
    </xf>
    <xf numFmtId="0" fontId="27" fillId="3" borderId="0" xfId="0" applyFont="1" applyFill="1" applyAlignment="1" applyProtection="1">
      <alignment horizontal="right"/>
      <protection locked="0"/>
    </xf>
    <xf numFmtId="0" fontId="0" fillId="2" borderId="39" xfId="0" applyFont="1" applyFill="1" applyBorder="1" applyProtection="1">
      <protection locked="0"/>
    </xf>
    <xf numFmtId="0" fontId="0" fillId="2" borderId="0" xfId="0" applyFont="1" applyFill="1" applyProtection="1">
      <protection locked="0"/>
    </xf>
    <xf numFmtId="0" fontId="31" fillId="6" borderId="17" xfId="0" applyFont="1" applyFill="1" applyBorder="1" applyAlignment="1" applyProtection="1">
      <alignment horizontal="right"/>
      <protection hidden="1"/>
    </xf>
    <xf numFmtId="9" fontId="32" fillId="3" borderId="18" xfId="0" applyNumberFormat="1" applyFont="1" applyFill="1" applyBorder="1" applyAlignment="1" applyProtection="1">
      <alignment horizontal="center"/>
      <protection hidden="1"/>
    </xf>
    <xf numFmtId="0" fontId="33" fillId="3" borderId="18" xfId="0" applyFont="1" applyFill="1" applyBorder="1" applyAlignment="1" applyProtection="1">
      <alignment horizontal="center"/>
      <protection hidden="1"/>
    </xf>
    <xf numFmtId="0" fontId="31" fillId="6" borderId="18" xfId="0" applyFont="1" applyFill="1" applyBorder="1" applyAlignment="1" applyProtection="1">
      <alignment horizontal="right"/>
      <protection hidden="1"/>
    </xf>
    <xf numFmtId="0" fontId="31" fillId="6" borderId="19" xfId="0" applyFont="1" applyFill="1" applyBorder="1" applyAlignment="1" applyProtection="1">
      <alignment horizontal="right"/>
      <protection hidden="1"/>
    </xf>
    <xf numFmtId="0" fontId="28" fillId="3" borderId="20" xfId="0" applyFont="1" applyFill="1" applyBorder="1" applyAlignment="1" applyProtection="1">
      <alignment horizontal="left"/>
      <protection hidden="1"/>
    </xf>
    <xf numFmtId="0" fontId="28" fillId="3" borderId="0" xfId="0" applyFont="1" applyFill="1" applyAlignment="1" applyProtection="1">
      <alignment horizontal="left"/>
      <protection hidden="1"/>
    </xf>
    <xf numFmtId="9" fontId="29" fillId="3" borderId="9" xfId="0" applyNumberFormat="1" applyFont="1" applyFill="1" applyBorder="1" applyAlignment="1" applyProtection="1">
      <alignment horizontal="center"/>
      <protection hidden="1"/>
    </xf>
    <xf numFmtId="0" fontId="26" fillId="3" borderId="9" xfId="0" applyFont="1" applyFill="1" applyBorder="1" applyAlignment="1" applyProtection="1">
      <alignment horizontal="center"/>
      <protection hidden="1"/>
    </xf>
    <xf numFmtId="9" fontId="29" fillId="3" borderId="12" xfId="0" applyNumberFormat="1" applyFont="1" applyFill="1" applyBorder="1" applyAlignment="1" applyProtection="1">
      <alignment horizontal="center"/>
      <protection hidden="1"/>
    </xf>
    <xf numFmtId="0" fontId="26" fillId="3" borderId="12" xfId="0" applyFont="1" applyFill="1" applyBorder="1" applyAlignment="1" applyProtection="1">
      <alignment horizontal="center"/>
      <protection hidden="1"/>
    </xf>
    <xf numFmtId="9" fontId="29" fillId="3" borderId="15" xfId="0" applyNumberFormat="1" applyFont="1" applyFill="1" applyBorder="1" applyAlignment="1" applyProtection="1">
      <alignment horizontal="center"/>
      <protection hidden="1"/>
    </xf>
    <xf numFmtId="0" fontId="26" fillId="3" borderId="15" xfId="0" applyFont="1" applyFill="1" applyBorder="1" applyAlignment="1" applyProtection="1">
      <alignment horizontal="center"/>
      <protection hidden="1"/>
    </xf>
    <xf numFmtId="9" fontId="30" fillId="3" borderId="0" xfId="0" applyNumberFormat="1" applyFont="1" applyFill="1" applyAlignment="1" applyProtection="1">
      <alignment horizontal="center"/>
      <protection hidden="1"/>
    </xf>
    <xf numFmtId="0" fontId="26" fillId="3" borderId="0" xfId="0" applyFont="1" applyFill="1" applyAlignment="1" applyProtection="1">
      <alignment horizontal="center"/>
      <protection hidden="1"/>
    </xf>
    <xf numFmtId="9" fontId="34" fillId="3" borderId="0" xfId="0" applyNumberFormat="1" applyFont="1" applyFill="1" applyAlignment="1" applyProtection="1">
      <alignment horizontal="right"/>
      <protection hidden="1"/>
    </xf>
    <xf numFmtId="10" fontId="35" fillId="3" borderId="0" xfId="0" applyNumberFormat="1" applyFont="1" applyFill="1" applyAlignment="1" applyProtection="1">
      <alignment horizontal="center"/>
      <protection hidden="1"/>
    </xf>
    <xf numFmtId="9" fontId="36" fillId="3" borderId="0" xfId="0" applyNumberFormat="1" applyFont="1" applyFill="1" applyAlignment="1" applyProtection="1">
      <alignment horizontal="center"/>
      <protection hidden="1"/>
    </xf>
  </cellXfs>
  <cellStyles count="1">
    <cellStyle name="Normal" xfId="0" builtinId="0" customBuiltin="1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0000FF"/>
      <color rgb="FF008000"/>
      <color rgb="FF00FF00"/>
      <color rgb="FFC0C0C0"/>
      <color rgb="FF969696"/>
      <color rgb="FF292929"/>
      <color rgb="FF333333"/>
      <color rgb="FF4D4D4D"/>
      <color rgb="FF5F5F5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C10"/>
  <sheetViews>
    <sheetView zoomScaleNormal="100" workbookViewId="0">
      <selection activeCell="B2" sqref="B2"/>
    </sheetView>
  </sheetViews>
  <sheetFormatPr defaultColWidth="8.28515625" defaultRowHeight="15" x14ac:dyDescent="0.25"/>
  <cols>
    <col min="1" max="1" width="19.7109375" style="60" customWidth="1"/>
    <col min="2" max="2" width="11.85546875" style="60" customWidth="1"/>
    <col min="3" max="16384" width="8.28515625" style="60"/>
  </cols>
  <sheetData>
    <row r="1" spans="1:3" x14ac:dyDescent="0.25">
      <c r="A1" s="59" t="str">
        <f>Calcs!BV2</f>
        <v>General input data</v>
      </c>
    </row>
    <row r="2" spans="1:3" x14ac:dyDescent="0.25">
      <c r="A2" s="61" t="str">
        <f>Calcs!BV3</f>
        <v>Building/project</v>
      </c>
      <c r="B2" s="62"/>
    </row>
    <row r="3" spans="1:3" x14ac:dyDescent="0.25">
      <c r="A3" s="61" t="str">
        <f>Calcs!BV4</f>
        <v>AHU #</v>
      </c>
      <c r="B3" s="62"/>
    </row>
    <row r="4" spans="1:3" x14ac:dyDescent="0.25">
      <c r="A4" s="61" t="str">
        <f>Calcs!BV5</f>
        <v>AHU operating point</v>
      </c>
      <c r="B4" s="62"/>
      <c r="C4" s="58"/>
    </row>
    <row r="5" spans="1:3" x14ac:dyDescent="0.25">
      <c r="A5" s="61" t="str">
        <f>Calcs!BV6</f>
        <v>Date balanced</v>
      </c>
      <c r="B5" s="63"/>
    </row>
    <row r="6" spans="1:3" x14ac:dyDescent="0.25">
      <c r="A6" s="61" t="str">
        <f>Calcs!BV7</f>
        <v>Balanced by</v>
      </c>
      <c r="B6" s="64"/>
    </row>
    <row r="8" spans="1:3" x14ac:dyDescent="0.25">
      <c r="A8" s="61" t="str">
        <f>Calcs!BV8</f>
        <v>Design flow units</v>
      </c>
      <c r="B8" s="65" t="s">
        <v>1</v>
      </c>
      <c r="C8" s="60" t="str">
        <f>Calcs!BV10</f>
        <v xml:space="preserve"> (alternatives: pa, cfm, dm3/s, l/s, l/min, m3/h, m3/s)</v>
      </c>
    </row>
    <row r="9" spans="1:3" x14ac:dyDescent="0.25">
      <c r="A9" s="61" t="str">
        <f>Calcs!BV9</f>
        <v>Balancing accuracy</v>
      </c>
      <c r="B9" s="64">
        <v>0.05</v>
      </c>
    </row>
    <row r="10" spans="1:3" x14ac:dyDescent="0.25">
      <c r="A10" s="61" t="s">
        <v>72</v>
      </c>
      <c r="B10" s="62">
        <v>1</v>
      </c>
      <c r="C10" s="60" t="str">
        <f>" (" &amp; Calcs!BV1 &amp; ")"</f>
        <v xml:space="preserve"> (English)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2"/>
    <pageSetUpPr fitToPage="1"/>
  </sheetPr>
  <dimension ref="A1:AN53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8.28515625" defaultRowHeight="15" x14ac:dyDescent="0.25"/>
  <cols>
    <col min="1" max="1" width="5.5703125" style="100" customWidth="1"/>
    <col min="2" max="2" width="7.5703125" style="116" customWidth="1"/>
    <col min="3" max="3" width="8.28515625" style="117" customWidth="1"/>
    <col min="4" max="4" width="9.140625" style="100" customWidth="1"/>
    <col min="5" max="5" width="8.28515625" style="69" customWidth="1"/>
    <col min="6" max="6" width="10.28515625" style="69" customWidth="1"/>
    <col min="7" max="7" width="1" style="69" customWidth="1"/>
    <col min="8" max="8" width="5.7109375" style="101" customWidth="1"/>
    <col min="9" max="39" width="5.7109375" style="102" customWidth="1"/>
    <col min="40" max="16384" width="8.28515625" style="69"/>
  </cols>
  <sheetData>
    <row r="1" spans="1:40" ht="15.75" thickBot="1" x14ac:dyDescent="0.3">
      <c r="A1" s="103" t="str">
        <f>Calcs!BV11</f>
        <v>Term.</v>
      </c>
      <c r="B1" s="104" t="str">
        <f>Calcs!BV12</f>
        <v>%design</v>
      </c>
      <c r="C1" s="105" t="str">
        <f>IF(Calcs!E65=0,Calcs!BV13,Calcs!BV14 &amp; Calcs!E88)</f>
        <v>Message</v>
      </c>
      <c r="D1" s="106" t="str">
        <f>Calcs!BV15</f>
        <v>Meas.units</v>
      </c>
      <c r="E1" s="106" t="str">
        <f>Calcs!BV16 &amp; General!B8</f>
        <v>Desig.m3/h</v>
      </c>
      <c r="F1" s="107" t="str">
        <f>IF(OR(LOWER(General!B8)="pa",ISNUMBER(MATCH("pa",D:D,0))),Calcs!BV17,Calcs!BV18)</f>
        <v>(empty col.)</v>
      </c>
      <c r="G1" s="108" t="str">
        <f>Calcs!BV19</f>
        <v xml:space="preserve"> Initial &amp; Balancing (clear these yellow columns before starting a new balancing group)</v>
      </c>
      <c r="H1" s="66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109" t="str">
        <f>Calcs!BV30</f>
        <v>(no more columns)</v>
      </c>
    </row>
    <row r="2" spans="1:40" x14ac:dyDescent="0.25">
      <c r="A2" s="70"/>
      <c r="B2" s="110" t="str">
        <f>IF(ISERROR(Calcs!AX2),"?",Calcs!AX2)</f>
        <v>.</v>
      </c>
      <c r="C2" s="111" t="str">
        <f>IF(ISERROR(Calcs!AY2),"?",Calcs!AY2)</f>
        <v>.</v>
      </c>
      <c r="D2" s="71"/>
      <c r="E2" s="72"/>
      <c r="F2" s="73"/>
      <c r="H2" s="74"/>
      <c r="I2" s="75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/>
    </row>
    <row r="3" spans="1:40" x14ac:dyDescent="0.25">
      <c r="A3" s="78"/>
      <c r="B3" s="112" t="str">
        <f>IF(ISERROR(Calcs!AX3),"?",Calcs!AX3)</f>
        <v>.</v>
      </c>
      <c r="C3" s="113" t="str">
        <f>IF(ISERROR(Calcs!AY3),"?",Calcs!AY3)</f>
        <v>.</v>
      </c>
      <c r="D3" s="79"/>
      <c r="E3" s="72"/>
      <c r="F3" s="80"/>
      <c r="H3" s="81"/>
      <c r="I3" s="82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4"/>
    </row>
    <row r="4" spans="1:40" x14ac:dyDescent="0.25">
      <c r="A4" s="78"/>
      <c r="B4" s="112" t="str">
        <f>IF(ISERROR(Calcs!AX4),"?",Calcs!AX4)</f>
        <v>.</v>
      </c>
      <c r="C4" s="113" t="str">
        <f>IF(ISERROR(Calcs!AY4),"?",Calcs!AY4)</f>
        <v>.</v>
      </c>
      <c r="D4" s="79"/>
      <c r="E4" s="72"/>
      <c r="F4" s="80"/>
      <c r="H4" s="81"/>
      <c r="I4" s="82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4"/>
    </row>
    <row r="5" spans="1:40" x14ac:dyDescent="0.25">
      <c r="A5" s="78"/>
      <c r="B5" s="112" t="str">
        <f>IF(ISERROR(Calcs!AX5),"?",Calcs!AX5)</f>
        <v>.</v>
      </c>
      <c r="C5" s="113" t="str">
        <f>IF(ISERROR(Calcs!AY5),"?",Calcs!AY5)</f>
        <v>.</v>
      </c>
      <c r="D5" s="79"/>
      <c r="E5" s="72"/>
      <c r="F5" s="80"/>
      <c r="H5" s="81"/>
      <c r="I5" s="82"/>
      <c r="J5" s="83"/>
      <c r="K5" s="83"/>
      <c r="L5" s="83"/>
      <c r="M5" s="83"/>
      <c r="N5" s="85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4"/>
    </row>
    <row r="6" spans="1:40" x14ac:dyDescent="0.25">
      <c r="A6" s="78"/>
      <c r="B6" s="112" t="str">
        <f>IF(ISERROR(Calcs!AX6),"?",Calcs!AX6)</f>
        <v>.</v>
      </c>
      <c r="C6" s="113" t="str">
        <f>IF(ISERROR(Calcs!AY6),"?",Calcs!AY6)</f>
        <v>.</v>
      </c>
      <c r="D6" s="79"/>
      <c r="E6" s="72"/>
      <c r="F6" s="80"/>
      <c r="H6" s="86"/>
      <c r="I6" s="87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4"/>
    </row>
    <row r="7" spans="1:40" x14ac:dyDescent="0.25">
      <c r="A7" s="78"/>
      <c r="B7" s="112" t="str">
        <f>IF(ISERROR(Calcs!AX7),"?",Calcs!AX7)</f>
        <v>.</v>
      </c>
      <c r="C7" s="113" t="str">
        <f>IF(ISERROR(Calcs!AY7),"?",Calcs!AY7)</f>
        <v>.</v>
      </c>
      <c r="D7" s="79"/>
      <c r="E7" s="88"/>
      <c r="F7" s="80"/>
      <c r="H7" s="81"/>
      <c r="I7" s="87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</row>
    <row r="8" spans="1:40" x14ac:dyDescent="0.25">
      <c r="A8" s="78"/>
      <c r="B8" s="112" t="str">
        <f>IF(ISERROR(Calcs!AX8),"?",Calcs!AX8)</f>
        <v>.</v>
      </c>
      <c r="C8" s="113" t="str">
        <f>IF(ISERROR(Calcs!AY8),"?",Calcs!AY8)</f>
        <v>.</v>
      </c>
      <c r="D8" s="79"/>
      <c r="E8" s="88"/>
      <c r="F8" s="80"/>
      <c r="H8" s="81"/>
      <c r="I8" s="87"/>
      <c r="J8" s="89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4"/>
    </row>
    <row r="9" spans="1:40" x14ac:dyDescent="0.25">
      <c r="A9" s="78"/>
      <c r="B9" s="112" t="str">
        <f>IF(ISERROR(Calcs!AX9),"?",Calcs!AX9)</f>
        <v>.</v>
      </c>
      <c r="C9" s="113" t="str">
        <f>IF(ISERROR(Calcs!AY9),"?",Calcs!AY9)</f>
        <v>.</v>
      </c>
      <c r="D9" s="79"/>
      <c r="E9" s="88"/>
      <c r="F9" s="80"/>
      <c r="H9" s="81"/>
      <c r="I9" s="87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4"/>
    </row>
    <row r="10" spans="1:40" x14ac:dyDescent="0.25">
      <c r="A10" s="78"/>
      <c r="B10" s="112" t="str">
        <f>IF(ISERROR(Calcs!AX10),"?",Calcs!AX10)</f>
        <v>.</v>
      </c>
      <c r="C10" s="113" t="str">
        <f>IF(ISERROR(Calcs!AY10),"?",Calcs!AY10)</f>
        <v>.</v>
      </c>
      <c r="D10" s="79"/>
      <c r="E10" s="88"/>
      <c r="F10" s="90"/>
      <c r="H10" s="81"/>
      <c r="I10" s="87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4"/>
    </row>
    <row r="11" spans="1:40" x14ac:dyDescent="0.25">
      <c r="A11" s="78"/>
      <c r="B11" s="112" t="str">
        <f>IF(ISERROR(Calcs!AX11),"?",Calcs!AX11)</f>
        <v>.</v>
      </c>
      <c r="C11" s="113" t="str">
        <f>IF(ISERROR(Calcs!AY11),"?",Calcs!AY11)</f>
        <v>.</v>
      </c>
      <c r="D11" s="79"/>
      <c r="E11" s="88"/>
      <c r="F11" s="80"/>
      <c r="H11" s="81"/>
      <c r="I11" s="87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4"/>
    </row>
    <row r="12" spans="1:40" x14ac:dyDescent="0.25">
      <c r="A12" s="78"/>
      <c r="B12" s="112" t="str">
        <f>IF(ISERROR(Calcs!AX12),"?",Calcs!AX12)</f>
        <v>.</v>
      </c>
      <c r="C12" s="113" t="str">
        <f>IF(ISERROR(Calcs!AY12),"?",Calcs!AY12)</f>
        <v>.</v>
      </c>
      <c r="D12" s="79"/>
      <c r="E12" s="88"/>
      <c r="F12" s="80"/>
      <c r="H12" s="81"/>
      <c r="I12" s="87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4"/>
    </row>
    <row r="13" spans="1:40" x14ac:dyDescent="0.25">
      <c r="A13" s="91"/>
      <c r="B13" s="112" t="str">
        <f>IF(ISERROR(Calcs!AX13),"?",Calcs!AX13)</f>
        <v>.</v>
      </c>
      <c r="C13" s="113" t="str">
        <f>IF(ISERROR(Calcs!AY13),"?",Calcs!AY13)</f>
        <v>.</v>
      </c>
      <c r="D13" s="79"/>
      <c r="E13" s="88"/>
      <c r="F13" s="80"/>
      <c r="H13" s="81"/>
      <c r="I13" s="87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4"/>
    </row>
    <row r="14" spans="1:40" x14ac:dyDescent="0.25">
      <c r="A14" s="78"/>
      <c r="B14" s="112" t="str">
        <f>IF(ISERROR(Calcs!AX14),"?",Calcs!AX14)</f>
        <v>.</v>
      </c>
      <c r="C14" s="113" t="str">
        <f>IF(ISERROR(Calcs!AY14),"?",Calcs!AY14)</f>
        <v>.</v>
      </c>
      <c r="D14" s="79"/>
      <c r="E14" s="88"/>
      <c r="F14" s="80"/>
      <c r="H14" s="81"/>
      <c r="I14" s="87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4"/>
    </row>
    <row r="15" spans="1:40" x14ac:dyDescent="0.25">
      <c r="A15" s="78"/>
      <c r="B15" s="112" t="str">
        <f>IF(ISERROR(Calcs!AX15),"?",Calcs!AX15)</f>
        <v>.</v>
      </c>
      <c r="C15" s="113" t="str">
        <f>IF(ISERROR(Calcs!AY15),"?",Calcs!AY15)</f>
        <v>.</v>
      </c>
      <c r="D15" s="79"/>
      <c r="E15" s="88"/>
      <c r="F15" s="80"/>
      <c r="H15" s="81"/>
      <c r="I15" s="87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4"/>
    </row>
    <row r="16" spans="1:40" x14ac:dyDescent="0.25">
      <c r="A16" s="78"/>
      <c r="B16" s="112" t="str">
        <f>IF(ISERROR(Calcs!AX16),"?",Calcs!AX16)</f>
        <v>.</v>
      </c>
      <c r="C16" s="113" t="str">
        <f>IF(ISERROR(Calcs!AY16),"?",Calcs!AY16)</f>
        <v>.</v>
      </c>
      <c r="D16" s="79"/>
      <c r="E16" s="88"/>
      <c r="F16" s="80"/>
      <c r="H16" s="81"/>
      <c r="I16" s="87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4"/>
    </row>
    <row r="17" spans="1:39" x14ac:dyDescent="0.25">
      <c r="A17" s="78"/>
      <c r="B17" s="112" t="str">
        <f>IF(ISERROR(Calcs!AX17),"?",Calcs!AX17)</f>
        <v>.</v>
      </c>
      <c r="C17" s="113" t="str">
        <f>IF(ISERROR(Calcs!AY17),"?",Calcs!AY17)</f>
        <v>.</v>
      </c>
      <c r="D17" s="79"/>
      <c r="E17" s="88"/>
      <c r="F17" s="80"/>
      <c r="H17" s="81"/>
      <c r="I17" s="87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4"/>
    </row>
    <row r="18" spans="1:39" x14ac:dyDescent="0.25">
      <c r="A18" s="78"/>
      <c r="B18" s="112" t="str">
        <f>IF(ISERROR(Calcs!AX18),"?",Calcs!AX18)</f>
        <v>.</v>
      </c>
      <c r="C18" s="113" t="str">
        <f>IF(ISERROR(Calcs!AY18),"?",Calcs!AY18)</f>
        <v>.</v>
      </c>
      <c r="D18" s="79"/>
      <c r="E18" s="88"/>
      <c r="F18" s="80"/>
      <c r="H18" s="81"/>
      <c r="I18" s="87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4"/>
    </row>
    <row r="19" spans="1:39" x14ac:dyDescent="0.25">
      <c r="A19" s="78"/>
      <c r="B19" s="112" t="str">
        <f>IF(ISERROR(Calcs!AX19),"?",Calcs!AX19)</f>
        <v>.</v>
      </c>
      <c r="C19" s="113" t="str">
        <f>IF(ISERROR(Calcs!AY19),"?",Calcs!AY19)</f>
        <v>.</v>
      </c>
      <c r="D19" s="79"/>
      <c r="E19" s="88"/>
      <c r="F19" s="80"/>
      <c r="H19" s="81"/>
      <c r="I19" s="87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4"/>
    </row>
    <row r="20" spans="1:39" x14ac:dyDescent="0.25">
      <c r="A20" s="78"/>
      <c r="B20" s="112" t="str">
        <f>IF(ISERROR(Calcs!AX20),"?",Calcs!AX20)</f>
        <v>.</v>
      </c>
      <c r="C20" s="113" t="str">
        <f>IF(ISERROR(Calcs!AY20),"?",Calcs!AY20)</f>
        <v>.</v>
      </c>
      <c r="D20" s="79"/>
      <c r="E20" s="88"/>
      <c r="F20" s="80"/>
      <c r="H20" s="81"/>
      <c r="I20" s="87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4"/>
    </row>
    <row r="21" spans="1:39" x14ac:dyDescent="0.25">
      <c r="A21" s="78"/>
      <c r="B21" s="112" t="str">
        <f>IF(ISERROR(Calcs!AX21),"?",Calcs!AX21)</f>
        <v>.</v>
      </c>
      <c r="C21" s="113" t="str">
        <f>IF(ISERROR(Calcs!AY21),"?",Calcs!AY21)</f>
        <v>.</v>
      </c>
      <c r="D21" s="79"/>
      <c r="E21" s="88"/>
      <c r="F21" s="80"/>
      <c r="H21" s="81"/>
      <c r="I21" s="87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4"/>
    </row>
    <row r="22" spans="1:39" x14ac:dyDescent="0.25">
      <c r="A22" s="78"/>
      <c r="B22" s="112" t="str">
        <f>IF(ISERROR(Calcs!AX22),"?",Calcs!AX22)</f>
        <v>.</v>
      </c>
      <c r="C22" s="113" t="str">
        <f>IF(ISERROR(Calcs!AY22),"?",Calcs!AY22)</f>
        <v>.</v>
      </c>
      <c r="D22" s="79"/>
      <c r="E22" s="88"/>
      <c r="F22" s="80"/>
      <c r="H22" s="81"/>
      <c r="I22" s="87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4"/>
    </row>
    <row r="23" spans="1:39" x14ac:dyDescent="0.25">
      <c r="A23" s="78"/>
      <c r="B23" s="112" t="str">
        <f>IF(ISERROR(Calcs!AX23),"?",Calcs!AX23)</f>
        <v>.</v>
      </c>
      <c r="C23" s="113" t="str">
        <f>IF(ISERROR(Calcs!AY23),"?",Calcs!AY23)</f>
        <v>.</v>
      </c>
      <c r="D23" s="79"/>
      <c r="E23" s="88"/>
      <c r="F23" s="80"/>
      <c r="H23" s="81"/>
      <c r="I23" s="87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4"/>
    </row>
    <row r="24" spans="1:39" x14ac:dyDescent="0.25">
      <c r="A24" s="78"/>
      <c r="B24" s="112" t="str">
        <f>IF(ISERROR(Calcs!AX24),"?",Calcs!AX24)</f>
        <v>.</v>
      </c>
      <c r="C24" s="113" t="str">
        <f>IF(ISERROR(Calcs!AY24),"?",Calcs!AY24)</f>
        <v>.</v>
      </c>
      <c r="D24" s="79"/>
      <c r="E24" s="88"/>
      <c r="F24" s="80"/>
      <c r="H24" s="81"/>
      <c r="I24" s="87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4"/>
    </row>
    <row r="25" spans="1:39" x14ac:dyDescent="0.25">
      <c r="A25" s="78"/>
      <c r="B25" s="112" t="str">
        <f>IF(ISERROR(Calcs!AX25),"?",Calcs!AX25)</f>
        <v>.</v>
      </c>
      <c r="C25" s="113" t="str">
        <f>IF(ISERROR(Calcs!AY25),"?",Calcs!AY25)</f>
        <v>.</v>
      </c>
      <c r="D25" s="79"/>
      <c r="E25" s="88"/>
      <c r="F25" s="80"/>
      <c r="H25" s="81"/>
      <c r="I25" s="87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4"/>
    </row>
    <row r="26" spans="1:39" x14ac:dyDescent="0.25">
      <c r="A26" s="78"/>
      <c r="B26" s="112" t="str">
        <f>IF(ISERROR(Calcs!AX26),"?",Calcs!AX26)</f>
        <v>.</v>
      </c>
      <c r="C26" s="113" t="str">
        <f>IF(ISERROR(Calcs!AY26),"?",Calcs!AY26)</f>
        <v>.</v>
      </c>
      <c r="D26" s="79"/>
      <c r="E26" s="88"/>
      <c r="F26" s="80"/>
      <c r="H26" s="81"/>
      <c r="I26" s="87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4"/>
    </row>
    <row r="27" spans="1:39" x14ac:dyDescent="0.25">
      <c r="A27" s="78"/>
      <c r="B27" s="112" t="str">
        <f>IF(ISERROR(Calcs!AX27),"?",Calcs!AX27)</f>
        <v>.</v>
      </c>
      <c r="C27" s="113" t="str">
        <f>IF(ISERROR(Calcs!AY27),"?",Calcs!AY27)</f>
        <v>.</v>
      </c>
      <c r="D27" s="79"/>
      <c r="E27" s="88"/>
      <c r="F27" s="80"/>
      <c r="H27" s="81"/>
      <c r="I27" s="87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4"/>
    </row>
    <row r="28" spans="1:39" x14ac:dyDescent="0.25">
      <c r="A28" s="78"/>
      <c r="B28" s="112" t="str">
        <f>IF(ISERROR(Calcs!AX28),"?",Calcs!AX28)</f>
        <v>.</v>
      </c>
      <c r="C28" s="113" t="str">
        <f>IF(ISERROR(Calcs!AY28),"?",Calcs!AY28)</f>
        <v>.</v>
      </c>
      <c r="D28" s="79"/>
      <c r="E28" s="88"/>
      <c r="F28" s="80"/>
      <c r="H28" s="81"/>
      <c r="I28" s="87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4"/>
    </row>
    <row r="29" spans="1:39" x14ac:dyDescent="0.25">
      <c r="A29" s="78"/>
      <c r="B29" s="112" t="str">
        <f>IF(ISERROR(Calcs!AX29),"?",Calcs!AX29)</f>
        <v>.</v>
      </c>
      <c r="C29" s="113" t="str">
        <f>IF(ISERROR(Calcs!AY29),"?",Calcs!AY29)</f>
        <v>.</v>
      </c>
      <c r="D29" s="79"/>
      <c r="E29" s="88"/>
      <c r="F29" s="80"/>
      <c r="H29" s="81"/>
      <c r="I29" s="87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4"/>
    </row>
    <row r="30" spans="1:39" x14ac:dyDescent="0.25">
      <c r="A30" s="78"/>
      <c r="B30" s="112" t="str">
        <f>IF(ISERROR(Calcs!AX30),"?",Calcs!AX30)</f>
        <v>.</v>
      </c>
      <c r="C30" s="113" t="str">
        <f>IF(ISERROR(Calcs!AY30),"?",Calcs!AY30)</f>
        <v>.</v>
      </c>
      <c r="D30" s="79"/>
      <c r="E30" s="88"/>
      <c r="F30" s="80"/>
      <c r="H30" s="81"/>
      <c r="I30" s="87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4"/>
    </row>
    <row r="31" spans="1:39" x14ac:dyDescent="0.25">
      <c r="A31" s="78"/>
      <c r="B31" s="112" t="str">
        <f>IF(ISERROR(Calcs!AX31),"?",Calcs!AX31)</f>
        <v>.</v>
      </c>
      <c r="C31" s="113" t="str">
        <f>IF(ISERROR(Calcs!AY31),"?",Calcs!AY31)</f>
        <v>.</v>
      </c>
      <c r="D31" s="79"/>
      <c r="E31" s="88"/>
      <c r="F31" s="80"/>
      <c r="H31" s="81"/>
      <c r="I31" s="87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4"/>
    </row>
    <row r="32" spans="1:39" x14ac:dyDescent="0.25">
      <c r="A32" s="78"/>
      <c r="B32" s="112" t="str">
        <f>IF(ISERROR(Calcs!AX32),"?",Calcs!AX32)</f>
        <v>.</v>
      </c>
      <c r="C32" s="113" t="str">
        <f>IF(ISERROR(Calcs!AY32),"?",Calcs!AY32)</f>
        <v>.</v>
      </c>
      <c r="D32" s="79"/>
      <c r="E32" s="88"/>
      <c r="F32" s="80"/>
      <c r="H32" s="81"/>
      <c r="I32" s="87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4"/>
    </row>
    <row r="33" spans="1:39" x14ac:dyDescent="0.25">
      <c r="A33" s="78"/>
      <c r="B33" s="112" t="str">
        <f>IF(ISERROR(Calcs!AX33),"?",Calcs!AX33)</f>
        <v>.</v>
      </c>
      <c r="C33" s="113" t="str">
        <f>IF(ISERROR(Calcs!AY33),"?",Calcs!AY33)</f>
        <v>.</v>
      </c>
      <c r="D33" s="79"/>
      <c r="E33" s="88"/>
      <c r="F33" s="80"/>
      <c r="H33" s="81"/>
      <c r="I33" s="87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4"/>
    </row>
    <row r="34" spans="1:39" x14ac:dyDescent="0.25">
      <c r="A34" s="78"/>
      <c r="B34" s="112" t="str">
        <f>IF(ISERROR(Calcs!AX34),"?",Calcs!AX34)</f>
        <v>.</v>
      </c>
      <c r="C34" s="113" t="str">
        <f>IF(ISERROR(Calcs!AY34),"?",Calcs!AY34)</f>
        <v>.</v>
      </c>
      <c r="D34" s="79"/>
      <c r="E34" s="88"/>
      <c r="F34" s="80"/>
      <c r="H34" s="81"/>
      <c r="I34" s="87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4"/>
    </row>
    <row r="35" spans="1:39" x14ac:dyDescent="0.25">
      <c r="A35" s="78"/>
      <c r="B35" s="112" t="str">
        <f>IF(ISERROR(Calcs!AX35),"?",Calcs!AX35)</f>
        <v>.</v>
      </c>
      <c r="C35" s="113" t="str">
        <f>IF(ISERROR(Calcs!AY35),"?",Calcs!AY35)</f>
        <v>.</v>
      </c>
      <c r="D35" s="79"/>
      <c r="E35" s="88"/>
      <c r="F35" s="80"/>
      <c r="H35" s="81"/>
      <c r="I35" s="87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4"/>
    </row>
    <row r="36" spans="1:39" x14ac:dyDescent="0.25">
      <c r="A36" s="78"/>
      <c r="B36" s="112" t="str">
        <f>IF(ISERROR(Calcs!AX36),"?",Calcs!AX36)</f>
        <v>.</v>
      </c>
      <c r="C36" s="113" t="str">
        <f>IF(ISERROR(Calcs!AY36),"?",Calcs!AY36)</f>
        <v>.</v>
      </c>
      <c r="D36" s="79"/>
      <c r="E36" s="88"/>
      <c r="F36" s="80"/>
      <c r="H36" s="81"/>
      <c r="I36" s="87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4"/>
    </row>
    <row r="37" spans="1:39" x14ac:dyDescent="0.25">
      <c r="A37" s="78"/>
      <c r="B37" s="112" t="str">
        <f>IF(ISERROR(Calcs!AX37),"?",Calcs!AX37)</f>
        <v>.</v>
      </c>
      <c r="C37" s="113" t="str">
        <f>IF(ISERROR(Calcs!AY37),"?",Calcs!AY37)</f>
        <v>.</v>
      </c>
      <c r="D37" s="79"/>
      <c r="E37" s="88"/>
      <c r="F37" s="80"/>
      <c r="H37" s="81"/>
      <c r="I37" s="87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4"/>
    </row>
    <row r="38" spans="1:39" x14ac:dyDescent="0.25">
      <c r="A38" s="78"/>
      <c r="B38" s="112" t="str">
        <f>IF(ISERROR(Calcs!AX38),"?",Calcs!AX38)</f>
        <v>.</v>
      </c>
      <c r="C38" s="113" t="str">
        <f>IF(ISERROR(Calcs!AY38),"?",Calcs!AY38)</f>
        <v>.</v>
      </c>
      <c r="D38" s="79"/>
      <c r="E38" s="88"/>
      <c r="F38" s="80"/>
      <c r="H38" s="81"/>
      <c r="I38" s="87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4"/>
    </row>
    <row r="39" spans="1:39" x14ac:dyDescent="0.25">
      <c r="A39" s="78"/>
      <c r="B39" s="112" t="str">
        <f>IF(ISERROR(Calcs!AX39),"?",Calcs!AX39)</f>
        <v>.</v>
      </c>
      <c r="C39" s="113" t="str">
        <f>IF(ISERROR(Calcs!AY39),"?",Calcs!AY39)</f>
        <v>.</v>
      </c>
      <c r="D39" s="79"/>
      <c r="E39" s="88"/>
      <c r="F39" s="80"/>
      <c r="H39" s="81"/>
      <c r="I39" s="87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4"/>
    </row>
    <row r="40" spans="1:39" x14ac:dyDescent="0.25">
      <c r="A40" s="78"/>
      <c r="B40" s="112" t="str">
        <f>IF(ISERROR(Calcs!AX40),"?",Calcs!AX40)</f>
        <v>.</v>
      </c>
      <c r="C40" s="113" t="str">
        <f>IF(ISERROR(Calcs!AY40),"?",Calcs!AY40)</f>
        <v>.</v>
      </c>
      <c r="D40" s="79"/>
      <c r="E40" s="88"/>
      <c r="F40" s="80"/>
      <c r="H40" s="81"/>
      <c r="I40" s="87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4"/>
    </row>
    <row r="41" spans="1:39" x14ac:dyDescent="0.25">
      <c r="A41" s="78"/>
      <c r="B41" s="112" t="str">
        <f>IF(ISERROR(Calcs!AX41),"?",Calcs!AX41)</f>
        <v>.</v>
      </c>
      <c r="C41" s="113" t="str">
        <f>IF(ISERROR(Calcs!AY41),"?",Calcs!AY41)</f>
        <v>.</v>
      </c>
      <c r="D41" s="79"/>
      <c r="E41" s="88"/>
      <c r="F41" s="80"/>
      <c r="H41" s="81"/>
      <c r="I41" s="87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4"/>
    </row>
    <row r="42" spans="1:39" x14ac:dyDescent="0.25">
      <c r="A42" s="78"/>
      <c r="B42" s="112" t="str">
        <f>IF(ISERROR(Calcs!AX42),"?",Calcs!AX42)</f>
        <v>.</v>
      </c>
      <c r="C42" s="113" t="str">
        <f>IF(ISERROR(Calcs!AY42),"?",Calcs!AY42)</f>
        <v>.</v>
      </c>
      <c r="D42" s="79"/>
      <c r="E42" s="88"/>
      <c r="F42" s="80"/>
      <c r="H42" s="81"/>
      <c r="I42" s="87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4"/>
    </row>
    <row r="43" spans="1:39" x14ac:dyDescent="0.25">
      <c r="A43" s="78"/>
      <c r="B43" s="112" t="str">
        <f>IF(ISERROR(Calcs!AX43),"?",Calcs!AX43)</f>
        <v>.</v>
      </c>
      <c r="C43" s="113" t="str">
        <f>IF(ISERROR(Calcs!AY43),"?",Calcs!AY43)</f>
        <v>.</v>
      </c>
      <c r="D43" s="79"/>
      <c r="E43" s="88"/>
      <c r="F43" s="80"/>
      <c r="H43" s="81"/>
      <c r="I43" s="87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4"/>
    </row>
    <row r="44" spans="1:39" x14ac:dyDescent="0.25">
      <c r="A44" s="78"/>
      <c r="B44" s="112" t="str">
        <f>IF(ISERROR(Calcs!AX44),"?",Calcs!AX44)</f>
        <v>.</v>
      </c>
      <c r="C44" s="113" t="str">
        <f>IF(ISERROR(Calcs!AY44),"?",Calcs!AY44)</f>
        <v>.</v>
      </c>
      <c r="D44" s="79"/>
      <c r="E44" s="88"/>
      <c r="F44" s="80"/>
      <c r="H44" s="81"/>
      <c r="I44" s="87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4"/>
    </row>
    <row r="45" spans="1:39" x14ac:dyDescent="0.25">
      <c r="A45" s="78"/>
      <c r="B45" s="112" t="str">
        <f>IF(ISERROR(Calcs!AX45),"?",Calcs!AX45)</f>
        <v>.</v>
      </c>
      <c r="C45" s="113" t="str">
        <f>IF(ISERROR(Calcs!AY45),"?",Calcs!AY45)</f>
        <v>.</v>
      </c>
      <c r="D45" s="79"/>
      <c r="E45" s="88"/>
      <c r="F45" s="80"/>
      <c r="H45" s="81"/>
      <c r="I45" s="87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4"/>
    </row>
    <row r="46" spans="1:39" x14ac:dyDescent="0.25">
      <c r="A46" s="78"/>
      <c r="B46" s="112" t="str">
        <f>IF(ISERROR(Calcs!AX46),"?",Calcs!AX46)</f>
        <v>.</v>
      </c>
      <c r="C46" s="113" t="str">
        <f>IF(ISERROR(Calcs!AY46),"?",Calcs!AY46)</f>
        <v>.</v>
      </c>
      <c r="D46" s="79"/>
      <c r="E46" s="88"/>
      <c r="F46" s="80"/>
      <c r="H46" s="81"/>
      <c r="I46" s="87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4"/>
    </row>
    <row r="47" spans="1:39" x14ac:dyDescent="0.25">
      <c r="A47" s="78"/>
      <c r="B47" s="112" t="str">
        <f>IF(ISERROR(Calcs!AX47),"?",Calcs!AX47)</f>
        <v>.</v>
      </c>
      <c r="C47" s="113" t="str">
        <f>IF(ISERROR(Calcs!AY47),"?",Calcs!AY47)</f>
        <v>.</v>
      </c>
      <c r="D47" s="79"/>
      <c r="E47" s="88"/>
      <c r="F47" s="80"/>
      <c r="H47" s="81"/>
      <c r="I47" s="87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4"/>
    </row>
    <row r="48" spans="1:39" x14ac:dyDescent="0.25">
      <c r="A48" s="78"/>
      <c r="B48" s="112" t="str">
        <f>IF(ISERROR(Calcs!AX48),"?",Calcs!AX48)</f>
        <v>.</v>
      </c>
      <c r="C48" s="113" t="str">
        <f>IF(ISERROR(Calcs!AY48),"?",Calcs!AY48)</f>
        <v>.</v>
      </c>
      <c r="D48" s="79"/>
      <c r="E48" s="88"/>
      <c r="F48" s="80"/>
      <c r="H48" s="81"/>
      <c r="I48" s="87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4"/>
    </row>
    <row r="49" spans="1:39" x14ac:dyDescent="0.25">
      <c r="A49" s="78"/>
      <c r="B49" s="112" t="str">
        <f>IF(ISERROR(Calcs!AX49),"?",Calcs!AX49)</f>
        <v>.</v>
      </c>
      <c r="C49" s="113" t="str">
        <f>IF(ISERROR(Calcs!AY49),"?",Calcs!AY49)</f>
        <v>.</v>
      </c>
      <c r="D49" s="79"/>
      <c r="E49" s="88"/>
      <c r="F49" s="80"/>
      <c r="H49" s="81"/>
      <c r="I49" s="87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4"/>
    </row>
    <row r="50" spans="1:39" x14ac:dyDescent="0.25">
      <c r="A50" s="78"/>
      <c r="B50" s="112" t="str">
        <f>IF(ISERROR(Calcs!AX50),"?",Calcs!AX50)</f>
        <v>.</v>
      </c>
      <c r="C50" s="113" t="str">
        <f>IF(ISERROR(Calcs!AY50),"?",Calcs!AY50)</f>
        <v>.</v>
      </c>
      <c r="D50" s="79"/>
      <c r="E50" s="88"/>
      <c r="F50" s="80"/>
      <c r="H50" s="81"/>
      <c r="I50" s="87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4"/>
    </row>
    <row r="51" spans="1:39" x14ac:dyDescent="0.25">
      <c r="A51" s="92"/>
      <c r="B51" s="114" t="str">
        <f>IF(ISERROR(Calcs!AX51),"?",Calcs!AX51)</f>
        <v>.</v>
      </c>
      <c r="C51" s="115" t="str">
        <f>IF(ISERROR(Calcs!AY51),"?",Calcs!AY51)</f>
        <v>.</v>
      </c>
      <c r="D51" s="93"/>
      <c r="E51" s="94"/>
      <c r="F51" s="95"/>
      <c r="H51" s="96"/>
      <c r="I51" s="97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9"/>
    </row>
    <row r="52" spans="1:39" x14ac:dyDescent="0.25">
      <c r="A52" s="68"/>
      <c r="B52" s="120" t="str">
        <f>Calcs!BV29</f>
        <v>(no more rows)</v>
      </c>
    </row>
    <row r="53" spans="1:39" x14ac:dyDescent="0.25">
      <c r="B53" s="118" t="s">
        <v>308</v>
      </c>
      <c r="C53" s="119">
        <f>General!B9</f>
        <v>0.05</v>
      </c>
    </row>
  </sheetData>
  <sheetProtection sheet="1" objects="1" scenarios="1"/>
  <phoneticPr fontId="10" type="noConversion"/>
  <conditionalFormatting sqref="B1:B51">
    <cfRule type="cellIs" dxfId="2" priority="1" stopIfTrue="1" operator="between">
      <formula>1-$C$53</formula>
      <formula>1+$C$53</formula>
    </cfRule>
    <cfRule type="cellIs" dxfId="1" priority="2" stopIfTrue="1" operator="lessThan">
      <formula>0.7</formula>
    </cfRule>
    <cfRule type="cellIs" dxfId="0" priority="3" stopIfTrue="1" operator="between">
      <formula>1.4</formula>
      <formula>10000000000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fitToHeight="5" orientation="portrait" blackAndWhite="1" r:id="rId1"/>
  <headerFooter>
    <oddHeader>&amp;L"MiniBalance" by SINTEF Building and Infrastructure&amp;R&amp;D</oddHeader>
    <oddFooter>&amp;C&amp;P av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O104"/>
  <sheetViews>
    <sheetView topLeftCell="BM13" workbookViewId="0">
      <selection activeCell="BV29" sqref="BV29"/>
    </sheetView>
  </sheetViews>
  <sheetFormatPr defaultColWidth="8.28515625" defaultRowHeight="15" x14ac:dyDescent="0.25"/>
  <cols>
    <col min="2" max="3" width="9.140625" customWidth="1"/>
    <col min="4" max="4" width="12.140625" customWidth="1"/>
    <col min="5" max="40" width="8.28515625" customWidth="1"/>
    <col min="41" max="44" width="9.140625" customWidth="1"/>
    <col min="45" max="48" width="8.28515625" customWidth="1"/>
    <col min="49" max="49" width="8.28515625" style="8" customWidth="1"/>
    <col min="50" max="50" width="8.5703125" style="7" customWidth="1"/>
    <col min="51" max="68" width="8.28515625" customWidth="1"/>
    <col min="69" max="69" width="10.140625" customWidth="1"/>
    <col min="70" max="71" width="8.28515625" customWidth="1"/>
    <col min="72" max="72" width="14.140625" customWidth="1"/>
    <col min="73" max="73" width="13.7109375" customWidth="1"/>
    <col min="74" max="74" width="10.7109375" customWidth="1"/>
    <col min="75" max="75" width="11.7109375" customWidth="1"/>
    <col min="76" max="76" width="11.140625" customWidth="1"/>
    <col min="77" max="77" width="10.7109375" customWidth="1"/>
    <col min="78" max="79" width="8.28515625" customWidth="1"/>
  </cols>
  <sheetData>
    <row r="1" spans="1:93" s="1" customFormat="1" x14ac:dyDescent="0.25">
      <c r="A1" s="23" t="str">
        <f>BV20</f>
        <v>Do not change this worksheet !</v>
      </c>
      <c r="B1" s="1" t="s">
        <v>7</v>
      </c>
      <c r="C1" s="1" t="s">
        <v>43</v>
      </c>
      <c r="D1" s="1" t="s">
        <v>3</v>
      </c>
      <c r="E1" s="1" t="s">
        <v>56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L1" s="20" t="s">
        <v>45</v>
      </c>
      <c r="AM1" s="20" t="s">
        <v>38</v>
      </c>
      <c r="AN1" s="20" t="s">
        <v>349</v>
      </c>
      <c r="AO1" s="20" t="s">
        <v>48</v>
      </c>
      <c r="AP1" s="20" t="s">
        <v>350</v>
      </c>
      <c r="AQ1" s="1" t="s">
        <v>51</v>
      </c>
      <c r="AR1" s="1" t="s">
        <v>115</v>
      </c>
      <c r="AS1" s="1" t="s">
        <v>22</v>
      </c>
      <c r="AT1" s="20" t="s">
        <v>23</v>
      </c>
      <c r="AU1" s="1" t="s">
        <v>24</v>
      </c>
      <c r="AV1" s="20" t="s">
        <v>25</v>
      </c>
      <c r="AW1" s="35" t="s">
        <v>46</v>
      </c>
      <c r="AX1" s="5" t="s">
        <v>26</v>
      </c>
      <c r="AY1" s="6" t="s">
        <v>28</v>
      </c>
      <c r="BA1" s="22" t="s">
        <v>58</v>
      </c>
      <c r="BB1" s="22" t="s">
        <v>57</v>
      </c>
      <c r="BC1" s="22" t="s">
        <v>66</v>
      </c>
      <c r="BD1" s="39" t="s">
        <v>67</v>
      </c>
      <c r="BG1" s="52" t="s">
        <v>5</v>
      </c>
      <c r="BH1" s="55" t="s">
        <v>334</v>
      </c>
      <c r="BI1" s="55" t="s">
        <v>332</v>
      </c>
      <c r="BJ1" s="55" t="s">
        <v>335</v>
      </c>
      <c r="BK1" s="53" t="s">
        <v>328</v>
      </c>
      <c r="BL1" s="53" t="s">
        <v>329</v>
      </c>
      <c r="BM1" s="54" t="s">
        <v>331</v>
      </c>
      <c r="BN1" s="54" t="s">
        <v>330</v>
      </c>
      <c r="BO1" s="49" t="s">
        <v>318</v>
      </c>
      <c r="BP1" s="49" t="s">
        <v>319</v>
      </c>
      <c r="BQ1" s="50" t="s">
        <v>333</v>
      </c>
      <c r="BR1" s="52" t="s">
        <v>68</v>
      </c>
      <c r="BT1" s="25" t="s">
        <v>73</v>
      </c>
      <c r="BU1" s="26">
        <v>1</v>
      </c>
      <c r="BV1" t="str">
        <f>INDEX(BW$1:CF$32,BU1,General!$B$10)</f>
        <v>English</v>
      </c>
      <c r="BW1" s="27" t="s">
        <v>74</v>
      </c>
      <c r="BX1" s="28" t="s">
        <v>123</v>
      </c>
      <c r="BY1" s="28" t="s">
        <v>124</v>
      </c>
      <c r="BZ1" s="28" t="s">
        <v>125</v>
      </c>
      <c r="CA1" s="28" t="s">
        <v>280</v>
      </c>
      <c r="CB1" s="28" t="s">
        <v>126</v>
      </c>
      <c r="CC1" s="28" t="s">
        <v>127</v>
      </c>
      <c r="CD1" s="28" t="s">
        <v>75</v>
      </c>
      <c r="CE1" s="28" t="s">
        <v>128</v>
      </c>
      <c r="CF1" s="29" t="s">
        <v>198</v>
      </c>
      <c r="CG1"/>
      <c r="CH1"/>
      <c r="CI1"/>
      <c r="CJ1"/>
      <c r="CK1"/>
      <c r="CL1"/>
      <c r="CM1"/>
      <c r="CN1"/>
      <c r="CO1"/>
    </row>
    <row r="2" spans="1:93" x14ac:dyDescent="0.25">
      <c r="A2" s="24"/>
      <c r="B2">
        <v>1</v>
      </c>
      <c r="C2" t="e">
        <f>IF(LOWER(Balancing!D2)="pa",Balancing!F2/1000,INDEX($E$98:$E$103,MATCH(LOWER(Balancing!D2),$D$98:$D$103,0)))</f>
        <v>#N/A</v>
      </c>
      <c r="D2" s="10">
        <f>IF(LOWER(General!$B$8)="pa",Balancing!$F2*SQRT(Balancing!E2)/1000,Balancing!E2*E$104)</f>
        <v>0</v>
      </c>
      <c r="E2" s="10" t="str">
        <f>IF(ISNUMBER(Balancing!H2),IF(LOWER(Balancing!$D2)="pa",$C2*SQRT(Balancing!H2),Balancing!H2*$C2),"-")</f>
        <v>-</v>
      </c>
      <c r="F2" s="11" t="str">
        <f>IF(ISNUMBER(Balancing!H2),IF(LOWER(Balancing!$D2)="pa",$C2*SQRT(Balancing!H2),Balancing!H2*$C2)/$D2,"-")</f>
        <v>-</v>
      </c>
      <c r="G2" s="12" t="str">
        <f>IF(ISNUMBER(Balancing!I2),IF(LOWER(Balancing!$D2)="pa",$C2*SQRT(Balancing!I2),Balancing!I2*$C2)/$D2,"-")</f>
        <v>-</v>
      </c>
      <c r="H2" s="12" t="str">
        <f>IF(ISNUMBER(Balancing!J2),IF(LOWER(Balancing!$D2)="pa",$C2*SQRT(Balancing!J2),Balancing!J2*$C2)/$D2,"-")</f>
        <v>-</v>
      </c>
      <c r="I2" s="12" t="str">
        <f>IF(ISNUMBER(Balancing!K2),IF(LOWER(Balancing!$D2)="pa",$C2*SQRT(Balancing!K2),Balancing!K2*$C2)/$D2,"-")</f>
        <v>-</v>
      </c>
      <c r="J2" s="12" t="str">
        <f>IF(ISNUMBER(Balancing!L2),IF(LOWER(Balancing!$D2)="pa",$C2*SQRT(Balancing!L2),Balancing!L2*$C2)/$D2,"-")</f>
        <v>-</v>
      </c>
      <c r="K2" s="12" t="str">
        <f>IF(ISNUMBER(Balancing!M2),IF(LOWER(Balancing!$D2)="pa",$C2*SQRT(Balancing!M2),Balancing!M2*$C2)/$D2,"-")</f>
        <v>-</v>
      </c>
      <c r="L2" s="12" t="str">
        <f>IF(ISNUMBER(Balancing!N2),IF(LOWER(Balancing!$D2)="pa",$C2*SQRT(Balancing!N2),Balancing!N2*$C2)/$D2,"-")</f>
        <v>-</v>
      </c>
      <c r="M2" s="12" t="str">
        <f>IF(ISNUMBER(Balancing!O2),IF(LOWER(Balancing!$D2)="pa",$C2*SQRT(Balancing!O2),Balancing!O2*$C2)/$D2,"-")</f>
        <v>-</v>
      </c>
      <c r="N2" s="12" t="str">
        <f>IF(ISNUMBER(Balancing!P2),IF(LOWER(Balancing!$D2)="pa",$C2*SQRT(Balancing!P2),Balancing!P2*$C2)/$D2,"-")</f>
        <v>-</v>
      </c>
      <c r="O2" s="12" t="str">
        <f>IF(ISNUMBER(Balancing!Q2),IF(LOWER(Balancing!$D2)="pa",$C2*SQRT(Balancing!Q2),Balancing!Q2*$C2)/$D2,"-")</f>
        <v>-</v>
      </c>
      <c r="P2" s="12" t="str">
        <f>IF(ISNUMBER(Balancing!R2),IF(LOWER(Balancing!$D2)="pa",$C2*SQRT(Balancing!R2),Balancing!R2*$C2)/$D2,"-")</f>
        <v>-</v>
      </c>
      <c r="Q2" s="12" t="str">
        <f>IF(ISNUMBER(Balancing!S2),IF(LOWER(Balancing!$D2)="pa",$C2*SQRT(Balancing!S2),Balancing!S2*$C2)/$D2,"-")</f>
        <v>-</v>
      </c>
      <c r="R2" s="12" t="str">
        <f>IF(ISNUMBER(Balancing!T2),IF(LOWER(Balancing!$D2)="pa",$C2*SQRT(Balancing!T2),Balancing!T2*$C2)/$D2,"-")</f>
        <v>-</v>
      </c>
      <c r="S2" s="12" t="str">
        <f>IF(ISNUMBER(Balancing!U2),IF(LOWER(Balancing!$D2)="pa",$C2*SQRT(Balancing!U2),Balancing!U2*$C2)/$D2,"-")</f>
        <v>-</v>
      </c>
      <c r="T2" s="12" t="str">
        <f>IF(ISNUMBER(Balancing!V2),IF(LOWER(Balancing!$D2)="pa",$C2*SQRT(Balancing!V2),Balancing!V2*$C2)/$D2,"-")</f>
        <v>-</v>
      </c>
      <c r="U2" s="12" t="str">
        <f>IF(ISNUMBER(Balancing!W2),IF(LOWER(Balancing!$D2)="pa",$C2*SQRT(Balancing!W2),Balancing!W2*$C2)/$D2,"-")</f>
        <v>-</v>
      </c>
      <c r="V2" s="12" t="str">
        <f>IF(ISNUMBER(Balancing!X2),IF(LOWER(Balancing!$D2)="pa",$C2*SQRT(Balancing!X2),Balancing!X2*$C2)/$D2,"-")</f>
        <v>-</v>
      </c>
      <c r="W2" s="12" t="str">
        <f>IF(ISNUMBER(Balancing!Y2),IF(LOWER(Balancing!$D2)="pa",$C2*SQRT(Balancing!Y2),Balancing!Y2*$C2)/$D2,"-")</f>
        <v>-</v>
      </c>
      <c r="X2" s="12" t="str">
        <f>IF(ISNUMBER(Balancing!Z2),IF(LOWER(Balancing!$D2)="pa",$C2*SQRT(Balancing!Z2),Balancing!Z2*$C2)/$D2,"-")</f>
        <v>-</v>
      </c>
      <c r="Y2" s="12" t="str">
        <f>IF(ISNUMBER(Balancing!AA2),IF(LOWER(Balancing!$D2)="pa",$C2*SQRT(Balancing!AA2),Balancing!AA2*$C2)/$D2,"-")</f>
        <v>-</v>
      </c>
      <c r="Z2" s="12" t="str">
        <f>IF(ISNUMBER(Balancing!AB2),IF(LOWER(Balancing!$D2)="pa",$C2*SQRT(Balancing!AB2),Balancing!AB2*$C2)/$D2,"-")</f>
        <v>-</v>
      </c>
      <c r="AA2" s="12" t="str">
        <f>IF(ISNUMBER(Balancing!AC2),IF(LOWER(Balancing!$D2)="pa",$C2*SQRT(Balancing!AC2),Balancing!AC2*$C2)/$D2,"-")</f>
        <v>-</v>
      </c>
      <c r="AB2" s="12" t="str">
        <f>IF(ISNUMBER(Balancing!AD2),IF(LOWER(Balancing!$D2)="pa",$C2*SQRT(Balancing!AD2),Balancing!AD2*$C2)/$D2,"-")</f>
        <v>-</v>
      </c>
      <c r="AC2" s="12" t="str">
        <f>IF(ISNUMBER(Balancing!AE2),IF(LOWER(Balancing!$D2)="pa",$C2*SQRT(Balancing!AE2),Balancing!AE2*$C2)/$D2,"-")</f>
        <v>-</v>
      </c>
      <c r="AD2" s="12" t="str">
        <f>IF(ISNUMBER(Balancing!AF2),IF(LOWER(Balancing!$D2)="pa",$C2*SQRT(Balancing!AF2),Balancing!AF2*$C2)/$D2,"-")</f>
        <v>-</v>
      </c>
      <c r="AE2" s="12" t="str">
        <f>IF(ISNUMBER(Balancing!AG2),IF(LOWER(Balancing!$D2)="pa",$C2*SQRT(Balancing!AG2),Balancing!AG2*$C2)/$D2,"-")</f>
        <v>-</v>
      </c>
      <c r="AF2" s="12" t="str">
        <f>IF(ISNUMBER(Balancing!AH2),IF(LOWER(Balancing!$D2)="pa",$C2*SQRT(Balancing!AH2),Balancing!AH2*$C2)/$D2,"-")</f>
        <v>-</v>
      </c>
      <c r="AG2" s="12" t="str">
        <f>IF(ISNUMBER(Balancing!AI2),IF(LOWER(Balancing!$D2)="pa",$C2*SQRT(Balancing!AI2),Balancing!AI2*$C2)/$D2,"-")</f>
        <v>-</v>
      </c>
      <c r="AH2" s="12" t="str">
        <f>IF(ISNUMBER(Balancing!AJ2),IF(LOWER(Balancing!$D2)="pa",$C2*SQRT(Balancing!AJ2),Balancing!AJ2*$C2)/$D2,"-")</f>
        <v>-</v>
      </c>
      <c r="AI2" s="12" t="str">
        <f>IF(ISNUMBER(Balancing!AK2),IF(LOWER(Balancing!$D2)="pa",$C2*SQRT(Balancing!AK2),Balancing!AK2*$C2)/$D2,"-")</f>
        <v>-</v>
      </c>
      <c r="AJ2" s="13" t="str">
        <f>IF(ISNUMBER(Balancing!AL2),IF(LOWER(Balancing!$D2)="pa",$C2*SQRT(Balancing!AL2),Balancing!AL2*$C2)/$D2,"-")</f>
        <v>-</v>
      </c>
      <c r="AL2" s="10" t="b">
        <f>COUNTA(Balancing!D2:AM2)=0</f>
        <v>1</v>
      </c>
      <c r="AM2" s="10" t="b">
        <f>AND(OR(Balancing!D2="",ISERROR(C2)),OR(Balancing!D2&lt;&gt;"",Balancing!E2&lt;&gt;"",Balancing!H2&lt;&gt;""))</f>
        <v>0</v>
      </c>
      <c r="AN2" s="10" t="str">
        <f>IF(ISNUMBER(INDEX(Balancing!$H$2:$AM$51,$B2,$E$65-1)),$B2,"-")</f>
        <v>-</v>
      </c>
      <c r="AO2" s="10" t="str">
        <f>IF(ISNUMBER(INDEX(Balancing!$H$2:$AM$51,$B2,$E$65)),$B2,"-")</f>
        <v>-</v>
      </c>
      <c r="AP2" s="10" t="str">
        <f>IF(AND(ISNUMBER(AN2),(ISNUMBER(AO2))),$B2,"-")</f>
        <v>-</v>
      </c>
      <c r="AQ2" t="str">
        <f>IF(ISNUMBER(AO2),IF(ABS(INDEX($F$2:$AJ$51,$B2,$E$65)-INDEX($F$2:$AJ$51,E$66,$E$65))/INDEX($F$2:$AJ$51,E$66,$E$65)&gt;General!B$9,B2,"ok"),"-")</f>
        <v>-</v>
      </c>
      <c r="AR2" t="str">
        <f t="shared" ref="AR2:AR33" si="0">IF(B2=E$91,"index",AO2)</f>
        <v>-</v>
      </c>
      <c r="AS2" t="str">
        <f t="shared" ref="AS2:AS33" si="1">IF($F2=$E$89,B2,"-")</f>
        <v>-</v>
      </c>
      <c r="AT2" s="10" t="str">
        <f>IF(ISNUMBER(Balancing!H2),B2,"-")</f>
        <v>-</v>
      </c>
      <c r="AU2" t="e">
        <f t="shared" ref="AU2:AU33" si="2">D2*BR$6</f>
        <v>#VALUE!</v>
      </c>
      <c r="AV2" s="10" t="e">
        <f>IF(E$97,"OK!",IF(LOWER(Balancing!$D2)="pa",(AU2/C2)^2,AU2/$C2))</f>
        <v>#VALUE!</v>
      </c>
      <c r="AW2" s="19" t="str">
        <f>IF(AL2,".",IF(AM2,BV$24,IF(AND(Balancing!F2="",OR(General!B$8="pa",Balancing!D2="pa")),BV$25,IF(Balancing!E2="",BV$26,IF(E$65=0,BV$27,IF(B2=E$94,BV$28,IF(AND(B2=E$94-1,B2=E$91,AO2&lt;&gt;B2),BV$31,"")))))))</f>
        <v>.</v>
      </c>
      <c r="AX2" s="8" t="str">
        <f t="shared" ref="AX2:AX33" si="3">IF(AL2,".",INDEX($F$2:$AJ$51,B2,E$65))</f>
        <v>.</v>
      </c>
      <c r="AY2" s="7" t="str">
        <f t="shared" ref="AY2:AY33" si="4">IF(AW2="",IF(B2=E$90,IF(E$91=E$90,BV$21,IF(OR(E$91=E$69,E$65=1),AV2,BV$22)),IF(B2=E$91,BV$23,IF(AND(B2=E$69),AV2,"-"))),AW2)</f>
        <v>.</v>
      </c>
      <c r="AZ2" s="3"/>
      <c r="BA2" s="2">
        <f>IF($B2&lt;$E$90,0,D2)</f>
        <v>0</v>
      </c>
      <c r="BB2" s="2" t="str">
        <f>IF($B2&lt;$E$90,0,E2)</f>
        <v>-</v>
      </c>
      <c r="BC2" t="str">
        <f t="shared" ref="BC2:BC33" si="5">IF($B2&lt;$E$69,INDEX($F$2:$AJ$51,$B2,BG$4),"-")</f>
        <v>-</v>
      </c>
      <c r="BD2" t="str">
        <f t="shared" ref="BD2:BD33" si="6">IF($B2&lt;=$E$69,INDEX($F$2:$AJ$51,$B2,BG$4),"-")</f>
        <v>-</v>
      </c>
      <c r="BE2" s="31"/>
      <c r="BF2" s="31" t="s">
        <v>62</v>
      </c>
      <c r="BG2" s="41"/>
      <c r="BH2" s="47">
        <f>INDEX(BA$2:BA$51,$E$69,1)</f>
        <v>0</v>
      </c>
      <c r="BI2" s="47" t="str">
        <f>INDEX(BB$2:BB$51,$E$69,1)</f>
        <v>-</v>
      </c>
      <c r="BJ2" s="47"/>
      <c r="BK2" s="47"/>
      <c r="BL2" s="47"/>
      <c r="BM2" s="47"/>
      <c r="BN2" s="47"/>
      <c r="BO2" s="47"/>
      <c r="BP2" s="47"/>
      <c r="BQ2" s="47" t="e">
        <f>BI2/BH2</f>
        <v>#VALUE!</v>
      </c>
      <c r="BR2" s="42" t="e">
        <f>0.4*E89+0.6*BQ2</f>
        <v>#VALUE!</v>
      </c>
      <c r="BS2" s="31" t="s">
        <v>322</v>
      </c>
      <c r="BT2" s="36"/>
      <c r="BU2">
        <v>2</v>
      </c>
      <c r="BV2" t="str">
        <f>INDEX(BW$1:CF$32,BU2,General!$B$10)</f>
        <v>General input data</v>
      </c>
      <c r="BW2" s="30" t="s">
        <v>88</v>
      </c>
      <c r="BX2" s="31" t="s">
        <v>129</v>
      </c>
      <c r="BY2" s="31" t="s">
        <v>130</v>
      </c>
      <c r="BZ2" s="31" t="s">
        <v>131</v>
      </c>
      <c r="CA2" s="31" t="s">
        <v>199</v>
      </c>
      <c r="CB2" s="31" t="s">
        <v>254</v>
      </c>
      <c r="CC2" s="31" t="s">
        <v>214</v>
      </c>
      <c r="CD2" s="31" t="s">
        <v>89</v>
      </c>
      <c r="CE2" s="31" t="s">
        <v>235</v>
      </c>
      <c r="CF2" s="32"/>
    </row>
    <row r="3" spans="1:93" x14ac:dyDescent="0.25">
      <c r="B3">
        <v>2</v>
      </c>
      <c r="C3" t="e">
        <f>IF(LOWER(Balancing!D3)="pa",Balancing!F3/1000,INDEX($E$98:$E$103,MATCH(LOWER(Balancing!D3),$D$98:$D$103,0)))</f>
        <v>#N/A</v>
      </c>
      <c r="D3" s="10">
        <f>IF(LOWER(General!$B$8)="pa",Balancing!$F3*SQRT(Balancing!E3)/1000,Balancing!E3*E$104)</f>
        <v>0</v>
      </c>
      <c r="E3" s="10" t="str">
        <f>IF(ISNUMBER(Balancing!H3),IF(LOWER(Balancing!$D3)="pa",$C3*SQRT(Balancing!H3),Balancing!H3*$C3),"-")</f>
        <v>-</v>
      </c>
      <c r="F3" s="14" t="str">
        <f>IF(ISNUMBER(Balancing!H3),IF(LOWER(Balancing!$D3)="pa",$C3*SQRT(Balancing!H3),Balancing!H3*$C3)/$D3,"-")</f>
        <v>-</v>
      </c>
      <c r="G3" s="10" t="str">
        <f>IF(ISNUMBER(Balancing!I3),IF(LOWER(Balancing!$D3)="pa",$C3*SQRT(Balancing!I3),Balancing!I3*$C3)/$D3,"-")</f>
        <v>-</v>
      </c>
      <c r="H3" s="10" t="str">
        <f>IF(ISNUMBER(Balancing!J3),IF(LOWER(Balancing!$D3)="pa",$C3*SQRT(Balancing!J3),Balancing!J3*$C3)/$D3,"-")</f>
        <v>-</v>
      </c>
      <c r="I3" s="10" t="str">
        <f>IF(ISNUMBER(Balancing!K3),IF(LOWER(Balancing!$D3)="pa",$C3*SQRT(Balancing!K3),Balancing!K3*$C3)/$D3,"-")</f>
        <v>-</v>
      </c>
      <c r="J3" s="10" t="str">
        <f>IF(ISNUMBER(Balancing!L3),IF(LOWER(Balancing!$D3)="pa",$C3*SQRT(Balancing!L3),Balancing!L3*$C3)/$D3,"-")</f>
        <v>-</v>
      </c>
      <c r="K3" s="10" t="str">
        <f>IF(ISNUMBER(Balancing!M3),IF(LOWER(Balancing!$D3)="pa",$C3*SQRT(Balancing!M3),Balancing!M3*$C3)/$D3,"-")</f>
        <v>-</v>
      </c>
      <c r="L3" s="10" t="str">
        <f>IF(ISNUMBER(Balancing!N3),IF(LOWER(Balancing!$D3)="pa",$C3*SQRT(Balancing!N3),Balancing!N3*$C3)/$D3,"-")</f>
        <v>-</v>
      </c>
      <c r="M3" s="10" t="str">
        <f>IF(ISNUMBER(Balancing!O3),IF(LOWER(Balancing!$D3)="pa",$C3*SQRT(Balancing!O3),Balancing!O3*$C3)/$D3,"-")</f>
        <v>-</v>
      </c>
      <c r="N3" s="10" t="str">
        <f>IF(ISNUMBER(Balancing!P3),IF(LOWER(Balancing!$D3)="pa",$C3*SQRT(Balancing!P3),Balancing!P3*$C3)/$D3,"-")</f>
        <v>-</v>
      </c>
      <c r="O3" s="10" t="str">
        <f>IF(ISNUMBER(Balancing!Q3),IF(LOWER(Balancing!$D3)="pa",$C3*SQRT(Balancing!Q3),Balancing!Q3*$C3)/$D3,"-")</f>
        <v>-</v>
      </c>
      <c r="P3" s="10" t="str">
        <f>IF(ISNUMBER(Balancing!R3),IF(LOWER(Balancing!$D3)="pa",$C3*SQRT(Balancing!R3),Balancing!R3*$C3)/$D3,"-")</f>
        <v>-</v>
      </c>
      <c r="Q3" s="10" t="str">
        <f>IF(ISNUMBER(Balancing!S3),IF(LOWER(Balancing!$D3)="pa",$C3*SQRT(Balancing!S3),Balancing!S3*$C3)/$D3,"-")</f>
        <v>-</v>
      </c>
      <c r="R3" s="10" t="str">
        <f>IF(ISNUMBER(Balancing!T3),IF(LOWER(Balancing!$D3)="pa",$C3*SQRT(Balancing!T3),Balancing!T3*$C3)/$D3,"-")</f>
        <v>-</v>
      </c>
      <c r="S3" s="10" t="str">
        <f>IF(ISNUMBER(Balancing!U3),IF(LOWER(Balancing!$D3)="pa",$C3*SQRT(Balancing!U3),Balancing!U3*$C3)/$D3,"-")</f>
        <v>-</v>
      </c>
      <c r="T3" s="10" t="str">
        <f>IF(ISNUMBER(Balancing!V3),IF(LOWER(Balancing!$D3)="pa",$C3*SQRT(Balancing!V3),Balancing!V3*$C3)/$D3,"-")</f>
        <v>-</v>
      </c>
      <c r="U3" s="10" t="str">
        <f>IF(ISNUMBER(Balancing!W3),IF(LOWER(Balancing!$D3)="pa",$C3*SQRT(Balancing!W3),Balancing!W3*$C3)/$D3,"-")</f>
        <v>-</v>
      </c>
      <c r="V3" s="10" t="str">
        <f>IF(ISNUMBER(Balancing!X3),IF(LOWER(Balancing!$D3)="pa",$C3*SQRT(Balancing!X3),Balancing!X3*$C3)/$D3,"-")</f>
        <v>-</v>
      </c>
      <c r="W3" s="10" t="str">
        <f>IF(ISNUMBER(Balancing!Y3),IF(LOWER(Balancing!$D3)="pa",$C3*SQRT(Balancing!Y3),Balancing!Y3*$C3)/$D3,"-")</f>
        <v>-</v>
      </c>
      <c r="X3" s="10" t="str">
        <f>IF(ISNUMBER(Balancing!Z3),IF(LOWER(Balancing!$D3)="pa",$C3*SQRT(Balancing!Z3),Balancing!Z3*$C3)/$D3,"-")</f>
        <v>-</v>
      </c>
      <c r="Y3" s="10" t="str">
        <f>IF(ISNUMBER(Balancing!AA3),IF(LOWER(Balancing!$D3)="pa",$C3*SQRT(Balancing!AA3),Balancing!AA3*$C3)/$D3,"-")</f>
        <v>-</v>
      </c>
      <c r="Z3" s="10" t="str">
        <f>IF(ISNUMBER(Balancing!AB3),IF(LOWER(Balancing!$D3)="pa",$C3*SQRT(Balancing!AB3),Balancing!AB3*$C3)/$D3,"-")</f>
        <v>-</v>
      </c>
      <c r="AA3" s="10" t="str">
        <f>IF(ISNUMBER(Balancing!AC3),IF(LOWER(Balancing!$D3)="pa",$C3*SQRT(Balancing!AC3),Balancing!AC3*$C3)/$D3,"-")</f>
        <v>-</v>
      </c>
      <c r="AB3" s="10" t="str">
        <f>IF(ISNUMBER(Balancing!AD3),IF(LOWER(Balancing!$D3)="pa",$C3*SQRT(Balancing!AD3),Balancing!AD3*$C3)/$D3,"-")</f>
        <v>-</v>
      </c>
      <c r="AC3" s="10" t="str">
        <f>IF(ISNUMBER(Balancing!AE3),IF(LOWER(Balancing!$D3)="pa",$C3*SQRT(Balancing!AE3),Balancing!AE3*$C3)/$D3,"-")</f>
        <v>-</v>
      </c>
      <c r="AD3" s="10" t="str">
        <f>IF(ISNUMBER(Balancing!AF3),IF(LOWER(Balancing!$D3)="pa",$C3*SQRT(Balancing!AF3),Balancing!AF3*$C3)/$D3,"-")</f>
        <v>-</v>
      </c>
      <c r="AE3" s="10" t="str">
        <f>IF(ISNUMBER(Balancing!AG3),IF(LOWER(Balancing!$D3)="pa",$C3*SQRT(Balancing!AG3),Balancing!AG3*$C3)/$D3,"-")</f>
        <v>-</v>
      </c>
      <c r="AF3" s="10" t="str">
        <f>IF(ISNUMBER(Balancing!AH3),IF(LOWER(Balancing!$D3)="pa",$C3*SQRT(Balancing!AH3),Balancing!AH3*$C3)/$D3,"-")</f>
        <v>-</v>
      </c>
      <c r="AG3" s="10" t="str">
        <f>IF(ISNUMBER(Balancing!AI3),IF(LOWER(Balancing!$D3)="pa",$C3*SQRT(Balancing!AI3),Balancing!AI3*$C3)/$D3,"-")</f>
        <v>-</v>
      </c>
      <c r="AH3" s="10" t="str">
        <f>IF(ISNUMBER(Balancing!AJ3),IF(LOWER(Balancing!$D3)="pa",$C3*SQRT(Balancing!AJ3),Balancing!AJ3*$C3)/$D3,"-")</f>
        <v>-</v>
      </c>
      <c r="AI3" s="10" t="str">
        <f>IF(ISNUMBER(Balancing!AK3),IF(LOWER(Balancing!$D3)="pa",$C3*SQRT(Balancing!AK3),Balancing!AK3*$C3)/$D3,"-")</f>
        <v>-</v>
      </c>
      <c r="AJ3" s="15" t="str">
        <f>IF(ISNUMBER(Balancing!AL3),IF(LOWER(Balancing!$D3)="pa",$C3*SQRT(Balancing!AL3),Balancing!AL3*$C3)/$D3,"-")</f>
        <v>-</v>
      </c>
      <c r="AL3" s="10" t="b">
        <f>COUNTA(Balancing!D3:AM3)=0</f>
        <v>1</v>
      </c>
      <c r="AM3" s="10" t="b">
        <f>AND(OR(Balancing!D3="",ISERROR(C3)),OR(Balancing!D3&lt;&gt;"",Balancing!E3&lt;&gt;"",Balancing!H3&lt;&gt;""))</f>
        <v>0</v>
      </c>
      <c r="AN3" s="10" t="str">
        <f>IF(ISNUMBER(INDEX(Balancing!$H$2:$AM$51,$B3,$E$65-1)),$B3,"-")</f>
        <v>-</v>
      </c>
      <c r="AO3" s="10" t="str">
        <f>IF(ISNUMBER(INDEX(Balancing!$H$2:$AM$51,$B3,$E$65)),$B3,"-")</f>
        <v>-</v>
      </c>
      <c r="AP3" s="10" t="str">
        <f t="shared" ref="AP3:AP51" si="7">IF(AND(ISNUMBER(AN3),(ISNUMBER(AO3))),$B3,"-")</f>
        <v>-</v>
      </c>
      <c r="AQ3" t="str">
        <f>IF(ISNUMBER(AO3),IF(ABS(INDEX($F$2:$AJ$51,$B3,$E$65)-INDEX($F$2:$AJ$51,E$66,$E$65))/INDEX($F$2:$AJ$51,E$66,$E$65)&gt;General!B$9,B3,"ok"),"-")</f>
        <v>-</v>
      </c>
      <c r="AR3" t="str">
        <f t="shared" si="0"/>
        <v>-</v>
      </c>
      <c r="AS3" t="str">
        <f t="shared" si="1"/>
        <v>-</v>
      </c>
      <c r="AT3" s="10" t="str">
        <f>IF(ISNUMBER(Balancing!H3),B3,"-")</f>
        <v>-</v>
      </c>
      <c r="AU3" t="e">
        <f t="shared" si="2"/>
        <v>#VALUE!</v>
      </c>
      <c r="AV3" s="10" t="e">
        <f>IF(E$97,"OK!",IF(LOWER(Balancing!$D3)="pa",(AU3/C3)^2,AU3/$C3))</f>
        <v>#VALUE!</v>
      </c>
      <c r="AW3" s="19" t="str">
        <f>IF(AL3,".",IF(AM3,BV$24,IF(AND(Balancing!F3="",OR(General!B$8="pa",Balancing!D3="pa")),BV$25,IF(Balancing!E3="",BV$26,IF(E$65=0,BV$27,IF(B3=E$94,BV$28,IF(AND(B3=E$94-1,B3=E$91,AO3&lt;&gt;B3),BV$31,"")))))))</f>
        <v>.</v>
      </c>
      <c r="AX3" s="8" t="str">
        <f t="shared" si="3"/>
        <v>.</v>
      </c>
      <c r="AY3" s="7" t="str">
        <f t="shared" si="4"/>
        <v>.</v>
      </c>
      <c r="BA3" s="21">
        <f>IF($B3&lt;$E$90,0,D3+BA2)</f>
        <v>0</v>
      </c>
      <c r="BB3" s="21" t="e">
        <f>IF($B3&lt;$E$90,0,E3+BB2)</f>
        <v>#VALUE!</v>
      </c>
      <c r="BC3" t="str">
        <f t="shared" si="5"/>
        <v>-</v>
      </c>
      <c r="BD3" t="str">
        <f t="shared" si="6"/>
        <v>-</v>
      </c>
      <c r="BE3" s="31"/>
      <c r="BF3" s="31" t="s">
        <v>307</v>
      </c>
      <c r="BG3" s="43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44" t="e">
        <f>INDEX($F$2:$AJ$51,$E$91,$E$65)</f>
        <v>#VALUE!</v>
      </c>
      <c r="BS3" s="31" t="s">
        <v>306</v>
      </c>
      <c r="BU3" s="26">
        <v>3</v>
      </c>
      <c r="BV3" t="str">
        <f>INDEX(BW$1:CF$32,BU3,General!$B$10)</f>
        <v>Building/project</v>
      </c>
      <c r="BW3" s="30" t="s">
        <v>90</v>
      </c>
      <c r="BX3" s="31" t="s">
        <v>132</v>
      </c>
      <c r="BY3" s="31" t="s">
        <v>133</v>
      </c>
      <c r="BZ3" s="31" t="s">
        <v>134</v>
      </c>
      <c r="CA3" s="31" t="s">
        <v>200</v>
      </c>
      <c r="CB3" s="31" t="s">
        <v>135</v>
      </c>
      <c r="CC3" s="31" t="s">
        <v>136</v>
      </c>
      <c r="CD3" s="31" t="s">
        <v>30</v>
      </c>
      <c r="CE3" s="31" t="s">
        <v>236</v>
      </c>
      <c r="CF3" s="32"/>
    </row>
    <row r="4" spans="1:93" x14ac:dyDescent="0.25">
      <c r="B4">
        <v>3</v>
      </c>
      <c r="C4" t="e">
        <f>IF(LOWER(Balancing!D4)="pa",Balancing!F4/1000,INDEX($E$98:$E$103,MATCH(LOWER(Balancing!D4),$D$98:$D$103,0)))</f>
        <v>#N/A</v>
      </c>
      <c r="D4" s="10">
        <f>IF(LOWER(General!$B$8)="pa",Balancing!$F4*SQRT(Balancing!E4)/1000,Balancing!E4*E$104)</f>
        <v>0</v>
      </c>
      <c r="E4" s="10" t="str">
        <f>IF(ISNUMBER(Balancing!H4),IF(LOWER(Balancing!$D4)="pa",$C4*SQRT(Balancing!H4),Balancing!H4*$C4),"-")</f>
        <v>-</v>
      </c>
      <c r="F4" s="14" t="str">
        <f>IF(ISNUMBER(Balancing!H4),IF(LOWER(Balancing!$D4)="pa",$C4*SQRT(Balancing!H4),Balancing!H4*$C4)/$D4,"-")</f>
        <v>-</v>
      </c>
      <c r="G4" s="10" t="str">
        <f>IF(ISNUMBER(Balancing!I4),IF(LOWER(Balancing!$D4)="pa",$C4*SQRT(Balancing!I4),Balancing!I4*$C4)/$D4,"-")</f>
        <v>-</v>
      </c>
      <c r="H4" s="10" t="str">
        <f>IF(ISNUMBER(Balancing!J4),IF(LOWER(Balancing!$D4)="pa",$C4*SQRT(Balancing!J4),Balancing!J4*$C4)/$D4,"-")</f>
        <v>-</v>
      </c>
      <c r="I4" s="10" t="str">
        <f>IF(ISNUMBER(Balancing!K4),IF(LOWER(Balancing!$D4)="pa",$C4*SQRT(Balancing!K4),Balancing!K4*$C4)/$D4,"-")</f>
        <v>-</v>
      </c>
      <c r="J4" s="10" t="str">
        <f>IF(ISNUMBER(Balancing!L4),IF(LOWER(Balancing!$D4)="pa",$C4*SQRT(Balancing!L4),Balancing!L4*$C4)/$D4,"-")</f>
        <v>-</v>
      </c>
      <c r="K4" s="10" t="str">
        <f>IF(ISNUMBER(Balancing!M4),IF(LOWER(Balancing!$D4)="pa",$C4*SQRT(Balancing!M4),Balancing!M4*$C4)/$D4,"-")</f>
        <v>-</v>
      </c>
      <c r="L4" s="10" t="str">
        <f>IF(ISNUMBER(Balancing!N4),IF(LOWER(Balancing!$D4)="pa",$C4*SQRT(Balancing!N4),Balancing!N4*$C4)/$D4,"-")</f>
        <v>-</v>
      </c>
      <c r="M4" s="10" t="str">
        <f>IF(ISNUMBER(Balancing!O4),IF(LOWER(Balancing!$D4)="pa",$C4*SQRT(Balancing!O4),Balancing!O4*$C4)/$D4,"-")</f>
        <v>-</v>
      </c>
      <c r="N4" s="10" t="str">
        <f>IF(ISNUMBER(Balancing!P4),IF(LOWER(Balancing!$D4)="pa",$C4*SQRT(Balancing!P4),Balancing!P4*$C4)/$D4,"-")</f>
        <v>-</v>
      </c>
      <c r="O4" s="10" t="str">
        <f>IF(ISNUMBER(Balancing!Q4),IF(LOWER(Balancing!$D4)="pa",$C4*SQRT(Balancing!Q4),Balancing!Q4*$C4)/$D4,"-")</f>
        <v>-</v>
      </c>
      <c r="P4" s="10" t="str">
        <f>IF(ISNUMBER(Balancing!R4),IF(LOWER(Balancing!$D4)="pa",$C4*SQRT(Balancing!R4),Balancing!R4*$C4)/$D4,"-")</f>
        <v>-</v>
      </c>
      <c r="Q4" s="10" t="str">
        <f>IF(ISNUMBER(Balancing!S4),IF(LOWER(Balancing!$D4)="pa",$C4*SQRT(Balancing!S4),Balancing!S4*$C4)/$D4,"-")</f>
        <v>-</v>
      </c>
      <c r="R4" s="10" t="str">
        <f>IF(ISNUMBER(Balancing!T4),IF(LOWER(Balancing!$D4)="pa",$C4*SQRT(Balancing!T4),Balancing!T4*$C4)/$D4,"-")</f>
        <v>-</v>
      </c>
      <c r="S4" s="10" t="str">
        <f>IF(ISNUMBER(Balancing!U4),IF(LOWER(Balancing!$D4)="pa",$C4*SQRT(Balancing!U4),Balancing!U4*$C4)/$D4,"-")</f>
        <v>-</v>
      </c>
      <c r="T4" s="10" t="str">
        <f>IF(ISNUMBER(Balancing!V4),IF(LOWER(Balancing!$D4)="pa",$C4*SQRT(Balancing!V4),Balancing!V4*$C4)/$D4,"-")</f>
        <v>-</v>
      </c>
      <c r="U4" s="10" t="str">
        <f>IF(ISNUMBER(Balancing!W4),IF(LOWER(Balancing!$D4)="pa",$C4*SQRT(Balancing!W4),Balancing!W4*$C4)/$D4,"-")</f>
        <v>-</v>
      </c>
      <c r="V4" s="10" t="str">
        <f>IF(ISNUMBER(Balancing!X4),IF(LOWER(Balancing!$D4)="pa",$C4*SQRT(Balancing!X4),Balancing!X4*$C4)/$D4,"-")</f>
        <v>-</v>
      </c>
      <c r="W4" s="10" t="str">
        <f>IF(ISNUMBER(Balancing!Y4),IF(LOWER(Balancing!$D4)="pa",$C4*SQRT(Balancing!Y4),Balancing!Y4*$C4)/$D4,"-")</f>
        <v>-</v>
      </c>
      <c r="X4" s="10" t="str">
        <f>IF(ISNUMBER(Balancing!Z4),IF(LOWER(Balancing!$D4)="pa",$C4*SQRT(Balancing!Z4),Balancing!Z4*$C4)/$D4,"-")</f>
        <v>-</v>
      </c>
      <c r="Y4" s="10" t="str">
        <f>IF(ISNUMBER(Balancing!AA4),IF(LOWER(Balancing!$D4)="pa",$C4*SQRT(Balancing!AA4),Balancing!AA4*$C4)/$D4,"-")</f>
        <v>-</v>
      </c>
      <c r="Z4" s="10" t="str">
        <f>IF(ISNUMBER(Balancing!AB4),IF(LOWER(Balancing!$D4)="pa",$C4*SQRT(Balancing!AB4),Balancing!AB4*$C4)/$D4,"-")</f>
        <v>-</v>
      </c>
      <c r="AA4" s="10" t="str">
        <f>IF(ISNUMBER(Balancing!AC4),IF(LOWER(Balancing!$D4)="pa",$C4*SQRT(Balancing!AC4),Balancing!AC4*$C4)/$D4,"-")</f>
        <v>-</v>
      </c>
      <c r="AB4" s="10" t="str">
        <f>IF(ISNUMBER(Balancing!AD4),IF(LOWER(Balancing!$D4)="pa",$C4*SQRT(Balancing!AD4),Balancing!AD4*$C4)/$D4,"-")</f>
        <v>-</v>
      </c>
      <c r="AC4" s="10" t="str">
        <f>IF(ISNUMBER(Balancing!AE4),IF(LOWER(Balancing!$D4)="pa",$C4*SQRT(Balancing!AE4),Balancing!AE4*$C4)/$D4,"-")</f>
        <v>-</v>
      </c>
      <c r="AD4" s="10" t="str">
        <f>IF(ISNUMBER(Balancing!AF4),IF(LOWER(Balancing!$D4)="pa",$C4*SQRT(Balancing!AF4),Balancing!AF4*$C4)/$D4,"-")</f>
        <v>-</v>
      </c>
      <c r="AE4" s="10" t="str">
        <f>IF(ISNUMBER(Balancing!AG4),IF(LOWER(Balancing!$D4)="pa",$C4*SQRT(Balancing!AG4),Balancing!AG4*$C4)/$D4,"-")</f>
        <v>-</v>
      </c>
      <c r="AF4" s="10" t="str">
        <f>IF(ISNUMBER(Balancing!AH4),IF(LOWER(Balancing!$D4)="pa",$C4*SQRT(Balancing!AH4),Balancing!AH4*$C4)/$D4,"-")</f>
        <v>-</v>
      </c>
      <c r="AG4" s="10" t="str">
        <f>IF(ISNUMBER(Balancing!AI4),IF(LOWER(Balancing!$D4)="pa",$C4*SQRT(Balancing!AI4),Balancing!AI4*$C4)/$D4,"-")</f>
        <v>-</v>
      </c>
      <c r="AH4" s="10" t="str">
        <f>IF(ISNUMBER(Balancing!AJ4),IF(LOWER(Balancing!$D4)="pa",$C4*SQRT(Balancing!AJ4),Balancing!AJ4*$C4)/$D4,"-")</f>
        <v>-</v>
      </c>
      <c r="AI4" s="10" t="str">
        <f>IF(ISNUMBER(Balancing!AK4),IF(LOWER(Balancing!$D4)="pa",$C4*SQRT(Balancing!AK4),Balancing!AK4*$C4)/$D4,"-")</f>
        <v>-</v>
      </c>
      <c r="AJ4" s="15" t="str">
        <f>IF(ISNUMBER(Balancing!AL4),IF(LOWER(Balancing!$D4)="pa",$C4*SQRT(Balancing!AL4),Balancing!AL4*$C4)/$D4,"-")</f>
        <v>-</v>
      </c>
      <c r="AL4" s="10" t="b">
        <f>COUNTA(Balancing!D4:AM4)=0</f>
        <v>1</v>
      </c>
      <c r="AM4" s="10" t="b">
        <f>AND(OR(Balancing!D4="",ISERROR(C4)),OR(Balancing!D4&lt;&gt;"",Balancing!E4&lt;&gt;"",Balancing!H4&lt;&gt;""))</f>
        <v>0</v>
      </c>
      <c r="AN4" s="10" t="str">
        <f>IF(ISNUMBER(INDEX(Balancing!$H$2:$AM$51,$B4,$E$65-1)),$B4,"-")</f>
        <v>-</v>
      </c>
      <c r="AO4" s="10" t="str">
        <f>IF(ISNUMBER(INDEX(Balancing!$H$2:$AM$51,$B4,$E$65)),$B4,"-")</f>
        <v>-</v>
      </c>
      <c r="AP4" s="10" t="str">
        <f t="shared" si="7"/>
        <v>-</v>
      </c>
      <c r="AQ4" t="str">
        <f>IF(ISNUMBER(AO4),IF(ABS(INDEX($F$2:$AJ$51,$B4,$E$65)-INDEX($F$2:$AJ$51,E$66,$E$65))/INDEX($F$2:$AJ$51,E$66,$E$65)&gt;General!B$9,B4,"ok"),"-")</f>
        <v>-</v>
      </c>
      <c r="AR4" t="str">
        <f t="shared" si="0"/>
        <v>-</v>
      </c>
      <c r="AS4" t="str">
        <f t="shared" si="1"/>
        <v>-</v>
      </c>
      <c r="AT4" s="10" t="str">
        <f>IF(ISNUMBER(Balancing!H4),B4,"-")</f>
        <v>-</v>
      </c>
      <c r="AU4" t="e">
        <f t="shared" si="2"/>
        <v>#VALUE!</v>
      </c>
      <c r="AV4" s="10" t="e">
        <f>IF(E$97,"OK!",IF(LOWER(Balancing!$D4)="pa",(AU4/C4)^2,AU4/$C4))</f>
        <v>#VALUE!</v>
      </c>
      <c r="AW4" s="19" t="str">
        <f>IF(AL4,".",IF(AM4,BV$24,IF(AND(Balancing!F4="",OR(General!B$8="pa",Balancing!D4="pa")),BV$25,IF(Balancing!E4="",BV$26,IF(E$65=0,BV$27,IF(B4=E$94,BV$28,IF(AND(B4=E$94-1,B4=E$91,AO4&lt;&gt;B4),BV$31,"")))))))</f>
        <v>.</v>
      </c>
      <c r="AX4" s="8" t="str">
        <f t="shared" si="3"/>
        <v>.</v>
      </c>
      <c r="AY4" s="7" t="str">
        <f t="shared" si="4"/>
        <v>.</v>
      </c>
      <c r="BA4" s="21">
        <f t="shared" ref="BA4:BA51" si="8">IF(B4&lt;E$90,0,D4+BA3)</f>
        <v>0</v>
      </c>
      <c r="BB4" s="21" t="e">
        <f t="shared" ref="BB4:BB51" si="9">IF($B4&lt;$E$90,0,E4+BB3)</f>
        <v>#VALUE!</v>
      </c>
      <c r="BC4" t="str">
        <f t="shared" si="5"/>
        <v>-</v>
      </c>
      <c r="BD4" t="str">
        <f t="shared" si="6"/>
        <v>-</v>
      </c>
      <c r="BE4" s="31"/>
      <c r="BF4" s="31" t="s">
        <v>347</v>
      </c>
      <c r="BG4" s="43">
        <f>MAX($G63:$AJ63)</f>
        <v>0</v>
      </c>
      <c r="BH4" s="31" t="e">
        <f>INDEX(BA$2:BA$51,$E$69-1,1)</f>
        <v>#VALUE!</v>
      </c>
      <c r="BI4" s="31" t="e">
        <f>INDEX(BB$2:BB$51,$E$69-1,1)</f>
        <v>#VALUE!</v>
      </c>
      <c r="BJ4" s="31" t="e">
        <f>AVERAGE(BC$2:BC$51)</f>
        <v>#DIV/0!</v>
      </c>
      <c r="BK4" s="31">
        <f>INDEX(D$2:D$51,$E$69,1)</f>
        <v>0</v>
      </c>
      <c r="BL4" s="31" t="str">
        <f>INDEX(E$2:E$51,$E$69,1)</f>
        <v>-</v>
      </c>
      <c r="BM4" s="31" t="e">
        <f>INDEX(F$2:AJ$51,$E$69,BG4)</f>
        <v>#VALUE!</v>
      </c>
      <c r="BN4" s="31" t="e">
        <f>BM4*BK4</f>
        <v>#VALUE!</v>
      </c>
      <c r="BO4" s="31" t="e">
        <f>BI4*BN4-BL4*(BJ4*BH4)</f>
        <v>#VALUE!</v>
      </c>
      <c r="BP4" s="31" t="e">
        <f>BN4-BL4</f>
        <v>#VALUE!</v>
      </c>
      <c r="BQ4" s="31" t="e">
        <f>((BJ4*BH4)+BN4)/BH2</f>
        <v>#DIV/0!</v>
      </c>
      <c r="BR4" s="44" t="e">
        <f>MIN(MAX(BJ4,BO4*BJ4/(BO4+BP4*(BK4*BJ4-BN4))),BQ4)</f>
        <v>#VALUE!</v>
      </c>
      <c r="BS4" s="31" t="s">
        <v>336</v>
      </c>
      <c r="BU4">
        <v>4</v>
      </c>
      <c r="BV4" t="str">
        <f>INDEX(BW$1:CF$32,BU4,General!$B$10)</f>
        <v>AHU #</v>
      </c>
      <c r="BW4" s="30" t="s">
        <v>107</v>
      </c>
      <c r="BX4" s="31" t="s">
        <v>137</v>
      </c>
      <c r="BY4" s="31" t="s">
        <v>138</v>
      </c>
      <c r="BZ4" s="31" t="s">
        <v>139</v>
      </c>
      <c r="CA4" s="31" t="s">
        <v>201</v>
      </c>
      <c r="CB4" s="31" t="s">
        <v>255</v>
      </c>
      <c r="CC4" s="31" t="s">
        <v>215</v>
      </c>
      <c r="CD4" s="31" t="s">
        <v>106</v>
      </c>
      <c r="CE4" s="31" t="s">
        <v>237</v>
      </c>
      <c r="CF4" s="32"/>
    </row>
    <row r="5" spans="1:93" x14ac:dyDescent="0.25">
      <c r="B5">
        <v>4</v>
      </c>
      <c r="C5" t="e">
        <f>IF(LOWER(Balancing!D5)="pa",Balancing!F5/1000,INDEX($E$98:$E$103,MATCH(LOWER(Balancing!D5),$D$98:$D$103,0)))</f>
        <v>#N/A</v>
      </c>
      <c r="D5" s="10">
        <f>IF(LOWER(General!$B$8)="pa",Balancing!$F5*SQRT(Balancing!E5)/1000,Balancing!E5*E$104)</f>
        <v>0</v>
      </c>
      <c r="E5" s="10" t="str">
        <f>IF(ISNUMBER(Balancing!H5),IF(LOWER(Balancing!$D5)="pa",$C5*SQRT(Balancing!H5),Balancing!H5*$C5),"-")</f>
        <v>-</v>
      </c>
      <c r="F5" s="14" t="str">
        <f>IF(ISNUMBER(Balancing!H5),IF(LOWER(Balancing!$D5)="pa",$C5*SQRT(Balancing!H5),Balancing!H5*$C5)/$D5,"-")</f>
        <v>-</v>
      </c>
      <c r="G5" s="10" t="str">
        <f>IF(ISNUMBER(Balancing!I5),IF(LOWER(Balancing!$D5)="pa",$C5*SQRT(Balancing!I5),Balancing!I5*$C5)/$D5,"-")</f>
        <v>-</v>
      </c>
      <c r="H5" s="10" t="str">
        <f>IF(ISNUMBER(Balancing!J5),IF(LOWER(Balancing!$D5)="pa",$C5*SQRT(Balancing!J5),Balancing!J5*$C5)/$D5,"-")</f>
        <v>-</v>
      </c>
      <c r="I5" s="10" t="str">
        <f>IF(ISNUMBER(Balancing!K5),IF(LOWER(Balancing!$D5)="pa",$C5*SQRT(Balancing!K5),Balancing!K5*$C5)/$D5,"-")</f>
        <v>-</v>
      </c>
      <c r="J5" s="10" t="str">
        <f>IF(ISNUMBER(Balancing!L5),IF(LOWER(Balancing!$D5)="pa",$C5*SQRT(Balancing!L5),Balancing!L5*$C5)/$D5,"-")</f>
        <v>-</v>
      </c>
      <c r="K5" s="10" t="str">
        <f>IF(ISNUMBER(Balancing!M5),IF(LOWER(Balancing!$D5)="pa",$C5*SQRT(Balancing!M5),Balancing!M5*$C5)/$D5,"-")</f>
        <v>-</v>
      </c>
      <c r="L5" s="10" t="str">
        <f>IF(ISNUMBER(Balancing!N5),IF(LOWER(Balancing!$D5)="pa",$C5*SQRT(Balancing!N5),Balancing!N5*$C5)/$D5,"-")</f>
        <v>-</v>
      </c>
      <c r="M5" s="10" t="str">
        <f>IF(ISNUMBER(Balancing!O5),IF(LOWER(Balancing!$D5)="pa",$C5*SQRT(Balancing!O5),Balancing!O5*$C5)/$D5,"-")</f>
        <v>-</v>
      </c>
      <c r="N5" s="10" t="str">
        <f>IF(ISNUMBER(Balancing!P5),IF(LOWER(Balancing!$D5)="pa",$C5*SQRT(Balancing!P5),Balancing!P5*$C5)/$D5,"-")</f>
        <v>-</v>
      </c>
      <c r="O5" s="10" t="str">
        <f>IF(ISNUMBER(Balancing!Q5),IF(LOWER(Balancing!$D5)="pa",$C5*SQRT(Balancing!Q5),Balancing!Q5*$C5)/$D5,"-")</f>
        <v>-</v>
      </c>
      <c r="P5" s="10" t="str">
        <f>IF(ISNUMBER(Balancing!R5),IF(LOWER(Balancing!$D5)="pa",$C5*SQRT(Balancing!R5),Balancing!R5*$C5)/$D5,"-")</f>
        <v>-</v>
      </c>
      <c r="Q5" s="10" t="str">
        <f>IF(ISNUMBER(Balancing!S5),IF(LOWER(Balancing!$D5)="pa",$C5*SQRT(Balancing!S5),Balancing!S5*$C5)/$D5,"-")</f>
        <v>-</v>
      </c>
      <c r="R5" s="10" t="str">
        <f>IF(ISNUMBER(Balancing!T5),IF(LOWER(Balancing!$D5)="pa",$C5*SQRT(Balancing!T5),Balancing!T5*$C5)/$D5,"-")</f>
        <v>-</v>
      </c>
      <c r="S5" s="10" t="str">
        <f>IF(ISNUMBER(Balancing!U5),IF(LOWER(Balancing!$D5)="pa",$C5*SQRT(Balancing!U5),Balancing!U5*$C5)/$D5,"-")</f>
        <v>-</v>
      </c>
      <c r="T5" s="10" t="str">
        <f>IF(ISNUMBER(Balancing!V5),IF(LOWER(Balancing!$D5)="pa",$C5*SQRT(Balancing!V5),Balancing!V5*$C5)/$D5,"-")</f>
        <v>-</v>
      </c>
      <c r="U5" s="10" t="str">
        <f>IF(ISNUMBER(Balancing!W5),IF(LOWER(Balancing!$D5)="pa",$C5*SQRT(Balancing!W5),Balancing!W5*$C5)/$D5,"-")</f>
        <v>-</v>
      </c>
      <c r="V5" s="10" t="str">
        <f>IF(ISNUMBER(Balancing!X5),IF(LOWER(Balancing!$D5)="pa",$C5*SQRT(Balancing!X5),Balancing!X5*$C5)/$D5,"-")</f>
        <v>-</v>
      </c>
      <c r="W5" s="10" t="str">
        <f>IF(ISNUMBER(Balancing!Y5),IF(LOWER(Balancing!$D5)="pa",$C5*SQRT(Balancing!Y5),Balancing!Y5*$C5)/$D5,"-")</f>
        <v>-</v>
      </c>
      <c r="X5" s="10" t="str">
        <f>IF(ISNUMBER(Balancing!Z5),IF(LOWER(Balancing!$D5)="pa",$C5*SQRT(Balancing!Z5),Balancing!Z5*$C5)/$D5,"-")</f>
        <v>-</v>
      </c>
      <c r="Y5" s="10" t="str">
        <f>IF(ISNUMBER(Balancing!AA5),IF(LOWER(Balancing!$D5)="pa",$C5*SQRT(Balancing!AA5),Balancing!AA5*$C5)/$D5,"-")</f>
        <v>-</v>
      </c>
      <c r="Z5" s="10" t="str">
        <f>IF(ISNUMBER(Balancing!AB5),IF(LOWER(Balancing!$D5)="pa",$C5*SQRT(Balancing!AB5),Balancing!AB5*$C5)/$D5,"-")</f>
        <v>-</v>
      </c>
      <c r="AA5" s="10" t="str">
        <f>IF(ISNUMBER(Balancing!AC5),IF(LOWER(Balancing!$D5)="pa",$C5*SQRT(Balancing!AC5),Balancing!AC5*$C5)/$D5,"-")</f>
        <v>-</v>
      </c>
      <c r="AB5" s="10" t="str">
        <f>IF(ISNUMBER(Balancing!AD5),IF(LOWER(Balancing!$D5)="pa",$C5*SQRT(Balancing!AD5),Balancing!AD5*$C5)/$D5,"-")</f>
        <v>-</v>
      </c>
      <c r="AC5" s="10" t="str">
        <f>IF(ISNUMBER(Balancing!AE5),IF(LOWER(Balancing!$D5)="pa",$C5*SQRT(Balancing!AE5),Balancing!AE5*$C5)/$D5,"-")</f>
        <v>-</v>
      </c>
      <c r="AD5" s="10" t="str">
        <f>IF(ISNUMBER(Balancing!AF5),IF(LOWER(Balancing!$D5)="pa",$C5*SQRT(Balancing!AF5),Balancing!AF5*$C5)/$D5,"-")</f>
        <v>-</v>
      </c>
      <c r="AE5" s="10" t="str">
        <f>IF(ISNUMBER(Balancing!AG5),IF(LOWER(Balancing!$D5)="pa",$C5*SQRT(Balancing!AG5),Balancing!AG5*$C5)/$D5,"-")</f>
        <v>-</v>
      </c>
      <c r="AF5" s="10" t="str">
        <f>IF(ISNUMBER(Balancing!AH5),IF(LOWER(Balancing!$D5)="pa",$C5*SQRT(Balancing!AH5),Balancing!AH5*$C5)/$D5,"-")</f>
        <v>-</v>
      </c>
      <c r="AG5" s="10" t="str">
        <f>IF(ISNUMBER(Balancing!AI5),IF(LOWER(Balancing!$D5)="pa",$C5*SQRT(Balancing!AI5),Balancing!AI5*$C5)/$D5,"-")</f>
        <v>-</v>
      </c>
      <c r="AH5" s="10" t="str">
        <f>IF(ISNUMBER(Balancing!AJ5),IF(LOWER(Balancing!$D5)="pa",$C5*SQRT(Balancing!AJ5),Balancing!AJ5*$C5)/$D5,"-")</f>
        <v>-</v>
      </c>
      <c r="AI5" s="10" t="str">
        <f>IF(ISNUMBER(Balancing!AK5),IF(LOWER(Balancing!$D5)="pa",$C5*SQRT(Balancing!AK5),Balancing!AK5*$C5)/$D5,"-")</f>
        <v>-</v>
      </c>
      <c r="AJ5" s="15" t="str">
        <f>IF(ISNUMBER(Balancing!AL5),IF(LOWER(Balancing!$D5)="pa",$C5*SQRT(Balancing!AL5),Balancing!AL5*$C5)/$D5,"-")</f>
        <v>-</v>
      </c>
      <c r="AL5" s="10" t="b">
        <f>COUNTA(Balancing!D5:AM5)=0</f>
        <v>1</v>
      </c>
      <c r="AM5" s="10" t="b">
        <f>AND(OR(Balancing!D5="",ISERROR(C5)),OR(Balancing!D5&lt;&gt;"",Balancing!E5&lt;&gt;"",Balancing!H5&lt;&gt;""))</f>
        <v>0</v>
      </c>
      <c r="AN5" s="10" t="str">
        <f>IF(ISNUMBER(INDEX(Balancing!$H$2:$AM$51,$B5,$E$65-1)),$B5,"-")</f>
        <v>-</v>
      </c>
      <c r="AO5" s="10" t="str">
        <f>IF(ISNUMBER(INDEX(Balancing!$H$2:$AM$51,$B5,$E$65)),$B5,"-")</f>
        <v>-</v>
      </c>
      <c r="AP5" s="10" t="str">
        <f t="shared" si="7"/>
        <v>-</v>
      </c>
      <c r="AQ5" t="str">
        <f>IF(ISNUMBER(AO5),IF(ABS(INDEX($F$2:$AJ$51,$B5,$E$65)-INDEX($F$2:$AJ$51,E$66,$E$65))/INDEX($F$2:$AJ$51,E$66,$E$65)&gt;General!B$9,B5,"ok"),"-")</f>
        <v>-</v>
      </c>
      <c r="AR5" t="str">
        <f t="shared" si="0"/>
        <v>-</v>
      </c>
      <c r="AS5" t="str">
        <f t="shared" si="1"/>
        <v>-</v>
      </c>
      <c r="AT5" s="10" t="str">
        <f>IF(ISNUMBER(Balancing!H5),B5,"-")</f>
        <v>-</v>
      </c>
      <c r="AU5" t="e">
        <f t="shared" si="2"/>
        <v>#VALUE!</v>
      </c>
      <c r="AV5" s="10" t="e">
        <f>IF(E$97,"OK!",IF(LOWER(Balancing!$D5)="pa",(AU5/C5)^2,AU5/$C5))</f>
        <v>#VALUE!</v>
      </c>
      <c r="AW5" s="19" t="str">
        <f>IF(AL5,".",IF(AM5,BV$24,IF(AND(Balancing!F5="",OR(General!B$8="pa",Balancing!D5="pa")),BV$25,IF(Balancing!E5="",BV$26,IF(E$65=0,BV$27,IF(B5=E$94,BV$28,IF(AND(B5=E$94-1,B5=E$91,AO5&lt;&gt;B5),BV$31,"")))))))</f>
        <v>.</v>
      </c>
      <c r="AX5" s="8" t="str">
        <f t="shared" si="3"/>
        <v>.</v>
      </c>
      <c r="AY5" s="7" t="str">
        <f t="shared" si="4"/>
        <v>.</v>
      </c>
      <c r="BA5" s="21">
        <f t="shared" si="8"/>
        <v>0</v>
      </c>
      <c r="BB5" s="21" t="e">
        <f t="shared" si="9"/>
        <v>#VALUE!</v>
      </c>
      <c r="BC5" t="str">
        <f t="shared" si="5"/>
        <v>-</v>
      </c>
      <c r="BD5" t="str">
        <f t="shared" si="6"/>
        <v>-</v>
      </c>
      <c r="BE5" s="31"/>
      <c r="BF5" s="31" t="s">
        <v>69</v>
      </c>
      <c r="BG5" s="45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6">
        <f>MIN(BD$2:BD$51)</f>
        <v>0</v>
      </c>
      <c r="BS5" s="31" t="s">
        <v>321</v>
      </c>
      <c r="BU5" s="26">
        <v>5</v>
      </c>
      <c r="BV5" t="str">
        <f>INDEX(BW$1:CF$32,BU5,General!$B$10)</f>
        <v>AHU operating point</v>
      </c>
      <c r="BW5" s="30" t="s">
        <v>91</v>
      </c>
      <c r="BX5" s="31" t="s">
        <v>140</v>
      </c>
      <c r="BY5" s="31" t="s">
        <v>32</v>
      </c>
      <c r="BZ5" s="31" t="s">
        <v>141</v>
      </c>
      <c r="CA5" s="31" t="s">
        <v>202</v>
      </c>
      <c r="CB5" s="31" t="s">
        <v>256</v>
      </c>
      <c r="CC5" s="31" t="s">
        <v>216</v>
      </c>
      <c r="CD5" s="31" t="s">
        <v>32</v>
      </c>
      <c r="CE5" s="31" t="s">
        <v>238</v>
      </c>
      <c r="CF5" s="32"/>
    </row>
    <row r="6" spans="1:93" x14ac:dyDescent="0.25">
      <c r="B6">
        <v>5</v>
      </c>
      <c r="C6" t="e">
        <f>IF(LOWER(Balancing!D6)="pa",Balancing!F6/1000,INDEX($E$98:$E$103,MATCH(LOWER(Balancing!D6),$D$98:$D$103,0)))</f>
        <v>#N/A</v>
      </c>
      <c r="D6" s="10">
        <f>IF(LOWER(General!$B$8)="pa",Balancing!$F6*SQRT(Balancing!E6)/1000,Balancing!E6*E$104)</f>
        <v>0</v>
      </c>
      <c r="E6" s="10" t="str">
        <f>IF(ISNUMBER(Balancing!H6),IF(LOWER(Balancing!$D6)="pa",$C6*SQRT(Balancing!H6),Balancing!H6*$C6),"-")</f>
        <v>-</v>
      </c>
      <c r="F6" s="14" t="str">
        <f>IF(ISNUMBER(Balancing!H6),IF(LOWER(Balancing!$D6)="pa",$C6*SQRT(Balancing!H6),Balancing!H6*$C6)/$D6,"-")</f>
        <v>-</v>
      </c>
      <c r="G6" s="10" t="str">
        <f>IF(ISNUMBER(Balancing!I6),IF(LOWER(Balancing!$D6)="pa",$C6*SQRT(Balancing!I6),Balancing!I6*$C6)/$D6,"-")</f>
        <v>-</v>
      </c>
      <c r="H6" s="10" t="str">
        <f>IF(ISNUMBER(Balancing!J6),IF(LOWER(Balancing!$D6)="pa",$C6*SQRT(Balancing!J6),Balancing!J6*$C6)/$D6,"-")</f>
        <v>-</v>
      </c>
      <c r="I6" s="10" t="str">
        <f>IF(ISNUMBER(Balancing!K6),IF(LOWER(Balancing!$D6)="pa",$C6*SQRT(Balancing!K6),Balancing!K6*$C6)/$D6,"-")</f>
        <v>-</v>
      </c>
      <c r="J6" s="10" t="str">
        <f>IF(ISNUMBER(Balancing!L6),IF(LOWER(Balancing!$D6)="pa",$C6*SQRT(Balancing!L6),Balancing!L6*$C6)/$D6,"-")</f>
        <v>-</v>
      </c>
      <c r="K6" s="10" t="str">
        <f>IF(ISNUMBER(Balancing!M6),IF(LOWER(Balancing!$D6)="pa",$C6*SQRT(Balancing!M6),Balancing!M6*$C6)/$D6,"-")</f>
        <v>-</v>
      </c>
      <c r="L6" s="10" t="str">
        <f>IF(ISNUMBER(Balancing!N6),IF(LOWER(Balancing!$D6)="pa",$C6*SQRT(Balancing!N6),Balancing!N6*$C6)/$D6,"-")</f>
        <v>-</v>
      </c>
      <c r="M6" s="10" t="str">
        <f>IF(ISNUMBER(Balancing!O6),IF(LOWER(Balancing!$D6)="pa",$C6*SQRT(Balancing!O6),Balancing!O6*$C6)/$D6,"-")</f>
        <v>-</v>
      </c>
      <c r="N6" s="10" t="str">
        <f>IF(ISNUMBER(Balancing!P6),IF(LOWER(Balancing!$D6)="pa",$C6*SQRT(Balancing!P6),Balancing!P6*$C6)/$D6,"-")</f>
        <v>-</v>
      </c>
      <c r="O6" s="10" t="str">
        <f>IF(ISNUMBER(Balancing!Q6),IF(LOWER(Balancing!$D6)="pa",$C6*SQRT(Balancing!Q6),Balancing!Q6*$C6)/$D6,"-")</f>
        <v>-</v>
      </c>
      <c r="P6" s="10" t="str">
        <f>IF(ISNUMBER(Balancing!R6),IF(LOWER(Balancing!$D6)="pa",$C6*SQRT(Balancing!R6),Balancing!R6*$C6)/$D6,"-")</f>
        <v>-</v>
      </c>
      <c r="Q6" s="10" t="str">
        <f>IF(ISNUMBER(Balancing!S6),IF(LOWER(Balancing!$D6)="pa",$C6*SQRT(Balancing!S6),Balancing!S6*$C6)/$D6,"-")</f>
        <v>-</v>
      </c>
      <c r="R6" s="10" t="str">
        <f>IF(ISNUMBER(Balancing!T6),IF(LOWER(Balancing!$D6)="pa",$C6*SQRT(Balancing!T6),Balancing!T6*$C6)/$D6,"-")</f>
        <v>-</v>
      </c>
      <c r="S6" s="10" t="str">
        <f>IF(ISNUMBER(Balancing!U6),IF(LOWER(Balancing!$D6)="pa",$C6*SQRT(Balancing!U6),Balancing!U6*$C6)/$D6,"-")</f>
        <v>-</v>
      </c>
      <c r="T6" s="10" t="str">
        <f>IF(ISNUMBER(Balancing!V6),IF(LOWER(Balancing!$D6)="pa",$C6*SQRT(Balancing!V6),Balancing!V6*$C6)/$D6,"-")</f>
        <v>-</v>
      </c>
      <c r="U6" s="10" t="str">
        <f>IF(ISNUMBER(Balancing!W6),IF(LOWER(Balancing!$D6)="pa",$C6*SQRT(Balancing!W6),Balancing!W6*$C6)/$D6,"-")</f>
        <v>-</v>
      </c>
      <c r="V6" s="10" t="str">
        <f>IF(ISNUMBER(Balancing!X6),IF(LOWER(Balancing!$D6)="pa",$C6*SQRT(Balancing!X6),Balancing!X6*$C6)/$D6,"-")</f>
        <v>-</v>
      </c>
      <c r="W6" s="10" t="str">
        <f>IF(ISNUMBER(Balancing!Y6),IF(LOWER(Balancing!$D6)="pa",$C6*SQRT(Balancing!Y6),Balancing!Y6*$C6)/$D6,"-")</f>
        <v>-</v>
      </c>
      <c r="X6" s="10" t="str">
        <f>IF(ISNUMBER(Balancing!Z6),IF(LOWER(Balancing!$D6)="pa",$C6*SQRT(Balancing!Z6),Balancing!Z6*$C6)/$D6,"-")</f>
        <v>-</v>
      </c>
      <c r="Y6" s="10" t="str">
        <f>IF(ISNUMBER(Balancing!AA6),IF(LOWER(Balancing!$D6)="pa",$C6*SQRT(Balancing!AA6),Balancing!AA6*$C6)/$D6,"-")</f>
        <v>-</v>
      </c>
      <c r="Z6" s="10" t="str">
        <f>IF(ISNUMBER(Balancing!AB6),IF(LOWER(Balancing!$D6)="pa",$C6*SQRT(Balancing!AB6),Balancing!AB6*$C6)/$D6,"-")</f>
        <v>-</v>
      </c>
      <c r="AA6" s="10" t="str">
        <f>IF(ISNUMBER(Balancing!AC6),IF(LOWER(Balancing!$D6)="pa",$C6*SQRT(Balancing!AC6),Balancing!AC6*$C6)/$D6,"-")</f>
        <v>-</v>
      </c>
      <c r="AB6" s="10" t="str">
        <f>IF(ISNUMBER(Balancing!AD6),IF(LOWER(Balancing!$D6)="pa",$C6*SQRT(Balancing!AD6),Balancing!AD6*$C6)/$D6,"-")</f>
        <v>-</v>
      </c>
      <c r="AC6" s="10" t="str">
        <f>IF(ISNUMBER(Balancing!AE6),IF(LOWER(Balancing!$D6)="pa",$C6*SQRT(Balancing!AE6),Balancing!AE6*$C6)/$D6,"-")</f>
        <v>-</v>
      </c>
      <c r="AD6" s="10" t="str">
        <f>IF(ISNUMBER(Balancing!AF6),IF(LOWER(Balancing!$D6)="pa",$C6*SQRT(Balancing!AF6),Balancing!AF6*$C6)/$D6,"-")</f>
        <v>-</v>
      </c>
      <c r="AE6" s="10" t="str">
        <f>IF(ISNUMBER(Balancing!AG6),IF(LOWER(Balancing!$D6)="pa",$C6*SQRT(Balancing!AG6),Balancing!AG6*$C6)/$D6,"-")</f>
        <v>-</v>
      </c>
      <c r="AF6" s="10" t="str">
        <f>IF(ISNUMBER(Balancing!AH6),IF(LOWER(Balancing!$D6)="pa",$C6*SQRT(Balancing!AH6),Balancing!AH6*$C6)/$D6,"-")</f>
        <v>-</v>
      </c>
      <c r="AG6" s="10" t="str">
        <f>IF(ISNUMBER(Balancing!AI6),IF(LOWER(Balancing!$D6)="pa",$C6*SQRT(Balancing!AI6),Balancing!AI6*$C6)/$D6,"-")</f>
        <v>-</v>
      </c>
      <c r="AH6" s="10" t="str">
        <f>IF(ISNUMBER(Balancing!AJ6),IF(LOWER(Balancing!$D6)="pa",$C6*SQRT(Balancing!AJ6),Balancing!AJ6*$C6)/$D6,"-")</f>
        <v>-</v>
      </c>
      <c r="AI6" s="10" t="str">
        <f>IF(ISNUMBER(Balancing!AK6),IF(LOWER(Balancing!$D6)="pa",$C6*SQRT(Balancing!AK6),Balancing!AK6*$C6)/$D6,"-")</f>
        <v>-</v>
      </c>
      <c r="AJ6" s="15" t="str">
        <f>IF(ISNUMBER(Balancing!AL6),IF(LOWER(Balancing!$D6)="pa",$C6*SQRT(Balancing!AL6),Balancing!AL6*$C6)/$D6,"-")</f>
        <v>-</v>
      </c>
      <c r="AL6" s="10" t="b">
        <f>COUNTA(Balancing!D6:AM6)=0</f>
        <v>1</v>
      </c>
      <c r="AM6" s="10" t="b">
        <f>AND(OR(Balancing!D6="",ISERROR(C6)),OR(Balancing!D6&lt;&gt;"",Balancing!E6&lt;&gt;"",Balancing!H6&lt;&gt;""))</f>
        <v>0</v>
      </c>
      <c r="AN6" s="10" t="str">
        <f>IF(ISNUMBER(INDEX(Balancing!$H$2:$AM$51,$B6,$E$65-1)),$B6,"-")</f>
        <v>-</v>
      </c>
      <c r="AO6" s="10" t="str">
        <f>IF(ISNUMBER(INDEX(Balancing!$H$2:$AM$51,$B6,$E$65)),$B6,"-")</f>
        <v>-</v>
      </c>
      <c r="AP6" s="10" t="str">
        <f t="shared" si="7"/>
        <v>-</v>
      </c>
      <c r="AQ6" t="str">
        <f>IF(ISNUMBER(AO6),IF(ABS(INDEX($F$2:$AJ$51,$B6,$E$65)-INDEX($F$2:$AJ$51,E$66,$E$65))/INDEX($F$2:$AJ$51,E$66,$E$65)&gt;General!B$9,B6,"ok"),"-")</f>
        <v>-</v>
      </c>
      <c r="AR6" t="str">
        <f t="shared" si="0"/>
        <v>-</v>
      </c>
      <c r="AS6" t="str">
        <f t="shared" si="1"/>
        <v>-</v>
      </c>
      <c r="AT6" s="10" t="str">
        <f>IF(ISNUMBER(Balancing!H6),B6,"-")</f>
        <v>-</v>
      </c>
      <c r="AU6" t="e">
        <f t="shared" si="2"/>
        <v>#VALUE!</v>
      </c>
      <c r="AV6" s="10" t="e">
        <f>IF(E$97,"OK!",IF(LOWER(Balancing!$D6)="pa",(AU6/C6)^2,AU6/$C6))</f>
        <v>#VALUE!</v>
      </c>
      <c r="AW6" s="19" t="str">
        <f>IF(AL6,".",IF(AM6,BV$24,IF(AND(Balancing!F6="",OR(General!B$8="pa",Balancing!D6="pa")),BV$25,IF(Balancing!E6="",BV$26,IF(E$65=0,BV$27,IF(B6=E$94,BV$28,IF(AND(B6=E$94-1,B6=E$91,AO6&lt;&gt;B6),BV$31,"")))))))</f>
        <v>.</v>
      </c>
      <c r="AX6" s="8" t="str">
        <f t="shared" si="3"/>
        <v>.</v>
      </c>
      <c r="AY6" s="7" t="str">
        <f t="shared" si="4"/>
        <v>.</v>
      </c>
      <c r="BA6" s="21">
        <f t="shared" si="8"/>
        <v>0</v>
      </c>
      <c r="BB6" s="21" t="e">
        <f t="shared" si="9"/>
        <v>#VALUE!</v>
      </c>
      <c r="BC6" t="str">
        <f t="shared" si="5"/>
        <v>-</v>
      </c>
      <c r="BD6" t="str">
        <f t="shared" si="6"/>
        <v>-</v>
      </c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51" t="e">
        <f>IF(E86,E$82,IF(E$65=1,BR$2,IF($E$69&lt;=$E$91,BR3,IF(ISNUMBER(BR$4),BR4,BR5))))</f>
        <v>#VALUE!</v>
      </c>
      <c r="BS6" s="31" t="s">
        <v>320</v>
      </c>
      <c r="BU6">
        <v>6</v>
      </c>
      <c r="BV6" t="str">
        <f>INDEX(BW$1:CF$32,BU6,General!$B$10)</f>
        <v>Date balanced</v>
      </c>
      <c r="BW6" s="30" t="s">
        <v>92</v>
      </c>
      <c r="BX6" s="31" t="s">
        <v>142</v>
      </c>
      <c r="BY6" s="31" t="s">
        <v>29</v>
      </c>
      <c r="BZ6" s="31" t="s">
        <v>142</v>
      </c>
      <c r="CA6" s="31" t="s">
        <v>143</v>
      </c>
      <c r="CB6" s="31" t="s">
        <v>144</v>
      </c>
      <c r="CC6" s="31" t="s">
        <v>145</v>
      </c>
      <c r="CD6" s="31" t="s">
        <v>29</v>
      </c>
      <c r="CE6" s="31" t="s">
        <v>239</v>
      </c>
      <c r="CF6" s="32"/>
    </row>
    <row r="7" spans="1:93" x14ac:dyDescent="0.25">
      <c r="B7">
        <v>6</v>
      </c>
      <c r="C7" t="e">
        <f>IF(LOWER(Balancing!D7)="pa",Balancing!F7/1000,INDEX($E$98:$E$103,MATCH(LOWER(Balancing!D7),$D$98:$D$103,0)))</f>
        <v>#N/A</v>
      </c>
      <c r="D7" s="10">
        <f>IF(LOWER(General!$B$8)="pa",Balancing!$F7*SQRT(Balancing!E7)/1000,Balancing!E7*E$104)</f>
        <v>0</v>
      </c>
      <c r="E7" s="10" t="str">
        <f>IF(ISNUMBER(Balancing!H7),IF(LOWER(Balancing!$D7)="pa",$C7*SQRT(Balancing!H7),Balancing!H7*$C7),"-")</f>
        <v>-</v>
      </c>
      <c r="F7" s="14" t="str">
        <f>IF(ISNUMBER(Balancing!H7),IF(LOWER(Balancing!$D7)="pa",$C7*SQRT(Balancing!H7),Balancing!H7*$C7)/$D7,"-")</f>
        <v>-</v>
      </c>
      <c r="G7" s="10" t="str">
        <f>IF(ISNUMBER(Balancing!I7),IF(LOWER(Balancing!$D7)="pa",$C7*SQRT(Balancing!I7),Balancing!I7*$C7)/$D7,"-")</f>
        <v>-</v>
      </c>
      <c r="H7" s="10" t="str">
        <f>IF(ISNUMBER(Balancing!J7),IF(LOWER(Balancing!$D7)="pa",$C7*SQRT(Balancing!J7),Balancing!J7*$C7)/$D7,"-")</f>
        <v>-</v>
      </c>
      <c r="I7" s="10" t="str">
        <f>IF(ISNUMBER(Balancing!K7),IF(LOWER(Balancing!$D7)="pa",$C7*SQRT(Balancing!K7),Balancing!K7*$C7)/$D7,"-")</f>
        <v>-</v>
      </c>
      <c r="J7" s="10" t="str">
        <f>IF(ISNUMBER(Balancing!L7),IF(LOWER(Balancing!$D7)="pa",$C7*SQRT(Balancing!L7),Balancing!L7*$C7)/$D7,"-")</f>
        <v>-</v>
      </c>
      <c r="K7" s="10" t="str">
        <f>IF(ISNUMBER(Balancing!M7),IF(LOWER(Balancing!$D7)="pa",$C7*SQRT(Balancing!M7),Balancing!M7*$C7)/$D7,"-")</f>
        <v>-</v>
      </c>
      <c r="L7" s="10" t="str">
        <f>IF(ISNUMBER(Balancing!N7),IF(LOWER(Balancing!$D7)="pa",$C7*SQRT(Balancing!N7),Balancing!N7*$C7)/$D7,"-")</f>
        <v>-</v>
      </c>
      <c r="M7" s="10" t="str">
        <f>IF(ISNUMBER(Balancing!O7),IF(LOWER(Balancing!$D7)="pa",$C7*SQRT(Balancing!O7),Balancing!O7*$C7)/$D7,"-")</f>
        <v>-</v>
      </c>
      <c r="N7" s="10" t="str">
        <f>IF(ISNUMBER(Balancing!P7),IF(LOWER(Balancing!$D7)="pa",$C7*SQRT(Balancing!P7),Balancing!P7*$C7)/$D7,"-")</f>
        <v>-</v>
      </c>
      <c r="O7" s="10" t="str">
        <f>IF(ISNUMBER(Balancing!Q7),IF(LOWER(Balancing!$D7)="pa",$C7*SQRT(Balancing!Q7),Balancing!Q7*$C7)/$D7,"-")</f>
        <v>-</v>
      </c>
      <c r="P7" s="10" t="str">
        <f>IF(ISNUMBER(Balancing!R7),IF(LOWER(Balancing!$D7)="pa",$C7*SQRT(Balancing!R7),Balancing!R7*$C7)/$D7,"-")</f>
        <v>-</v>
      </c>
      <c r="Q7" s="10" t="str">
        <f>IF(ISNUMBER(Balancing!S7),IF(LOWER(Balancing!$D7)="pa",$C7*SQRT(Balancing!S7),Balancing!S7*$C7)/$D7,"-")</f>
        <v>-</v>
      </c>
      <c r="R7" s="10" t="str">
        <f>IF(ISNUMBER(Balancing!T7),IF(LOWER(Balancing!$D7)="pa",$C7*SQRT(Balancing!T7),Balancing!T7*$C7)/$D7,"-")</f>
        <v>-</v>
      </c>
      <c r="S7" s="10" t="str">
        <f>IF(ISNUMBER(Balancing!U7),IF(LOWER(Balancing!$D7)="pa",$C7*SQRT(Balancing!U7),Balancing!U7*$C7)/$D7,"-")</f>
        <v>-</v>
      </c>
      <c r="T7" s="10" t="str">
        <f>IF(ISNUMBER(Balancing!V7),IF(LOWER(Balancing!$D7)="pa",$C7*SQRT(Balancing!V7),Balancing!V7*$C7)/$D7,"-")</f>
        <v>-</v>
      </c>
      <c r="U7" s="10" t="str">
        <f>IF(ISNUMBER(Balancing!W7),IF(LOWER(Balancing!$D7)="pa",$C7*SQRT(Balancing!W7),Balancing!W7*$C7)/$D7,"-")</f>
        <v>-</v>
      </c>
      <c r="V7" s="10" t="str">
        <f>IF(ISNUMBER(Balancing!X7),IF(LOWER(Balancing!$D7)="pa",$C7*SQRT(Balancing!X7),Balancing!X7*$C7)/$D7,"-")</f>
        <v>-</v>
      </c>
      <c r="W7" s="10" t="str">
        <f>IF(ISNUMBER(Balancing!Y7),IF(LOWER(Balancing!$D7)="pa",$C7*SQRT(Balancing!Y7),Balancing!Y7*$C7)/$D7,"-")</f>
        <v>-</v>
      </c>
      <c r="X7" s="10" t="str">
        <f>IF(ISNUMBER(Balancing!Z7),IF(LOWER(Balancing!$D7)="pa",$C7*SQRT(Balancing!Z7),Balancing!Z7*$C7)/$D7,"-")</f>
        <v>-</v>
      </c>
      <c r="Y7" s="10" t="str">
        <f>IF(ISNUMBER(Balancing!AA7),IF(LOWER(Balancing!$D7)="pa",$C7*SQRT(Balancing!AA7),Balancing!AA7*$C7)/$D7,"-")</f>
        <v>-</v>
      </c>
      <c r="Z7" s="10" t="str">
        <f>IF(ISNUMBER(Balancing!AB7),IF(LOWER(Balancing!$D7)="pa",$C7*SQRT(Balancing!AB7),Balancing!AB7*$C7)/$D7,"-")</f>
        <v>-</v>
      </c>
      <c r="AA7" s="10" t="str">
        <f>IF(ISNUMBER(Balancing!AC7),IF(LOWER(Balancing!$D7)="pa",$C7*SQRT(Balancing!AC7),Balancing!AC7*$C7)/$D7,"-")</f>
        <v>-</v>
      </c>
      <c r="AB7" s="10" t="str">
        <f>IF(ISNUMBER(Balancing!AD7),IF(LOWER(Balancing!$D7)="pa",$C7*SQRT(Balancing!AD7),Balancing!AD7*$C7)/$D7,"-")</f>
        <v>-</v>
      </c>
      <c r="AC7" s="10" t="str">
        <f>IF(ISNUMBER(Balancing!AE7),IF(LOWER(Balancing!$D7)="pa",$C7*SQRT(Balancing!AE7),Balancing!AE7*$C7)/$D7,"-")</f>
        <v>-</v>
      </c>
      <c r="AD7" s="10" t="str">
        <f>IF(ISNUMBER(Balancing!AF7),IF(LOWER(Balancing!$D7)="pa",$C7*SQRT(Balancing!AF7),Balancing!AF7*$C7)/$D7,"-")</f>
        <v>-</v>
      </c>
      <c r="AE7" s="10" t="str">
        <f>IF(ISNUMBER(Balancing!AG7),IF(LOWER(Balancing!$D7)="pa",$C7*SQRT(Balancing!AG7),Balancing!AG7*$C7)/$D7,"-")</f>
        <v>-</v>
      </c>
      <c r="AF7" s="10" t="str">
        <f>IF(ISNUMBER(Balancing!AH7),IF(LOWER(Balancing!$D7)="pa",$C7*SQRT(Balancing!AH7),Balancing!AH7*$C7)/$D7,"-")</f>
        <v>-</v>
      </c>
      <c r="AG7" s="10" t="str">
        <f>IF(ISNUMBER(Balancing!AI7),IF(LOWER(Balancing!$D7)="pa",$C7*SQRT(Balancing!AI7),Balancing!AI7*$C7)/$D7,"-")</f>
        <v>-</v>
      </c>
      <c r="AH7" s="10" t="str">
        <f>IF(ISNUMBER(Balancing!AJ7),IF(LOWER(Balancing!$D7)="pa",$C7*SQRT(Balancing!AJ7),Balancing!AJ7*$C7)/$D7,"-")</f>
        <v>-</v>
      </c>
      <c r="AI7" s="10" t="str">
        <f>IF(ISNUMBER(Balancing!AK7),IF(LOWER(Balancing!$D7)="pa",$C7*SQRT(Balancing!AK7),Balancing!AK7*$C7)/$D7,"-")</f>
        <v>-</v>
      </c>
      <c r="AJ7" s="15" t="str">
        <f>IF(ISNUMBER(Balancing!AL7),IF(LOWER(Balancing!$D7)="pa",$C7*SQRT(Balancing!AL7),Balancing!AL7*$C7)/$D7,"-")</f>
        <v>-</v>
      </c>
      <c r="AL7" s="10" t="b">
        <f>COUNTA(Balancing!D7:AM7)=0</f>
        <v>1</v>
      </c>
      <c r="AM7" s="10" t="b">
        <f>AND(OR(Balancing!D7="",ISERROR(C7)),OR(Balancing!D7&lt;&gt;"",Balancing!E7&lt;&gt;"",Balancing!H7&lt;&gt;""))</f>
        <v>0</v>
      </c>
      <c r="AN7" s="10" t="str">
        <f>IF(ISNUMBER(INDEX(Balancing!$H$2:$AM$51,$B7,$E$65-1)),$B7,"-")</f>
        <v>-</v>
      </c>
      <c r="AO7" s="10" t="str">
        <f>IF(ISNUMBER(INDEX(Balancing!$H$2:$AM$51,$B7,$E$65)),$B7,"-")</f>
        <v>-</v>
      </c>
      <c r="AP7" s="10" t="str">
        <f t="shared" si="7"/>
        <v>-</v>
      </c>
      <c r="AQ7" t="str">
        <f>IF(ISNUMBER(AO7),IF(ABS(INDEX($F$2:$AJ$51,$B7,$E$65)-INDEX($F$2:$AJ$51,E$66,$E$65))/INDEX($F$2:$AJ$51,E$66,$E$65)&gt;General!B$9,B7,"ok"),"-")</f>
        <v>-</v>
      </c>
      <c r="AR7" t="str">
        <f t="shared" si="0"/>
        <v>-</v>
      </c>
      <c r="AS7" t="str">
        <f t="shared" si="1"/>
        <v>-</v>
      </c>
      <c r="AT7" s="10" t="str">
        <f>IF(ISNUMBER(Balancing!H7),B7,"-")</f>
        <v>-</v>
      </c>
      <c r="AU7" t="e">
        <f t="shared" si="2"/>
        <v>#VALUE!</v>
      </c>
      <c r="AV7" s="10" t="e">
        <f>IF(E$97,"OK!",IF(LOWER(Balancing!$D7)="pa",(AU7/C7)^2,AU7/$C7))</f>
        <v>#VALUE!</v>
      </c>
      <c r="AW7" s="19" t="str">
        <f>IF(AL7,".",IF(AM7,BV$24,IF(AND(Balancing!F7="",OR(General!B$8="pa",Balancing!D7="pa")),BV$25,IF(Balancing!E7="",BV$26,IF(E$65=0,BV$27,IF(B7=E$94,BV$28,IF(AND(B7=E$94-1,B7=E$91,AO7&lt;&gt;B7),BV$31,"")))))))</f>
        <v>.</v>
      </c>
      <c r="AX7" s="8" t="str">
        <f t="shared" si="3"/>
        <v>.</v>
      </c>
      <c r="AY7" s="7" t="str">
        <f t="shared" si="4"/>
        <v>.</v>
      </c>
      <c r="BA7" s="21">
        <f t="shared" si="8"/>
        <v>0</v>
      </c>
      <c r="BB7" s="21" t="e">
        <f t="shared" si="9"/>
        <v>#VALUE!</v>
      </c>
      <c r="BC7" t="str">
        <f t="shared" si="5"/>
        <v>-</v>
      </c>
      <c r="BD7" t="str">
        <f t="shared" si="6"/>
        <v>-</v>
      </c>
      <c r="BG7" t="e">
        <f>AVERAGE(BD2:BD4)</f>
        <v>#DIV/0!</v>
      </c>
      <c r="BH7" t="e">
        <f>((BG7*BH4)+BG8)/BH2</f>
        <v>#DIV/0!</v>
      </c>
      <c r="BI7" t="e">
        <f>(BG7+BH7)/2</f>
        <v>#DIV/0!</v>
      </c>
      <c r="BU7" s="26">
        <v>7</v>
      </c>
      <c r="BV7" t="str">
        <f>INDEX(BW$1:CF$32,BU7,General!$B$10)</f>
        <v>Balanced by</v>
      </c>
      <c r="BW7" s="30" t="s">
        <v>93</v>
      </c>
      <c r="BX7" s="31" t="s">
        <v>146</v>
      </c>
      <c r="BY7" s="31" t="s">
        <v>31</v>
      </c>
      <c r="BZ7" s="31" t="s">
        <v>147</v>
      </c>
      <c r="CA7" s="31" t="s">
        <v>203</v>
      </c>
      <c r="CB7" s="31" t="s">
        <v>257</v>
      </c>
      <c r="CC7" s="31" t="s">
        <v>217</v>
      </c>
      <c r="CD7" s="31" t="s">
        <v>31</v>
      </c>
      <c r="CE7" s="31" t="s">
        <v>240</v>
      </c>
      <c r="CF7" s="32"/>
    </row>
    <row r="8" spans="1:93" x14ac:dyDescent="0.25">
      <c r="B8">
        <v>7</v>
      </c>
      <c r="C8" t="e">
        <f>IF(LOWER(Balancing!D8)="pa",Balancing!F8/1000,INDEX($E$98:$E$103,MATCH(LOWER(Balancing!D8),$D$98:$D$103,0)))</f>
        <v>#N/A</v>
      </c>
      <c r="D8" s="10">
        <f>IF(LOWER(General!$B$8)="pa",Balancing!$F8*SQRT(Balancing!E8)/1000,Balancing!E8*E$104)</f>
        <v>0</v>
      </c>
      <c r="E8" s="10" t="str">
        <f>IF(ISNUMBER(Balancing!H8),IF(LOWER(Balancing!$D8)="pa",$C8*SQRT(Balancing!H8),Balancing!H8*$C8),"-")</f>
        <v>-</v>
      </c>
      <c r="F8" s="14" t="str">
        <f>IF(ISNUMBER(Balancing!H8),IF(LOWER(Balancing!$D8)="pa",$C8*SQRT(Balancing!H8),Balancing!H8*$C8)/$D8,"-")</f>
        <v>-</v>
      </c>
      <c r="G8" s="10" t="str">
        <f>IF(ISNUMBER(Balancing!I8),IF(LOWER(Balancing!$D8)="pa",$C8*SQRT(Balancing!I8),Balancing!I8*$C8)/$D8,"-")</f>
        <v>-</v>
      </c>
      <c r="H8" s="10" t="str">
        <f>IF(ISNUMBER(Balancing!J8),IF(LOWER(Balancing!$D8)="pa",$C8*SQRT(Balancing!J8),Balancing!J8*$C8)/$D8,"-")</f>
        <v>-</v>
      </c>
      <c r="I8" s="10" t="str">
        <f>IF(ISNUMBER(Balancing!K8),IF(LOWER(Balancing!$D8)="pa",$C8*SQRT(Balancing!K8),Balancing!K8*$C8)/$D8,"-")</f>
        <v>-</v>
      </c>
      <c r="J8" s="10" t="str">
        <f>IF(ISNUMBER(Balancing!L8),IF(LOWER(Balancing!$D8)="pa",$C8*SQRT(Balancing!L8),Balancing!L8*$C8)/$D8,"-")</f>
        <v>-</v>
      </c>
      <c r="K8" s="10" t="str">
        <f>IF(ISNUMBER(Balancing!M8),IF(LOWER(Balancing!$D8)="pa",$C8*SQRT(Balancing!M8),Balancing!M8*$C8)/$D8,"-")</f>
        <v>-</v>
      </c>
      <c r="L8" s="10" t="str">
        <f>IF(ISNUMBER(Balancing!N8),IF(LOWER(Balancing!$D8)="pa",$C8*SQRT(Balancing!N8),Balancing!N8*$C8)/$D8,"-")</f>
        <v>-</v>
      </c>
      <c r="M8" s="10" t="str">
        <f>IF(ISNUMBER(Balancing!O8),IF(LOWER(Balancing!$D8)="pa",$C8*SQRT(Balancing!O8),Balancing!O8*$C8)/$D8,"-")</f>
        <v>-</v>
      </c>
      <c r="N8" s="10" t="str">
        <f>IF(ISNUMBER(Balancing!P8),IF(LOWER(Balancing!$D8)="pa",$C8*SQRT(Balancing!P8),Balancing!P8*$C8)/$D8,"-")</f>
        <v>-</v>
      </c>
      <c r="O8" s="10" t="str">
        <f>IF(ISNUMBER(Balancing!Q8),IF(LOWER(Balancing!$D8)="pa",$C8*SQRT(Balancing!Q8),Balancing!Q8*$C8)/$D8,"-")</f>
        <v>-</v>
      </c>
      <c r="P8" s="10" t="str">
        <f>IF(ISNUMBER(Balancing!R8),IF(LOWER(Balancing!$D8)="pa",$C8*SQRT(Balancing!R8),Balancing!R8*$C8)/$D8,"-")</f>
        <v>-</v>
      </c>
      <c r="Q8" s="10" t="str">
        <f>IF(ISNUMBER(Balancing!S8),IF(LOWER(Balancing!$D8)="pa",$C8*SQRT(Balancing!S8),Balancing!S8*$C8)/$D8,"-")</f>
        <v>-</v>
      </c>
      <c r="R8" s="10" t="str">
        <f>IF(ISNUMBER(Balancing!T8),IF(LOWER(Balancing!$D8)="pa",$C8*SQRT(Balancing!T8),Balancing!T8*$C8)/$D8,"-")</f>
        <v>-</v>
      </c>
      <c r="S8" s="10" t="str">
        <f>IF(ISNUMBER(Balancing!U8),IF(LOWER(Balancing!$D8)="pa",$C8*SQRT(Balancing!U8),Balancing!U8*$C8)/$D8,"-")</f>
        <v>-</v>
      </c>
      <c r="T8" s="10" t="str">
        <f>IF(ISNUMBER(Balancing!V8),IF(LOWER(Balancing!$D8)="pa",$C8*SQRT(Balancing!V8),Balancing!V8*$C8)/$D8,"-")</f>
        <v>-</v>
      </c>
      <c r="U8" s="10" t="str">
        <f>IF(ISNUMBER(Balancing!W8),IF(LOWER(Balancing!$D8)="pa",$C8*SQRT(Balancing!W8),Balancing!W8*$C8)/$D8,"-")</f>
        <v>-</v>
      </c>
      <c r="V8" s="10" t="str">
        <f>IF(ISNUMBER(Balancing!X8),IF(LOWER(Balancing!$D8)="pa",$C8*SQRT(Balancing!X8),Balancing!X8*$C8)/$D8,"-")</f>
        <v>-</v>
      </c>
      <c r="W8" s="10" t="str">
        <f>IF(ISNUMBER(Balancing!Y8),IF(LOWER(Balancing!$D8)="pa",$C8*SQRT(Balancing!Y8),Balancing!Y8*$C8)/$D8,"-")</f>
        <v>-</v>
      </c>
      <c r="X8" s="10" t="str">
        <f>IF(ISNUMBER(Balancing!Z8),IF(LOWER(Balancing!$D8)="pa",$C8*SQRT(Balancing!Z8),Balancing!Z8*$C8)/$D8,"-")</f>
        <v>-</v>
      </c>
      <c r="Y8" s="10" t="str">
        <f>IF(ISNUMBER(Balancing!AA8),IF(LOWER(Balancing!$D8)="pa",$C8*SQRT(Balancing!AA8),Balancing!AA8*$C8)/$D8,"-")</f>
        <v>-</v>
      </c>
      <c r="Z8" s="10" t="str">
        <f>IF(ISNUMBER(Balancing!AB8),IF(LOWER(Balancing!$D8)="pa",$C8*SQRT(Balancing!AB8),Balancing!AB8*$C8)/$D8,"-")</f>
        <v>-</v>
      </c>
      <c r="AA8" s="10" t="str">
        <f>IF(ISNUMBER(Balancing!AC8),IF(LOWER(Balancing!$D8)="pa",$C8*SQRT(Balancing!AC8),Balancing!AC8*$C8)/$D8,"-")</f>
        <v>-</v>
      </c>
      <c r="AB8" s="10" t="str">
        <f>IF(ISNUMBER(Balancing!AD8),IF(LOWER(Balancing!$D8)="pa",$C8*SQRT(Balancing!AD8),Balancing!AD8*$C8)/$D8,"-")</f>
        <v>-</v>
      </c>
      <c r="AC8" s="10" t="str">
        <f>IF(ISNUMBER(Balancing!AE8),IF(LOWER(Balancing!$D8)="pa",$C8*SQRT(Balancing!AE8),Balancing!AE8*$C8)/$D8,"-")</f>
        <v>-</v>
      </c>
      <c r="AD8" s="10" t="str">
        <f>IF(ISNUMBER(Balancing!AF8),IF(LOWER(Balancing!$D8)="pa",$C8*SQRT(Balancing!AF8),Balancing!AF8*$C8)/$D8,"-")</f>
        <v>-</v>
      </c>
      <c r="AE8" s="10" t="str">
        <f>IF(ISNUMBER(Balancing!AG8),IF(LOWER(Balancing!$D8)="pa",$C8*SQRT(Balancing!AG8),Balancing!AG8*$C8)/$D8,"-")</f>
        <v>-</v>
      </c>
      <c r="AF8" s="10" t="str">
        <f>IF(ISNUMBER(Balancing!AH8),IF(LOWER(Balancing!$D8)="pa",$C8*SQRT(Balancing!AH8),Balancing!AH8*$C8)/$D8,"-")</f>
        <v>-</v>
      </c>
      <c r="AG8" s="10" t="str">
        <f>IF(ISNUMBER(Balancing!AI8),IF(LOWER(Balancing!$D8)="pa",$C8*SQRT(Balancing!AI8),Balancing!AI8*$C8)/$D8,"-")</f>
        <v>-</v>
      </c>
      <c r="AH8" s="10" t="str">
        <f>IF(ISNUMBER(Balancing!AJ8),IF(LOWER(Balancing!$D8)="pa",$C8*SQRT(Balancing!AJ8),Balancing!AJ8*$C8)/$D8,"-")</f>
        <v>-</v>
      </c>
      <c r="AI8" s="10" t="str">
        <f>IF(ISNUMBER(Balancing!AK8),IF(LOWER(Balancing!$D8)="pa",$C8*SQRT(Balancing!AK8),Balancing!AK8*$C8)/$D8,"-")</f>
        <v>-</v>
      </c>
      <c r="AJ8" s="15" t="str">
        <f>IF(ISNUMBER(Balancing!AL8),IF(LOWER(Balancing!$D8)="pa",$C8*SQRT(Balancing!AL8),Balancing!AL8*$C8)/$D8,"-")</f>
        <v>-</v>
      </c>
      <c r="AL8" s="10" t="b">
        <f>COUNTA(Balancing!D8:AM8)=0</f>
        <v>1</v>
      </c>
      <c r="AM8" s="10" t="b">
        <f>AND(OR(Balancing!D8="",ISERROR(C8)),OR(Balancing!D8&lt;&gt;"",Balancing!E8&lt;&gt;"",Balancing!H8&lt;&gt;""))</f>
        <v>0</v>
      </c>
      <c r="AN8" s="10" t="str">
        <f>IF(ISNUMBER(INDEX(Balancing!$H$2:$AM$51,$B8,$E$65-1)),$B8,"-")</f>
        <v>-</v>
      </c>
      <c r="AO8" s="10" t="str">
        <f>IF(ISNUMBER(INDEX(Balancing!$H$2:$AM$51,$B8,$E$65)),$B8,"-")</f>
        <v>-</v>
      </c>
      <c r="AP8" s="10" t="str">
        <f t="shared" si="7"/>
        <v>-</v>
      </c>
      <c r="AQ8" t="str">
        <f>IF(ISNUMBER(AO8),IF(ABS(INDEX($F$2:$AJ$51,$B8,$E$65)-INDEX($F$2:$AJ$51,E$66,$E$65))/INDEX($F$2:$AJ$51,E$66,$E$65)&gt;General!B$9,B8,"ok"),"-")</f>
        <v>-</v>
      </c>
      <c r="AR8" t="str">
        <f t="shared" si="0"/>
        <v>-</v>
      </c>
      <c r="AS8" t="str">
        <f t="shared" si="1"/>
        <v>-</v>
      </c>
      <c r="AT8" s="10" t="str">
        <f>IF(ISNUMBER(Balancing!H8),B8,"-")</f>
        <v>-</v>
      </c>
      <c r="AU8" t="e">
        <f t="shared" si="2"/>
        <v>#VALUE!</v>
      </c>
      <c r="AV8" s="10" t="e">
        <f>IF(E$97,"OK!",IF(LOWER(Balancing!$D8)="pa",(AU8/C8)^2,AU8/$C8))</f>
        <v>#VALUE!</v>
      </c>
      <c r="AW8" s="19" t="str">
        <f>IF(AL8,".",IF(AM8,BV$24,IF(AND(Balancing!F8="",OR(General!B$8="pa",Balancing!D8="pa")),BV$25,IF(Balancing!E8="",BV$26,IF(E$65=0,BV$27,IF(B8=E$94,BV$28,IF(AND(B8=E$94-1,B8=E$91,AO8&lt;&gt;B8),BV$31,"")))))))</f>
        <v>.</v>
      </c>
      <c r="AX8" s="8" t="str">
        <f t="shared" si="3"/>
        <v>.</v>
      </c>
      <c r="AY8" s="7" t="str">
        <f t="shared" si="4"/>
        <v>.</v>
      </c>
      <c r="BA8" s="21">
        <f t="shared" si="8"/>
        <v>0</v>
      </c>
      <c r="BB8" s="21" t="e">
        <f t="shared" si="9"/>
        <v>#VALUE!</v>
      </c>
      <c r="BC8" t="str">
        <f t="shared" si="5"/>
        <v>-</v>
      </c>
      <c r="BD8" t="str">
        <f t="shared" si="6"/>
        <v>-</v>
      </c>
      <c r="BG8" t="e">
        <f>BD5*BK4</f>
        <v>#VALUE!</v>
      </c>
      <c r="BR8" t="e">
        <f>BO4*BJ4/(BO4+BP4*(BK4*BJ4-BN4))</f>
        <v>#VALUE!</v>
      </c>
      <c r="BU8">
        <v>8</v>
      </c>
      <c r="BV8" t="str">
        <f>INDEX(BW$1:CF$32,BU8,General!$B$10)</f>
        <v>Design flow units</v>
      </c>
      <c r="BW8" s="30" t="s">
        <v>94</v>
      </c>
      <c r="BX8" s="31" t="s">
        <v>148</v>
      </c>
      <c r="BY8" s="31" t="s">
        <v>27</v>
      </c>
      <c r="BZ8" s="31" t="s">
        <v>149</v>
      </c>
      <c r="CA8" s="31" t="s">
        <v>204</v>
      </c>
      <c r="CB8" s="31" t="s">
        <v>258</v>
      </c>
      <c r="CC8" s="31" t="s">
        <v>218</v>
      </c>
      <c r="CD8" s="31" t="s">
        <v>27</v>
      </c>
      <c r="CE8" s="31" t="s">
        <v>241</v>
      </c>
      <c r="CF8" s="32"/>
    </row>
    <row r="9" spans="1:93" x14ac:dyDescent="0.25">
      <c r="B9">
        <v>8</v>
      </c>
      <c r="C9" t="e">
        <f>IF(LOWER(Balancing!D9)="pa",Balancing!F9/1000,INDEX($E$98:$E$103,MATCH(LOWER(Balancing!D9),$D$98:$D$103,0)))</f>
        <v>#N/A</v>
      </c>
      <c r="D9" s="10">
        <f>IF(LOWER(General!$B$8)="pa",Balancing!$F9*SQRT(Balancing!E9)/1000,Balancing!E9*E$104)</f>
        <v>0</v>
      </c>
      <c r="E9" s="10" t="str">
        <f>IF(ISNUMBER(Balancing!H9),IF(LOWER(Balancing!$D9)="pa",$C9*SQRT(Balancing!H9),Balancing!H9*$C9),"-")</f>
        <v>-</v>
      </c>
      <c r="F9" s="14" t="str">
        <f>IF(ISNUMBER(Balancing!H9),IF(LOWER(Balancing!$D9)="pa",$C9*SQRT(Balancing!H9),Balancing!H9*$C9)/$D9,"-")</f>
        <v>-</v>
      </c>
      <c r="G9" s="10" t="str">
        <f>IF(ISNUMBER(Balancing!I9),IF(LOWER(Balancing!$D9)="pa",$C9*SQRT(Balancing!I9),Balancing!I9*$C9)/$D9,"-")</f>
        <v>-</v>
      </c>
      <c r="H9" s="10" t="str">
        <f>IF(ISNUMBER(Balancing!J9),IF(LOWER(Balancing!$D9)="pa",$C9*SQRT(Balancing!J9),Balancing!J9*$C9)/$D9,"-")</f>
        <v>-</v>
      </c>
      <c r="I9" s="10" t="str">
        <f>IF(ISNUMBER(Balancing!K9),IF(LOWER(Balancing!$D9)="pa",$C9*SQRT(Balancing!K9),Balancing!K9*$C9)/$D9,"-")</f>
        <v>-</v>
      </c>
      <c r="J9" s="10" t="str">
        <f>IF(ISNUMBER(Balancing!L9),IF(LOWER(Balancing!$D9)="pa",$C9*SQRT(Balancing!L9),Balancing!L9*$C9)/$D9,"-")</f>
        <v>-</v>
      </c>
      <c r="K9" s="10" t="str">
        <f>IF(ISNUMBER(Balancing!M9),IF(LOWER(Balancing!$D9)="pa",$C9*SQRT(Balancing!M9),Balancing!M9*$C9)/$D9,"-")</f>
        <v>-</v>
      </c>
      <c r="L9" s="10" t="str">
        <f>IF(ISNUMBER(Balancing!N9),IF(LOWER(Balancing!$D9)="pa",$C9*SQRT(Balancing!N9),Balancing!N9*$C9)/$D9,"-")</f>
        <v>-</v>
      </c>
      <c r="M9" s="10" t="str">
        <f>IF(ISNUMBER(Balancing!O9),IF(LOWER(Balancing!$D9)="pa",$C9*SQRT(Balancing!O9),Balancing!O9*$C9)/$D9,"-")</f>
        <v>-</v>
      </c>
      <c r="N9" s="10" t="str">
        <f>IF(ISNUMBER(Balancing!P9),IF(LOWER(Balancing!$D9)="pa",$C9*SQRT(Balancing!P9),Balancing!P9*$C9)/$D9,"-")</f>
        <v>-</v>
      </c>
      <c r="O9" s="10" t="str">
        <f>IF(ISNUMBER(Balancing!Q9),IF(LOWER(Balancing!$D9)="pa",$C9*SQRT(Balancing!Q9),Balancing!Q9*$C9)/$D9,"-")</f>
        <v>-</v>
      </c>
      <c r="P9" s="10" t="str">
        <f>IF(ISNUMBER(Balancing!R9),IF(LOWER(Balancing!$D9)="pa",$C9*SQRT(Balancing!R9),Balancing!R9*$C9)/$D9,"-")</f>
        <v>-</v>
      </c>
      <c r="Q9" s="10" t="str">
        <f>IF(ISNUMBER(Balancing!S9),IF(LOWER(Balancing!$D9)="pa",$C9*SQRT(Balancing!S9),Balancing!S9*$C9)/$D9,"-")</f>
        <v>-</v>
      </c>
      <c r="R9" s="10" t="str">
        <f>IF(ISNUMBER(Balancing!T9),IF(LOWER(Balancing!$D9)="pa",$C9*SQRT(Balancing!T9),Balancing!T9*$C9)/$D9,"-")</f>
        <v>-</v>
      </c>
      <c r="S9" s="10" t="str">
        <f>IF(ISNUMBER(Balancing!U9),IF(LOWER(Balancing!$D9)="pa",$C9*SQRT(Balancing!U9),Balancing!U9*$C9)/$D9,"-")</f>
        <v>-</v>
      </c>
      <c r="T9" s="10" t="str">
        <f>IF(ISNUMBER(Balancing!V9),IF(LOWER(Balancing!$D9)="pa",$C9*SQRT(Balancing!V9),Balancing!V9*$C9)/$D9,"-")</f>
        <v>-</v>
      </c>
      <c r="U9" s="10" t="str">
        <f>IF(ISNUMBER(Balancing!W9),IF(LOWER(Balancing!$D9)="pa",$C9*SQRT(Balancing!W9),Balancing!W9*$C9)/$D9,"-")</f>
        <v>-</v>
      </c>
      <c r="V9" s="10" t="str">
        <f>IF(ISNUMBER(Balancing!X9),IF(LOWER(Balancing!$D9)="pa",$C9*SQRT(Balancing!X9),Balancing!X9*$C9)/$D9,"-")</f>
        <v>-</v>
      </c>
      <c r="W9" s="10" t="str">
        <f>IF(ISNUMBER(Balancing!Y9),IF(LOWER(Balancing!$D9)="pa",$C9*SQRT(Balancing!Y9),Balancing!Y9*$C9)/$D9,"-")</f>
        <v>-</v>
      </c>
      <c r="X9" s="10" t="str">
        <f>IF(ISNUMBER(Balancing!Z9),IF(LOWER(Balancing!$D9)="pa",$C9*SQRT(Balancing!Z9),Balancing!Z9*$C9)/$D9,"-")</f>
        <v>-</v>
      </c>
      <c r="Y9" s="10" t="str">
        <f>IF(ISNUMBER(Balancing!AA9),IF(LOWER(Balancing!$D9)="pa",$C9*SQRT(Balancing!AA9),Balancing!AA9*$C9)/$D9,"-")</f>
        <v>-</v>
      </c>
      <c r="Z9" s="10" t="str">
        <f>IF(ISNUMBER(Balancing!AB9),IF(LOWER(Balancing!$D9)="pa",$C9*SQRT(Balancing!AB9),Balancing!AB9*$C9)/$D9,"-")</f>
        <v>-</v>
      </c>
      <c r="AA9" s="10" t="str">
        <f>IF(ISNUMBER(Balancing!AC9),IF(LOWER(Balancing!$D9)="pa",$C9*SQRT(Balancing!AC9),Balancing!AC9*$C9)/$D9,"-")</f>
        <v>-</v>
      </c>
      <c r="AB9" s="10" t="str">
        <f>IF(ISNUMBER(Balancing!AD9),IF(LOWER(Balancing!$D9)="pa",$C9*SQRT(Balancing!AD9),Balancing!AD9*$C9)/$D9,"-")</f>
        <v>-</v>
      </c>
      <c r="AC9" s="10" t="str">
        <f>IF(ISNUMBER(Balancing!AE9),IF(LOWER(Balancing!$D9)="pa",$C9*SQRT(Balancing!AE9),Balancing!AE9*$C9)/$D9,"-")</f>
        <v>-</v>
      </c>
      <c r="AD9" s="10" t="str">
        <f>IF(ISNUMBER(Balancing!AF9),IF(LOWER(Balancing!$D9)="pa",$C9*SQRT(Balancing!AF9),Balancing!AF9*$C9)/$D9,"-")</f>
        <v>-</v>
      </c>
      <c r="AE9" s="10" t="str">
        <f>IF(ISNUMBER(Balancing!AG9),IF(LOWER(Balancing!$D9)="pa",$C9*SQRT(Balancing!AG9),Balancing!AG9*$C9)/$D9,"-")</f>
        <v>-</v>
      </c>
      <c r="AF9" s="10" t="str">
        <f>IF(ISNUMBER(Balancing!AH9),IF(LOWER(Balancing!$D9)="pa",$C9*SQRT(Balancing!AH9),Balancing!AH9*$C9)/$D9,"-")</f>
        <v>-</v>
      </c>
      <c r="AG9" s="10" t="str">
        <f>IF(ISNUMBER(Balancing!AI9),IF(LOWER(Balancing!$D9)="pa",$C9*SQRT(Balancing!AI9),Balancing!AI9*$C9)/$D9,"-")</f>
        <v>-</v>
      </c>
      <c r="AH9" s="10" t="str">
        <f>IF(ISNUMBER(Balancing!AJ9),IF(LOWER(Balancing!$D9)="pa",$C9*SQRT(Balancing!AJ9),Balancing!AJ9*$C9)/$D9,"-")</f>
        <v>-</v>
      </c>
      <c r="AI9" s="10" t="str">
        <f>IF(ISNUMBER(Balancing!AK9),IF(LOWER(Balancing!$D9)="pa",$C9*SQRT(Balancing!AK9),Balancing!AK9*$C9)/$D9,"-")</f>
        <v>-</v>
      </c>
      <c r="AJ9" s="15" t="str">
        <f>IF(ISNUMBER(Balancing!AL9),IF(LOWER(Balancing!$D9)="pa",$C9*SQRT(Balancing!AL9),Balancing!AL9*$C9)/$D9,"-")</f>
        <v>-</v>
      </c>
      <c r="AL9" s="10" t="b">
        <f>COUNTA(Balancing!D9:AM9)=0</f>
        <v>1</v>
      </c>
      <c r="AM9" s="10" t="b">
        <f>AND(OR(Balancing!D9="",ISERROR(C9)),OR(Balancing!D9&lt;&gt;"",Balancing!E9&lt;&gt;"",Balancing!H9&lt;&gt;""))</f>
        <v>0</v>
      </c>
      <c r="AN9" s="10" t="str">
        <f>IF(ISNUMBER(INDEX(Balancing!$H$2:$AM$51,$B9,$E$65-1)),$B9,"-")</f>
        <v>-</v>
      </c>
      <c r="AO9" s="10" t="str">
        <f>IF(ISNUMBER(INDEX(Balancing!$H$2:$AM$51,$B9,$E$65)),$B9,"-")</f>
        <v>-</v>
      </c>
      <c r="AP9" s="10" t="str">
        <f t="shared" si="7"/>
        <v>-</v>
      </c>
      <c r="AQ9" t="str">
        <f>IF(ISNUMBER(AO9),IF(ABS(INDEX($F$2:$AJ$51,$B9,$E$65)-INDEX($F$2:$AJ$51,E$66,$E$65))/INDEX($F$2:$AJ$51,E$66,$E$65)&gt;General!B$9,B9,"ok"),"-")</f>
        <v>-</v>
      </c>
      <c r="AR9" t="str">
        <f t="shared" si="0"/>
        <v>-</v>
      </c>
      <c r="AS9" t="str">
        <f t="shared" si="1"/>
        <v>-</v>
      </c>
      <c r="AT9" s="10" t="str">
        <f>IF(ISNUMBER(Balancing!H9),B9,"-")</f>
        <v>-</v>
      </c>
      <c r="AU9" t="e">
        <f t="shared" si="2"/>
        <v>#VALUE!</v>
      </c>
      <c r="AV9" s="10" t="e">
        <f>IF(E$97,"OK!",IF(LOWER(Balancing!$D9)="pa",(AU9/C9)^2,AU9/$C9))</f>
        <v>#VALUE!</v>
      </c>
      <c r="AW9" s="19" t="str">
        <f>IF(AL9,".",IF(AM9,BV$24,IF(AND(Balancing!F9="",OR(General!B$8="pa",Balancing!D9="pa")),BV$25,IF(Balancing!E9="",BV$26,IF(E$65=0,BV$27,IF(B9=E$94,BV$28,IF(AND(B9=E$94-1,B9=E$91,AO9&lt;&gt;B9),BV$31,"")))))))</f>
        <v>.</v>
      </c>
      <c r="AX9" s="8" t="str">
        <f t="shared" si="3"/>
        <v>.</v>
      </c>
      <c r="AY9" s="7" t="str">
        <f t="shared" si="4"/>
        <v>.</v>
      </c>
      <c r="BA9" s="21">
        <f t="shared" si="8"/>
        <v>0</v>
      </c>
      <c r="BB9" s="21" t="e">
        <f t="shared" si="9"/>
        <v>#VALUE!</v>
      </c>
      <c r="BC9" t="str">
        <f t="shared" si="5"/>
        <v>-</v>
      </c>
      <c r="BD9" t="str">
        <f t="shared" si="6"/>
        <v>-</v>
      </c>
      <c r="BU9" s="26">
        <v>9</v>
      </c>
      <c r="BV9" t="str">
        <f>INDEX(BW$1:CF$32,BU9,General!$B$10)</f>
        <v>Balancing accuracy</v>
      </c>
      <c r="BW9" s="30" t="s">
        <v>108</v>
      </c>
      <c r="BX9" s="31" t="s">
        <v>150</v>
      </c>
      <c r="BY9" s="31" t="s">
        <v>109</v>
      </c>
      <c r="BZ9" s="31" t="s">
        <v>151</v>
      </c>
      <c r="CA9" s="31" t="s">
        <v>205</v>
      </c>
      <c r="CB9" s="31" t="s">
        <v>259</v>
      </c>
      <c r="CC9" s="31" t="s">
        <v>219</v>
      </c>
      <c r="CD9" s="31" t="s">
        <v>109</v>
      </c>
      <c r="CE9" s="31" t="s">
        <v>242</v>
      </c>
      <c r="CF9" s="32"/>
    </row>
    <row r="10" spans="1:93" x14ac:dyDescent="0.25">
      <c r="B10">
        <v>9</v>
      </c>
      <c r="C10" t="e">
        <f>IF(LOWER(Balancing!D10)="pa",Balancing!F10/1000,INDEX($E$98:$E$103,MATCH(LOWER(Balancing!D10),$D$98:$D$103,0)))</f>
        <v>#N/A</v>
      </c>
      <c r="D10" s="10">
        <f>IF(LOWER(General!$B$8)="pa",Balancing!$F10*SQRT(Balancing!E10)/1000,Balancing!E10*E$104)</f>
        <v>0</v>
      </c>
      <c r="E10" s="10" t="str">
        <f>IF(ISNUMBER(Balancing!H10),IF(LOWER(Balancing!$D10)="pa",$C10*SQRT(Balancing!H10),Balancing!H10*$C10),"-")</f>
        <v>-</v>
      </c>
      <c r="F10" s="14" t="str">
        <f>IF(ISNUMBER(Balancing!H10),IF(LOWER(Balancing!$D10)="pa",$C10*SQRT(Balancing!H10),Balancing!H10*$C10)/$D10,"-")</f>
        <v>-</v>
      </c>
      <c r="G10" s="10" t="str">
        <f>IF(ISNUMBER(Balancing!I10),IF(LOWER(Balancing!$D10)="pa",$C10*SQRT(Balancing!I10),Balancing!I10*$C10)/$D10,"-")</f>
        <v>-</v>
      </c>
      <c r="H10" s="10" t="str">
        <f>IF(ISNUMBER(Balancing!J10),IF(LOWER(Balancing!$D10)="pa",$C10*SQRT(Balancing!J10),Balancing!J10*$C10)/$D10,"-")</f>
        <v>-</v>
      </c>
      <c r="I10" s="10" t="str">
        <f>IF(ISNUMBER(Balancing!K10),IF(LOWER(Balancing!$D10)="pa",$C10*SQRT(Balancing!K10),Balancing!K10*$C10)/$D10,"-")</f>
        <v>-</v>
      </c>
      <c r="J10" s="10" t="str">
        <f>IF(ISNUMBER(Balancing!L10),IF(LOWER(Balancing!$D10)="pa",$C10*SQRT(Balancing!L10),Balancing!L10*$C10)/$D10,"-")</f>
        <v>-</v>
      </c>
      <c r="K10" s="10" t="str">
        <f>IF(ISNUMBER(Balancing!M10),IF(LOWER(Balancing!$D10)="pa",$C10*SQRT(Balancing!M10),Balancing!M10*$C10)/$D10,"-")</f>
        <v>-</v>
      </c>
      <c r="L10" s="10" t="str">
        <f>IF(ISNUMBER(Balancing!N10),IF(LOWER(Balancing!$D10)="pa",$C10*SQRT(Balancing!N10),Balancing!N10*$C10)/$D10,"-")</f>
        <v>-</v>
      </c>
      <c r="M10" s="10" t="str">
        <f>IF(ISNUMBER(Balancing!O10),IF(LOWER(Balancing!$D10)="pa",$C10*SQRT(Balancing!O10),Balancing!O10*$C10)/$D10,"-")</f>
        <v>-</v>
      </c>
      <c r="N10" s="10" t="str">
        <f>IF(ISNUMBER(Balancing!P10),IF(LOWER(Balancing!$D10)="pa",$C10*SQRT(Balancing!P10),Balancing!P10*$C10)/$D10,"-")</f>
        <v>-</v>
      </c>
      <c r="O10" s="10" t="str">
        <f>IF(ISNUMBER(Balancing!Q10),IF(LOWER(Balancing!$D10)="pa",$C10*SQRT(Balancing!Q10),Balancing!Q10*$C10)/$D10,"-")</f>
        <v>-</v>
      </c>
      <c r="P10" s="10" t="str">
        <f>IF(ISNUMBER(Balancing!R10),IF(LOWER(Balancing!$D10)="pa",$C10*SQRT(Balancing!R10),Balancing!R10*$C10)/$D10,"-")</f>
        <v>-</v>
      </c>
      <c r="Q10" s="10" t="str">
        <f>IF(ISNUMBER(Balancing!S10),IF(LOWER(Balancing!$D10)="pa",$C10*SQRT(Balancing!S10),Balancing!S10*$C10)/$D10,"-")</f>
        <v>-</v>
      </c>
      <c r="R10" s="10" t="str">
        <f>IF(ISNUMBER(Balancing!T10),IF(LOWER(Balancing!$D10)="pa",$C10*SQRT(Balancing!T10),Balancing!T10*$C10)/$D10,"-")</f>
        <v>-</v>
      </c>
      <c r="S10" s="10" t="str">
        <f>IF(ISNUMBER(Balancing!U10),IF(LOWER(Balancing!$D10)="pa",$C10*SQRT(Balancing!U10),Balancing!U10*$C10)/$D10,"-")</f>
        <v>-</v>
      </c>
      <c r="T10" s="10" t="str">
        <f>IF(ISNUMBER(Balancing!V10),IF(LOWER(Balancing!$D10)="pa",$C10*SQRT(Balancing!V10),Balancing!V10*$C10)/$D10,"-")</f>
        <v>-</v>
      </c>
      <c r="U10" s="10" t="str">
        <f>IF(ISNUMBER(Balancing!W10),IF(LOWER(Balancing!$D10)="pa",$C10*SQRT(Balancing!W10),Balancing!W10*$C10)/$D10,"-")</f>
        <v>-</v>
      </c>
      <c r="V10" s="10" t="str">
        <f>IF(ISNUMBER(Balancing!X10),IF(LOWER(Balancing!$D10)="pa",$C10*SQRT(Balancing!X10),Balancing!X10*$C10)/$D10,"-")</f>
        <v>-</v>
      </c>
      <c r="W10" s="10" t="str">
        <f>IF(ISNUMBER(Balancing!Y10),IF(LOWER(Balancing!$D10)="pa",$C10*SQRT(Balancing!Y10),Balancing!Y10*$C10)/$D10,"-")</f>
        <v>-</v>
      </c>
      <c r="X10" s="10" t="str">
        <f>IF(ISNUMBER(Balancing!Z10),IF(LOWER(Balancing!$D10)="pa",$C10*SQRT(Balancing!Z10),Balancing!Z10*$C10)/$D10,"-")</f>
        <v>-</v>
      </c>
      <c r="Y10" s="10" t="str">
        <f>IF(ISNUMBER(Balancing!AA10),IF(LOWER(Balancing!$D10)="pa",$C10*SQRT(Balancing!AA10),Balancing!AA10*$C10)/$D10,"-")</f>
        <v>-</v>
      </c>
      <c r="Z10" s="10" t="str">
        <f>IF(ISNUMBER(Balancing!AB10),IF(LOWER(Balancing!$D10)="pa",$C10*SQRT(Balancing!AB10),Balancing!AB10*$C10)/$D10,"-")</f>
        <v>-</v>
      </c>
      <c r="AA10" s="10" t="str">
        <f>IF(ISNUMBER(Balancing!AC10),IF(LOWER(Balancing!$D10)="pa",$C10*SQRT(Balancing!AC10),Balancing!AC10*$C10)/$D10,"-")</f>
        <v>-</v>
      </c>
      <c r="AB10" s="10" t="str">
        <f>IF(ISNUMBER(Balancing!AD10),IF(LOWER(Balancing!$D10)="pa",$C10*SQRT(Balancing!AD10),Balancing!AD10*$C10)/$D10,"-")</f>
        <v>-</v>
      </c>
      <c r="AC10" s="10" t="str">
        <f>IF(ISNUMBER(Balancing!AE10),IF(LOWER(Balancing!$D10)="pa",$C10*SQRT(Balancing!AE10),Balancing!AE10*$C10)/$D10,"-")</f>
        <v>-</v>
      </c>
      <c r="AD10" s="10" t="str">
        <f>IF(ISNUMBER(Balancing!AF10),IF(LOWER(Balancing!$D10)="pa",$C10*SQRT(Balancing!AF10),Balancing!AF10*$C10)/$D10,"-")</f>
        <v>-</v>
      </c>
      <c r="AE10" s="10" t="str">
        <f>IF(ISNUMBER(Balancing!AG10),IF(LOWER(Balancing!$D10)="pa",$C10*SQRT(Balancing!AG10),Balancing!AG10*$C10)/$D10,"-")</f>
        <v>-</v>
      </c>
      <c r="AF10" s="10" t="str">
        <f>IF(ISNUMBER(Balancing!AH10),IF(LOWER(Balancing!$D10)="pa",$C10*SQRT(Balancing!AH10),Balancing!AH10*$C10)/$D10,"-")</f>
        <v>-</v>
      </c>
      <c r="AG10" s="10" t="str">
        <f>IF(ISNUMBER(Balancing!AI10),IF(LOWER(Balancing!$D10)="pa",$C10*SQRT(Balancing!AI10),Balancing!AI10*$C10)/$D10,"-")</f>
        <v>-</v>
      </c>
      <c r="AH10" s="10" t="str">
        <f>IF(ISNUMBER(Balancing!AJ10),IF(LOWER(Balancing!$D10)="pa",$C10*SQRT(Balancing!AJ10),Balancing!AJ10*$C10)/$D10,"-")</f>
        <v>-</v>
      </c>
      <c r="AI10" s="10" t="str">
        <f>IF(ISNUMBER(Balancing!AK10),IF(LOWER(Balancing!$D10)="pa",$C10*SQRT(Balancing!AK10),Balancing!AK10*$C10)/$D10,"-")</f>
        <v>-</v>
      </c>
      <c r="AJ10" s="15" t="str">
        <f>IF(ISNUMBER(Balancing!AL10),IF(LOWER(Balancing!$D10)="pa",$C10*SQRT(Balancing!AL10),Balancing!AL10*$C10)/$D10,"-")</f>
        <v>-</v>
      </c>
      <c r="AL10" s="10" t="b">
        <f>COUNTA(Balancing!D10:AM10)=0</f>
        <v>1</v>
      </c>
      <c r="AM10" s="10" t="b">
        <f>AND(OR(Balancing!D10="",ISERROR(C10)),OR(Balancing!D10&lt;&gt;"",Balancing!E10&lt;&gt;"",Balancing!H10&lt;&gt;""))</f>
        <v>0</v>
      </c>
      <c r="AN10" s="10" t="str">
        <f>IF(ISNUMBER(INDEX(Balancing!$H$2:$AM$51,$B10,$E$65-1)),$B10,"-")</f>
        <v>-</v>
      </c>
      <c r="AO10" s="10" t="str">
        <f>IF(ISNUMBER(INDEX(Balancing!$H$2:$AM$51,$B10,$E$65)),$B10,"-")</f>
        <v>-</v>
      </c>
      <c r="AP10" s="10" t="str">
        <f t="shared" si="7"/>
        <v>-</v>
      </c>
      <c r="AQ10" t="str">
        <f>IF(ISNUMBER(AO10),IF(ABS(INDEX($F$2:$AJ$51,$B10,$E$65)-INDEX($F$2:$AJ$51,E$66,$E$65))/INDEX($F$2:$AJ$51,E$66,$E$65)&gt;General!B$9,B10,"ok"),"-")</f>
        <v>-</v>
      </c>
      <c r="AR10" t="str">
        <f t="shared" si="0"/>
        <v>-</v>
      </c>
      <c r="AS10" t="str">
        <f t="shared" si="1"/>
        <v>-</v>
      </c>
      <c r="AT10" s="10" t="str">
        <f>IF(ISNUMBER(Balancing!H10),B10,"-")</f>
        <v>-</v>
      </c>
      <c r="AU10" t="e">
        <f t="shared" si="2"/>
        <v>#VALUE!</v>
      </c>
      <c r="AV10" s="10" t="e">
        <f>IF(E$97,"OK!",IF(LOWER(Balancing!$D10)="pa",(AU10/C10)^2,AU10/$C10))</f>
        <v>#VALUE!</v>
      </c>
      <c r="AW10" s="19" t="str">
        <f>IF(AL10,".",IF(AM10,BV$24,IF(AND(Balancing!F10="",OR(General!B$8="pa",Balancing!D10="pa")),BV$25,IF(Balancing!E10="",BV$26,IF(E$65=0,BV$27,IF(B10=E$94,BV$28,IF(AND(B10=E$94-1,B10=E$91,AO10&lt;&gt;B10),BV$31,"")))))))</f>
        <v>.</v>
      </c>
      <c r="AX10" s="8" t="str">
        <f t="shared" si="3"/>
        <v>.</v>
      </c>
      <c r="AY10" s="7" t="str">
        <f t="shared" si="4"/>
        <v>.</v>
      </c>
      <c r="BA10" s="21">
        <f t="shared" si="8"/>
        <v>0</v>
      </c>
      <c r="BB10" s="21" t="e">
        <f t="shared" si="9"/>
        <v>#VALUE!</v>
      </c>
      <c r="BC10" t="str">
        <f t="shared" si="5"/>
        <v>-</v>
      </c>
      <c r="BD10" t="str">
        <f t="shared" si="6"/>
        <v>-</v>
      </c>
      <c r="BF10" t="s">
        <v>351</v>
      </c>
      <c r="BH10" t="e">
        <f>AND(BI4+BL4&gt;BH4*BJ4+BN4,BI4-BH4*BJ4&gt;BL4-BN4,$E$69&lt;&gt;$E$91)</f>
        <v>#VALUE!</v>
      </c>
      <c r="BU10">
        <v>10</v>
      </c>
      <c r="BV10" t="str">
        <f>INDEX(BW$1:CF$32,BU10,General!$B$10)</f>
        <v xml:space="preserve"> (alternatives: pa, cfm, dm3/s, l/s, l/min, m3/h, m3/s)</v>
      </c>
      <c r="BW10" s="30" t="s">
        <v>287</v>
      </c>
      <c r="BX10" s="31" t="s">
        <v>288</v>
      </c>
      <c r="BY10" s="31" t="s">
        <v>289</v>
      </c>
      <c r="BZ10" s="31" t="s">
        <v>290</v>
      </c>
      <c r="CA10" s="31" t="s">
        <v>291</v>
      </c>
      <c r="CB10" s="31" t="s">
        <v>292</v>
      </c>
      <c r="CC10" s="31" t="s">
        <v>293</v>
      </c>
      <c r="CD10" s="31" t="s">
        <v>294</v>
      </c>
      <c r="CE10" s="31" t="s">
        <v>295</v>
      </c>
      <c r="CF10" s="32"/>
    </row>
    <row r="11" spans="1:93" x14ac:dyDescent="0.25">
      <c r="B11">
        <v>10</v>
      </c>
      <c r="C11" t="e">
        <f>IF(LOWER(Balancing!D11)="pa",Balancing!F11/1000,INDEX($E$98:$E$103,MATCH(LOWER(Balancing!D11),$D$98:$D$103,0)))</f>
        <v>#N/A</v>
      </c>
      <c r="D11" s="10">
        <f>IF(LOWER(General!$B$8)="pa",Balancing!$F11*SQRT(Balancing!E11)/1000,Balancing!E11*E$104)</f>
        <v>0</v>
      </c>
      <c r="E11" s="10" t="str">
        <f>IF(ISNUMBER(Balancing!H11),IF(LOWER(Balancing!$D11)="pa",$C11*SQRT(Balancing!H11),Balancing!H11*$C11),"-")</f>
        <v>-</v>
      </c>
      <c r="F11" s="14" t="str">
        <f>IF(ISNUMBER(Balancing!H11),IF(LOWER(Balancing!$D11)="pa",$C11*SQRT(Balancing!H11),Balancing!H11*$C11)/$D11,"-")</f>
        <v>-</v>
      </c>
      <c r="G11" s="10" t="str">
        <f>IF(ISNUMBER(Balancing!I11),IF(LOWER(Balancing!$D11)="pa",$C11*SQRT(Balancing!I11),Balancing!I11*$C11)/$D11,"-")</f>
        <v>-</v>
      </c>
      <c r="H11" s="10" t="str">
        <f>IF(ISNUMBER(Balancing!J11),IF(LOWER(Balancing!$D11)="pa",$C11*SQRT(Balancing!J11),Balancing!J11*$C11)/$D11,"-")</f>
        <v>-</v>
      </c>
      <c r="I11" s="10" t="str">
        <f>IF(ISNUMBER(Balancing!K11),IF(LOWER(Balancing!$D11)="pa",$C11*SQRT(Balancing!K11),Balancing!K11*$C11)/$D11,"-")</f>
        <v>-</v>
      </c>
      <c r="J11" s="10" t="str">
        <f>IF(ISNUMBER(Balancing!L11),IF(LOWER(Balancing!$D11)="pa",$C11*SQRT(Balancing!L11),Balancing!L11*$C11)/$D11,"-")</f>
        <v>-</v>
      </c>
      <c r="K11" s="10" t="str">
        <f>IF(ISNUMBER(Balancing!M11),IF(LOWER(Balancing!$D11)="pa",$C11*SQRT(Balancing!M11),Balancing!M11*$C11)/$D11,"-")</f>
        <v>-</v>
      </c>
      <c r="L11" s="10" t="str">
        <f>IF(ISNUMBER(Balancing!N11),IF(LOWER(Balancing!$D11)="pa",$C11*SQRT(Balancing!N11),Balancing!N11*$C11)/$D11,"-")</f>
        <v>-</v>
      </c>
      <c r="M11" s="10" t="str">
        <f>IF(ISNUMBER(Balancing!O11),IF(LOWER(Balancing!$D11)="pa",$C11*SQRT(Balancing!O11),Balancing!O11*$C11)/$D11,"-")</f>
        <v>-</v>
      </c>
      <c r="N11" s="10" t="str">
        <f>IF(ISNUMBER(Balancing!P11),IF(LOWER(Balancing!$D11)="pa",$C11*SQRT(Balancing!P11),Balancing!P11*$C11)/$D11,"-")</f>
        <v>-</v>
      </c>
      <c r="O11" s="10" t="str">
        <f>IF(ISNUMBER(Balancing!Q11),IF(LOWER(Balancing!$D11)="pa",$C11*SQRT(Balancing!Q11),Balancing!Q11*$C11)/$D11,"-")</f>
        <v>-</v>
      </c>
      <c r="P11" s="10" t="str">
        <f>IF(ISNUMBER(Balancing!R11),IF(LOWER(Balancing!$D11)="pa",$C11*SQRT(Balancing!R11),Balancing!R11*$C11)/$D11,"-")</f>
        <v>-</v>
      </c>
      <c r="Q11" s="10" t="str">
        <f>IF(ISNUMBER(Balancing!S11),IF(LOWER(Balancing!$D11)="pa",$C11*SQRT(Balancing!S11),Balancing!S11*$C11)/$D11,"-")</f>
        <v>-</v>
      </c>
      <c r="R11" s="10" t="str">
        <f>IF(ISNUMBER(Balancing!T11),IF(LOWER(Balancing!$D11)="pa",$C11*SQRT(Balancing!T11),Balancing!T11*$C11)/$D11,"-")</f>
        <v>-</v>
      </c>
      <c r="S11" s="10" t="str">
        <f>IF(ISNUMBER(Balancing!U11),IF(LOWER(Balancing!$D11)="pa",$C11*SQRT(Balancing!U11),Balancing!U11*$C11)/$D11,"-")</f>
        <v>-</v>
      </c>
      <c r="T11" s="10" t="str">
        <f>IF(ISNUMBER(Balancing!V11),IF(LOWER(Balancing!$D11)="pa",$C11*SQRT(Balancing!V11),Balancing!V11*$C11)/$D11,"-")</f>
        <v>-</v>
      </c>
      <c r="U11" s="10" t="str">
        <f>IF(ISNUMBER(Balancing!W11),IF(LOWER(Balancing!$D11)="pa",$C11*SQRT(Balancing!W11),Balancing!W11*$C11)/$D11,"-")</f>
        <v>-</v>
      </c>
      <c r="V11" s="10" t="str">
        <f>IF(ISNUMBER(Balancing!X11),IF(LOWER(Balancing!$D11)="pa",$C11*SQRT(Balancing!X11),Balancing!X11*$C11)/$D11,"-")</f>
        <v>-</v>
      </c>
      <c r="W11" s="10" t="str">
        <f>IF(ISNUMBER(Balancing!Y11),IF(LOWER(Balancing!$D11)="pa",$C11*SQRT(Balancing!Y11),Balancing!Y11*$C11)/$D11,"-")</f>
        <v>-</v>
      </c>
      <c r="X11" s="10" t="str">
        <f>IF(ISNUMBER(Balancing!Z11),IF(LOWER(Balancing!$D11)="pa",$C11*SQRT(Balancing!Z11),Balancing!Z11*$C11)/$D11,"-")</f>
        <v>-</v>
      </c>
      <c r="Y11" s="10" t="str">
        <f>IF(ISNUMBER(Balancing!AA11),IF(LOWER(Balancing!$D11)="pa",$C11*SQRT(Balancing!AA11),Balancing!AA11*$C11)/$D11,"-")</f>
        <v>-</v>
      </c>
      <c r="Z11" s="10" t="str">
        <f>IF(ISNUMBER(Balancing!AB11),IF(LOWER(Balancing!$D11)="pa",$C11*SQRT(Balancing!AB11),Balancing!AB11*$C11)/$D11,"-")</f>
        <v>-</v>
      </c>
      <c r="AA11" s="10" t="str">
        <f>IF(ISNUMBER(Balancing!AC11),IF(LOWER(Balancing!$D11)="pa",$C11*SQRT(Balancing!AC11),Balancing!AC11*$C11)/$D11,"-")</f>
        <v>-</v>
      </c>
      <c r="AB11" s="10" t="str">
        <f>IF(ISNUMBER(Balancing!AD11),IF(LOWER(Balancing!$D11)="pa",$C11*SQRT(Balancing!AD11),Balancing!AD11*$C11)/$D11,"-")</f>
        <v>-</v>
      </c>
      <c r="AC11" s="10" t="str">
        <f>IF(ISNUMBER(Balancing!AE11),IF(LOWER(Balancing!$D11)="pa",$C11*SQRT(Balancing!AE11),Balancing!AE11*$C11)/$D11,"-")</f>
        <v>-</v>
      </c>
      <c r="AD11" s="10" t="str">
        <f>IF(ISNUMBER(Balancing!AF11),IF(LOWER(Balancing!$D11)="pa",$C11*SQRT(Balancing!AF11),Balancing!AF11*$C11)/$D11,"-")</f>
        <v>-</v>
      </c>
      <c r="AE11" s="10" t="str">
        <f>IF(ISNUMBER(Balancing!AG11),IF(LOWER(Balancing!$D11)="pa",$C11*SQRT(Balancing!AG11),Balancing!AG11*$C11)/$D11,"-")</f>
        <v>-</v>
      </c>
      <c r="AF11" s="10" t="str">
        <f>IF(ISNUMBER(Balancing!AH11),IF(LOWER(Balancing!$D11)="pa",$C11*SQRT(Balancing!AH11),Balancing!AH11*$C11)/$D11,"-")</f>
        <v>-</v>
      </c>
      <c r="AG11" s="10" t="str">
        <f>IF(ISNUMBER(Balancing!AI11),IF(LOWER(Balancing!$D11)="pa",$C11*SQRT(Balancing!AI11),Balancing!AI11*$C11)/$D11,"-")</f>
        <v>-</v>
      </c>
      <c r="AH11" s="10" t="str">
        <f>IF(ISNUMBER(Balancing!AJ11),IF(LOWER(Balancing!$D11)="pa",$C11*SQRT(Balancing!AJ11),Balancing!AJ11*$C11)/$D11,"-")</f>
        <v>-</v>
      </c>
      <c r="AI11" s="10" t="str">
        <f>IF(ISNUMBER(Balancing!AK11),IF(LOWER(Balancing!$D11)="pa",$C11*SQRT(Balancing!AK11),Balancing!AK11*$C11)/$D11,"-")</f>
        <v>-</v>
      </c>
      <c r="AJ11" s="15" t="str">
        <f>IF(ISNUMBER(Balancing!AL11),IF(LOWER(Balancing!$D11)="pa",$C11*SQRT(Balancing!AL11),Balancing!AL11*$C11)/$D11,"-")</f>
        <v>-</v>
      </c>
      <c r="AL11" s="10" t="b">
        <f>COUNTA(Balancing!D11:AM11)=0</f>
        <v>1</v>
      </c>
      <c r="AM11" s="10" t="b">
        <f>AND(OR(Balancing!D11="",ISERROR(C11)),OR(Balancing!D11&lt;&gt;"",Balancing!E11&lt;&gt;"",Balancing!H11&lt;&gt;""))</f>
        <v>0</v>
      </c>
      <c r="AN11" s="10" t="str">
        <f>IF(ISNUMBER(INDEX(Balancing!$H$2:$AM$51,$B11,$E$65-1)),$B11,"-")</f>
        <v>-</v>
      </c>
      <c r="AO11" s="10" t="str">
        <f>IF(ISNUMBER(INDEX(Balancing!$H$2:$AM$51,$B11,$E$65)),$B11,"-")</f>
        <v>-</v>
      </c>
      <c r="AP11" s="10" t="str">
        <f t="shared" si="7"/>
        <v>-</v>
      </c>
      <c r="AQ11" t="str">
        <f>IF(ISNUMBER(AO11),IF(ABS(INDEX($F$2:$AJ$51,$B11,$E$65)-INDEX($F$2:$AJ$51,E$66,$E$65))/INDEX($F$2:$AJ$51,E$66,$E$65)&gt;General!B$9,B11,"ok"),"-")</f>
        <v>-</v>
      </c>
      <c r="AR11" t="str">
        <f t="shared" si="0"/>
        <v>-</v>
      </c>
      <c r="AS11" t="str">
        <f t="shared" si="1"/>
        <v>-</v>
      </c>
      <c r="AT11" s="10" t="str">
        <f>IF(ISNUMBER(Balancing!H11),B11,"-")</f>
        <v>-</v>
      </c>
      <c r="AU11" t="e">
        <f t="shared" si="2"/>
        <v>#VALUE!</v>
      </c>
      <c r="AV11" s="10" t="e">
        <f>IF(E$97,"OK!",IF(LOWER(Balancing!$D11)="pa",(AU11/C11)^2,AU11/$C11))</f>
        <v>#VALUE!</v>
      </c>
      <c r="AW11" s="19" t="str">
        <f>IF(AL11,".",IF(AM11,BV$24,IF(AND(Balancing!F11="",OR(General!B$8="pa",Balancing!D11="pa")),BV$25,IF(Balancing!E11="",BV$26,IF(E$65=0,BV$27,IF(B11=E$94,BV$28,IF(AND(B11=E$94-1,B11=E$91,AO11&lt;&gt;B11),BV$31,"")))))))</f>
        <v>.</v>
      </c>
      <c r="AX11" s="8" t="str">
        <f t="shared" si="3"/>
        <v>.</v>
      </c>
      <c r="AY11" s="7" t="str">
        <f t="shared" si="4"/>
        <v>.</v>
      </c>
      <c r="BA11" s="21">
        <f t="shared" si="8"/>
        <v>0</v>
      </c>
      <c r="BB11" s="21" t="e">
        <f t="shared" si="9"/>
        <v>#VALUE!</v>
      </c>
      <c r="BC11" t="str">
        <f t="shared" si="5"/>
        <v>-</v>
      </c>
      <c r="BD11" t="str">
        <f t="shared" si="6"/>
        <v>-</v>
      </c>
      <c r="BU11" s="26">
        <v>11</v>
      </c>
      <c r="BV11" t="str">
        <f>INDEX(BW$1:CF$32,BU11,General!$B$10)</f>
        <v>Term.</v>
      </c>
      <c r="BW11" s="30" t="s">
        <v>111</v>
      </c>
      <c r="BX11" s="31" t="s">
        <v>152</v>
      </c>
      <c r="BY11" s="31" t="s">
        <v>110</v>
      </c>
      <c r="BZ11" s="31" t="s">
        <v>153</v>
      </c>
      <c r="CA11" s="31" t="s">
        <v>206</v>
      </c>
      <c r="CB11" s="31" t="s">
        <v>260</v>
      </c>
      <c r="CC11" s="31" t="s">
        <v>220</v>
      </c>
      <c r="CD11" s="31" t="s">
        <v>110</v>
      </c>
      <c r="CE11" s="31" t="s">
        <v>243</v>
      </c>
      <c r="CF11" s="32"/>
    </row>
    <row r="12" spans="1:93" x14ac:dyDescent="0.25">
      <c r="B12">
        <v>11</v>
      </c>
      <c r="C12" t="e">
        <f>IF(LOWER(Balancing!D12)="pa",Balancing!F12/1000,INDEX($E$98:$E$103,MATCH(LOWER(Balancing!D12),$D$98:$D$103,0)))</f>
        <v>#N/A</v>
      </c>
      <c r="D12" s="10">
        <f>IF(LOWER(General!$B$8)="pa",Balancing!$F12*SQRT(Balancing!E12)/1000,Balancing!E12*E$104)</f>
        <v>0</v>
      </c>
      <c r="E12" s="10" t="str">
        <f>IF(ISNUMBER(Balancing!H12),IF(LOWER(Balancing!$D12)="pa",$C12*SQRT(Balancing!H12),Balancing!H12*$C12),"-")</f>
        <v>-</v>
      </c>
      <c r="F12" s="14" t="str">
        <f>IF(ISNUMBER(Balancing!H12),IF(LOWER(Balancing!$D12)="pa",$C12*SQRT(Balancing!H12),Balancing!H12*$C12)/$D12,"-")</f>
        <v>-</v>
      </c>
      <c r="G12" s="10" t="str">
        <f>IF(ISNUMBER(Balancing!I12),IF(LOWER(Balancing!$D12)="pa",$C12*SQRT(Balancing!I12),Balancing!I12*$C12)/$D12,"-")</f>
        <v>-</v>
      </c>
      <c r="H12" s="10" t="str">
        <f>IF(ISNUMBER(Balancing!J12),IF(LOWER(Balancing!$D12)="pa",$C12*SQRT(Balancing!J12),Balancing!J12*$C12)/$D12,"-")</f>
        <v>-</v>
      </c>
      <c r="I12" s="10" t="str">
        <f>IF(ISNUMBER(Balancing!K12),IF(LOWER(Balancing!$D12)="pa",$C12*SQRT(Balancing!K12),Balancing!K12*$C12)/$D12,"-")</f>
        <v>-</v>
      </c>
      <c r="J12" s="10" t="str">
        <f>IF(ISNUMBER(Balancing!L12),IF(LOWER(Balancing!$D12)="pa",$C12*SQRT(Balancing!L12),Balancing!L12*$C12)/$D12,"-")</f>
        <v>-</v>
      </c>
      <c r="K12" s="10" t="str">
        <f>IF(ISNUMBER(Balancing!M12),IF(LOWER(Balancing!$D12)="pa",$C12*SQRT(Balancing!M12),Balancing!M12*$C12)/$D12,"-")</f>
        <v>-</v>
      </c>
      <c r="L12" s="10" t="str">
        <f>IF(ISNUMBER(Balancing!N12),IF(LOWER(Balancing!$D12)="pa",$C12*SQRT(Balancing!N12),Balancing!N12*$C12)/$D12,"-")</f>
        <v>-</v>
      </c>
      <c r="M12" s="10" t="str">
        <f>IF(ISNUMBER(Balancing!O12),IF(LOWER(Balancing!$D12)="pa",$C12*SQRT(Balancing!O12),Balancing!O12*$C12)/$D12,"-")</f>
        <v>-</v>
      </c>
      <c r="N12" s="10" t="str">
        <f>IF(ISNUMBER(Balancing!P12),IF(LOWER(Balancing!$D12)="pa",$C12*SQRT(Balancing!P12),Balancing!P12*$C12)/$D12,"-")</f>
        <v>-</v>
      </c>
      <c r="O12" s="10" t="str">
        <f>IF(ISNUMBER(Balancing!Q12),IF(LOWER(Balancing!$D12)="pa",$C12*SQRT(Balancing!Q12),Balancing!Q12*$C12)/$D12,"-")</f>
        <v>-</v>
      </c>
      <c r="P12" s="10" t="str">
        <f>IF(ISNUMBER(Balancing!R12),IF(LOWER(Balancing!$D12)="pa",$C12*SQRT(Balancing!R12),Balancing!R12*$C12)/$D12,"-")</f>
        <v>-</v>
      </c>
      <c r="Q12" s="10" t="str">
        <f>IF(ISNUMBER(Balancing!S12),IF(LOWER(Balancing!$D12)="pa",$C12*SQRT(Balancing!S12),Balancing!S12*$C12)/$D12,"-")</f>
        <v>-</v>
      </c>
      <c r="R12" s="10" t="str">
        <f>IF(ISNUMBER(Balancing!T12),IF(LOWER(Balancing!$D12)="pa",$C12*SQRT(Balancing!T12),Balancing!T12*$C12)/$D12,"-")</f>
        <v>-</v>
      </c>
      <c r="S12" s="10" t="str">
        <f>IF(ISNUMBER(Balancing!U12),IF(LOWER(Balancing!$D12)="pa",$C12*SQRT(Balancing!U12),Balancing!U12*$C12)/$D12,"-")</f>
        <v>-</v>
      </c>
      <c r="T12" s="10" t="str">
        <f>IF(ISNUMBER(Balancing!V12),IF(LOWER(Balancing!$D12)="pa",$C12*SQRT(Balancing!V12),Balancing!V12*$C12)/$D12,"-")</f>
        <v>-</v>
      </c>
      <c r="U12" s="10" t="str">
        <f>IF(ISNUMBER(Balancing!W12),IF(LOWER(Balancing!$D12)="pa",$C12*SQRT(Balancing!W12),Balancing!W12*$C12)/$D12,"-")</f>
        <v>-</v>
      </c>
      <c r="V12" s="10" t="str">
        <f>IF(ISNUMBER(Balancing!X12),IF(LOWER(Balancing!$D12)="pa",$C12*SQRT(Balancing!X12),Balancing!X12*$C12)/$D12,"-")</f>
        <v>-</v>
      </c>
      <c r="W12" s="10" t="str">
        <f>IF(ISNUMBER(Balancing!Y12),IF(LOWER(Balancing!$D12)="pa",$C12*SQRT(Balancing!Y12),Balancing!Y12*$C12)/$D12,"-")</f>
        <v>-</v>
      </c>
      <c r="X12" s="10" t="str">
        <f>IF(ISNUMBER(Balancing!Z12),IF(LOWER(Balancing!$D12)="pa",$C12*SQRT(Balancing!Z12),Balancing!Z12*$C12)/$D12,"-")</f>
        <v>-</v>
      </c>
      <c r="Y12" s="10" t="str">
        <f>IF(ISNUMBER(Balancing!AA12),IF(LOWER(Balancing!$D12)="pa",$C12*SQRT(Balancing!AA12),Balancing!AA12*$C12)/$D12,"-")</f>
        <v>-</v>
      </c>
      <c r="Z12" s="10" t="str">
        <f>IF(ISNUMBER(Balancing!AB12),IF(LOWER(Balancing!$D12)="pa",$C12*SQRT(Balancing!AB12),Balancing!AB12*$C12)/$D12,"-")</f>
        <v>-</v>
      </c>
      <c r="AA12" s="10" t="str">
        <f>IF(ISNUMBER(Balancing!AC12),IF(LOWER(Balancing!$D12)="pa",$C12*SQRT(Balancing!AC12),Balancing!AC12*$C12)/$D12,"-")</f>
        <v>-</v>
      </c>
      <c r="AB12" s="10" t="str">
        <f>IF(ISNUMBER(Balancing!AD12),IF(LOWER(Balancing!$D12)="pa",$C12*SQRT(Balancing!AD12),Balancing!AD12*$C12)/$D12,"-")</f>
        <v>-</v>
      </c>
      <c r="AC12" s="10" t="str">
        <f>IF(ISNUMBER(Balancing!AE12),IF(LOWER(Balancing!$D12)="pa",$C12*SQRT(Balancing!AE12),Balancing!AE12*$C12)/$D12,"-")</f>
        <v>-</v>
      </c>
      <c r="AD12" s="10" t="str">
        <f>IF(ISNUMBER(Balancing!AF12),IF(LOWER(Balancing!$D12)="pa",$C12*SQRT(Balancing!AF12),Balancing!AF12*$C12)/$D12,"-")</f>
        <v>-</v>
      </c>
      <c r="AE12" s="10" t="str">
        <f>IF(ISNUMBER(Balancing!AG12),IF(LOWER(Balancing!$D12)="pa",$C12*SQRT(Balancing!AG12),Balancing!AG12*$C12)/$D12,"-")</f>
        <v>-</v>
      </c>
      <c r="AF12" s="10" t="str">
        <f>IF(ISNUMBER(Balancing!AH12),IF(LOWER(Balancing!$D12)="pa",$C12*SQRT(Balancing!AH12),Balancing!AH12*$C12)/$D12,"-")</f>
        <v>-</v>
      </c>
      <c r="AG12" s="10" t="str">
        <f>IF(ISNUMBER(Balancing!AI12),IF(LOWER(Balancing!$D12)="pa",$C12*SQRT(Balancing!AI12),Balancing!AI12*$C12)/$D12,"-")</f>
        <v>-</v>
      </c>
      <c r="AH12" s="10" t="str">
        <f>IF(ISNUMBER(Balancing!AJ12),IF(LOWER(Balancing!$D12)="pa",$C12*SQRT(Balancing!AJ12),Balancing!AJ12*$C12)/$D12,"-")</f>
        <v>-</v>
      </c>
      <c r="AI12" s="10" t="str">
        <f>IF(ISNUMBER(Balancing!AK12),IF(LOWER(Balancing!$D12)="pa",$C12*SQRT(Balancing!AK12),Balancing!AK12*$C12)/$D12,"-")</f>
        <v>-</v>
      </c>
      <c r="AJ12" s="15" t="str">
        <f>IF(ISNUMBER(Balancing!AL12),IF(LOWER(Balancing!$D12)="pa",$C12*SQRT(Balancing!AL12),Balancing!AL12*$C12)/$D12,"-")</f>
        <v>-</v>
      </c>
      <c r="AL12" s="10" t="b">
        <f>COUNTA(Balancing!D12:AM12)=0</f>
        <v>1</v>
      </c>
      <c r="AM12" s="10" t="b">
        <f>AND(OR(Balancing!D12="",ISERROR(C12)),OR(Balancing!D12&lt;&gt;"",Balancing!E12&lt;&gt;"",Balancing!H12&lt;&gt;""))</f>
        <v>0</v>
      </c>
      <c r="AN12" s="10" t="str">
        <f>IF(ISNUMBER(INDEX(Balancing!$H$2:$AM$51,$B12,$E$65-1)),$B12,"-")</f>
        <v>-</v>
      </c>
      <c r="AO12" s="10" t="str">
        <f>IF(ISNUMBER(INDEX(Balancing!$H$2:$AM$51,$B12,$E$65)),$B12,"-")</f>
        <v>-</v>
      </c>
      <c r="AP12" s="10" t="str">
        <f t="shared" si="7"/>
        <v>-</v>
      </c>
      <c r="AQ12" t="str">
        <f>IF(ISNUMBER(AO12),IF(ABS(INDEX($F$2:$AJ$51,$B12,$E$65)-INDEX($F$2:$AJ$51,E$66,$E$65))/INDEX($F$2:$AJ$51,E$66,$E$65)&gt;General!B$9,B12,"ok"),"-")</f>
        <v>-</v>
      </c>
      <c r="AR12" t="str">
        <f t="shared" si="0"/>
        <v>-</v>
      </c>
      <c r="AS12" t="str">
        <f t="shared" si="1"/>
        <v>-</v>
      </c>
      <c r="AT12" s="10" t="str">
        <f>IF(ISNUMBER(Balancing!H12),B12,"-")</f>
        <v>-</v>
      </c>
      <c r="AU12" t="e">
        <f t="shared" si="2"/>
        <v>#VALUE!</v>
      </c>
      <c r="AV12" s="10" t="e">
        <f>IF(E$97,"OK!",IF(LOWER(Balancing!$D12)="pa",(AU12/C12)^2,AU12/$C12))</f>
        <v>#VALUE!</v>
      </c>
      <c r="AW12" s="19" t="str">
        <f>IF(AL12,".",IF(AM12,BV$24,IF(AND(Balancing!F12="",OR(General!B$8="pa",Balancing!D12="pa")),BV$25,IF(Balancing!E12="",BV$26,IF(E$65=0,BV$27,IF(B12=E$94,BV$28,IF(AND(B12=E$94-1,B12=E$91,AO12&lt;&gt;B12),BV$31,"")))))))</f>
        <v>.</v>
      </c>
      <c r="AX12" s="8" t="str">
        <f t="shared" si="3"/>
        <v>.</v>
      </c>
      <c r="AY12" s="7" t="str">
        <f t="shared" si="4"/>
        <v>.</v>
      </c>
      <c r="BA12" s="21">
        <f t="shared" si="8"/>
        <v>0</v>
      </c>
      <c r="BB12" s="21" t="e">
        <f t="shared" si="9"/>
        <v>#VALUE!</v>
      </c>
      <c r="BC12" t="str">
        <f t="shared" si="5"/>
        <v>-</v>
      </c>
      <c r="BD12" t="str">
        <f t="shared" si="6"/>
        <v>-</v>
      </c>
      <c r="BH12" t="e">
        <f>BI4+BL4&gt;BH4*BJ4+BN4</f>
        <v>#VALUE!</v>
      </c>
      <c r="BI12" t="e">
        <f>(BI4+BL4)-(BH4*BJ4+BN4)</f>
        <v>#VALUE!</v>
      </c>
      <c r="BU12">
        <v>12</v>
      </c>
      <c r="BV12" t="str">
        <f>INDEX(BW$1:CF$32,BU12,General!$B$10)</f>
        <v>%design</v>
      </c>
      <c r="BW12" s="30" t="s">
        <v>112</v>
      </c>
      <c r="BX12" s="31" t="s">
        <v>154</v>
      </c>
      <c r="BY12" s="31" t="s">
        <v>52</v>
      </c>
      <c r="BZ12" s="31" t="s">
        <v>155</v>
      </c>
      <c r="CA12" s="31" t="s">
        <v>207</v>
      </c>
      <c r="CB12" s="31" t="s">
        <v>156</v>
      </c>
      <c r="CC12" s="31" t="s">
        <v>221</v>
      </c>
      <c r="CD12" s="31" t="s">
        <v>52</v>
      </c>
      <c r="CE12" s="31" t="s">
        <v>244</v>
      </c>
      <c r="CF12" s="32"/>
    </row>
    <row r="13" spans="1:93" x14ac:dyDescent="0.25">
      <c r="B13">
        <v>12</v>
      </c>
      <c r="C13" t="e">
        <f>IF(LOWER(Balancing!D13)="pa",Balancing!F13/1000,INDEX($E$98:$E$103,MATCH(LOWER(Balancing!D13),$D$98:$D$103,0)))</f>
        <v>#N/A</v>
      </c>
      <c r="D13" s="10">
        <f>IF(LOWER(General!$B$8)="pa",Balancing!$F13*SQRT(Balancing!E13)/1000,Balancing!E13*E$104)</f>
        <v>0</v>
      </c>
      <c r="E13" s="10" t="str">
        <f>IF(ISNUMBER(Balancing!H13),IF(LOWER(Balancing!$D13)="pa",$C13*SQRT(Balancing!H13),Balancing!H13*$C13),"-")</f>
        <v>-</v>
      </c>
      <c r="F13" s="14" t="str">
        <f>IF(ISNUMBER(Balancing!H13),IF(LOWER(Balancing!$D13)="pa",$C13*SQRT(Balancing!H13),Balancing!H13*$C13)/$D13,"-")</f>
        <v>-</v>
      </c>
      <c r="G13" s="10" t="str">
        <f>IF(ISNUMBER(Balancing!I13),IF(LOWER(Balancing!$D13)="pa",$C13*SQRT(Balancing!I13),Balancing!I13*$C13)/$D13,"-")</f>
        <v>-</v>
      </c>
      <c r="H13" s="10" t="str">
        <f>IF(ISNUMBER(Balancing!J13),IF(LOWER(Balancing!$D13)="pa",$C13*SQRT(Balancing!J13),Balancing!J13*$C13)/$D13,"-")</f>
        <v>-</v>
      </c>
      <c r="I13" s="10" t="str">
        <f>IF(ISNUMBER(Balancing!K13),IF(LOWER(Balancing!$D13)="pa",$C13*SQRT(Balancing!K13),Balancing!K13*$C13)/$D13,"-")</f>
        <v>-</v>
      </c>
      <c r="J13" s="10" t="str">
        <f>IF(ISNUMBER(Balancing!L13),IF(LOWER(Balancing!$D13)="pa",$C13*SQRT(Balancing!L13),Balancing!L13*$C13)/$D13,"-")</f>
        <v>-</v>
      </c>
      <c r="K13" s="10" t="str">
        <f>IF(ISNUMBER(Balancing!M13),IF(LOWER(Balancing!$D13)="pa",$C13*SQRT(Balancing!M13),Balancing!M13*$C13)/$D13,"-")</f>
        <v>-</v>
      </c>
      <c r="L13" s="10" t="str">
        <f>IF(ISNUMBER(Balancing!N13),IF(LOWER(Balancing!$D13)="pa",$C13*SQRT(Balancing!N13),Balancing!N13*$C13)/$D13,"-")</f>
        <v>-</v>
      </c>
      <c r="M13" s="10" t="str">
        <f>IF(ISNUMBER(Balancing!O13),IF(LOWER(Balancing!$D13)="pa",$C13*SQRT(Balancing!O13),Balancing!O13*$C13)/$D13,"-")</f>
        <v>-</v>
      </c>
      <c r="N13" s="10" t="str">
        <f>IF(ISNUMBER(Balancing!P13),IF(LOWER(Balancing!$D13)="pa",$C13*SQRT(Balancing!P13),Balancing!P13*$C13)/$D13,"-")</f>
        <v>-</v>
      </c>
      <c r="O13" s="10" t="str">
        <f>IF(ISNUMBER(Balancing!Q13),IF(LOWER(Balancing!$D13)="pa",$C13*SQRT(Balancing!Q13),Balancing!Q13*$C13)/$D13,"-")</f>
        <v>-</v>
      </c>
      <c r="P13" s="10" t="str">
        <f>IF(ISNUMBER(Balancing!R13),IF(LOWER(Balancing!$D13)="pa",$C13*SQRT(Balancing!R13),Balancing!R13*$C13)/$D13,"-")</f>
        <v>-</v>
      </c>
      <c r="Q13" s="10" t="str">
        <f>IF(ISNUMBER(Balancing!S13),IF(LOWER(Balancing!$D13)="pa",$C13*SQRT(Balancing!S13),Balancing!S13*$C13)/$D13,"-")</f>
        <v>-</v>
      </c>
      <c r="R13" s="10" t="str">
        <f>IF(ISNUMBER(Balancing!T13),IF(LOWER(Balancing!$D13)="pa",$C13*SQRT(Balancing!T13),Balancing!T13*$C13)/$D13,"-")</f>
        <v>-</v>
      </c>
      <c r="S13" s="10" t="str">
        <f>IF(ISNUMBER(Balancing!U13),IF(LOWER(Balancing!$D13)="pa",$C13*SQRT(Balancing!U13),Balancing!U13*$C13)/$D13,"-")</f>
        <v>-</v>
      </c>
      <c r="T13" s="10" t="str">
        <f>IF(ISNUMBER(Balancing!V13),IF(LOWER(Balancing!$D13)="pa",$C13*SQRT(Balancing!V13),Balancing!V13*$C13)/$D13,"-")</f>
        <v>-</v>
      </c>
      <c r="U13" s="10" t="str">
        <f>IF(ISNUMBER(Balancing!W13),IF(LOWER(Balancing!$D13)="pa",$C13*SQRT(Balancing!W13),Balancing!W13*$C13)/$D13,"-")</f>
        <v>-</v>
      </c>
      <c r="V13" s="10" t="str">
        <f>IF(ISNUMBER(Balancing!X13),IF(LOWER(Balancing!$D13)="pa",$C13*SQRT(Balancing!X13),Balancing!X13*$C13)/$D13,"-")</f>
        <v>-</v>
      </c>
      <c r="W13" s="10" t="str">
        <f>IF(ISNUMBER(Balancing!Y13),IF(LOWER(Balancing!$D13)="pa",$C13*SQRT(Balancing!Y13),Balancing!Y13*$C13)/$D13,"-")</f>
        <v>-</v>
      </c>
      <c r="X13" s="10" t="str">
        <f>IF(ISNUMBER(Balancing!Z13),IF(LOWER(Balancing!$D13)="pa",$C13*SQRT(Balancing!Z13),Balancing!Z13*$C13)/$D13,"-")</f>
        <v>-</v>
      </c>
      <c r="Y13" s="10" t="str">
        <f>IF(ISNUMBER(Balancing!AA13),IF(LOWER(Balancing!$D13)="pa",$C13*SQRT(Balancing!AA13),Balancing!AA13*$C13)/$D13,"-")</f>
        <v>-</v>
      </c>
      <c r="Z13" s="10" t="str">
        <f>IF(ISNUMBER(Balancing!AB13),IF(LOWER(Balancing!$D13)="pa",$C13*SQRT(Balancing!AB13),Balancing!AB13*$C13)/$D13,"-")</f>
        <v>-</v>
      </c>
      <c r="AA13" s="10" t="str">
        <f>IF(ISNUMBER(Balancing!AC13),IF(LOWER(Balancing!$D13)="pa",$C13*SQRT(Balancing!AC13),Balancing!AC13*$C13)/$D13,"-")</f>
        <v>-</v>
      </c>
      <c r="AB13" s="10" t="str">
        <f>IF(ISNUMBER(Balancing!AD13),IF(LOWER(Balancing!$D13)="pa",$C13*SQRT(Balancing!AD13),Balancing!AD13*$C13)/$D13,"-")</f>
        <v>-</v>
      </c>
      <c r="AC13" s="10" t="str">
        <f>IF(ISNUMBER(Balancing!AE13),IF(LOWER(Balancing!$D13)="pa",$C13*SQRT(Balancing!AE13),Balancing!AE13*$C13)/$D13,"-")</f>
        <v>-</v>
      </c>
      <c r="AD13" s="10" t="str">
        <f>IF(ISNUMBER(Balancing!AF13),IF(LOWER(Balancing!$D13)="pa",$C13*SQRT(Balancing!AF13),Balancing!AF13*$C13)/$D13,"-")</f>
        <v>-</v>
      </c>
      <c r="AE13" s="10" t="str">
        <f>IF(ISNUMBER(Balancing!AG13),IF(LOWER(Balancing!$D13)="pa",$C13*SQRT(Balancing!AG13),Balancing!AG13*$C13)/$D13,"-")</f>
        <v>-</v>
      </c>
      <c r="AF13" s="10" t="str">
        <f>IF(ISNUMBER(Balancing!AH13),IF(LOWER(Balancing!$D13)="pa",$C13*SQRT(Balancing!AH13),Balancing!AH13*$C13)/$D13,"-")</f>
        <v>-</v>
      </c>
      <c r="AG13" s="10" t="str">
        <f>IF(ISNUMBER(Balancing!AI13),IF(LOWER(Balancing!$D13)="pa",$C13*SQRT(Balancing!AI13),Balancing!AI13*$C13)/$D13,"-")</f>
        <v>-</v>
      </c>
      <c r="AH13" s="10" t="str">
        <f>IF(ISNUMBER(Balancing!AJ13),IF(LOWER(Balancing!$D13)="pa",$C13*SQRT(Balancing!AJ13),Balancing!AJ13*$C13)/$D13,"-")</f>
        <v>-</v>
      </c>
      <c r="AI13" s="10" t="str">
        <f>IF(ISNUMBER(Balancing!AK13),IF(LOWER(Balancing!$D13)="pa",$C13*SQRT(Balancing!AK13),Balancing!AK13*$C13)/$D13,"-")</f>
        <v>-</v>
      </c>
      <c r="AJ13" s="15" t="str">
        <f>IF(ISNUMBER(Balancing!AL13),IF(LOWER(Balancing!$D13)="pa",$C13*SQRT(Balancing!AL13),Balancing!AL13*$C13)/$D13,"-")</f>
        <v>-</v>
      </c>
      <c r="AL13" s="10" t="b">
        <f>COUNTA(Balancing!D13:AM13)=0</f>
        <v>1</v>
      </c>
      <c r="AM13" s="10" t="b">
        <f>AND(OR(Balancing!D13="",ISERROR(C13)),OR(Balancing!D13&lt;&gt;"",Balancing!E13&lt;&gt;"",Balancing!H13&lt;&gt;""))</f>
        <v>0</v>
      </c>
      <c r="AN13" s="10" t="str">
        <f>IF(ISNUMBER(INDEX(Balancing!$H$2:$AM$51,$B13,$E$65-1)),$B13,"-")</f>
        <v>-</v>
      </c>
      <c r="AO13" s="10" t="str">
        <f>IF(ISNUMBER(INDEX(Balancing!$H$2:$AM$51,$B13,$E$65)),$B13,"-")</f>
        <v>-</v>
      </c>
      <c r="AP13" s="10" t="str">
        <f t="shared" si="7"/>
        <v>-</v>
      </c>
      <c r="AQ13" t="str">
        <f>IF(ISNUMBER(AO13),IF(ABS(INDEX($F$2:$AJ$51,$B13,$E$65)-INDEX($F$2:$AJ$51,E$66,$E$65))/INDEX($F$2:$AJ$51,E$66,$E$65)&gt;General!B$9,B13,"ok"),"-")</f>
        <v>-</v>
      </c>
      <c r="AR13" t="str">
        <f t="shared" si="0"/>
        <v>-</v>
      </c>
      <c r="AS13" t="str">
        <f t="shared" si="1"/>
        <v>-</v>
      </c>
      <c r="AT13" s="10" t="str">
        <f>IF(ISNUMBER(Balancing!H13),B13,"-")</f>
        <v>-</v>
      </c>
      <c r="AU13" t="e">
        <f t="shared" si="2"/>
        <v>#VALUE!</v>
      </c>
      <c r="AV13" s="10" t="e">
        <f>IF(E$97,"OK!",IF(LOWER(Balancing!$D13)="pa",(AU13/C13)^2,AU13/$C13))</f>
        <v>#VALUE!</v>
      </c>
      <c r="AW13" s="19" t="str">
        <f>IF(AL13,".",IF(AM13,BV$24,IF(AND(Balancing!F13="",OR(General!B$8="pa",Balancing!D13="pa")),BV$25,IF(Balancing!E13="",BV$26,IF(E$65=0,BV$27,IF(B13=E$94,BV$28,IF(AND(B13=E$94-1,B13=E$91,AO13&lt;&gt;B13),BV$31,"")))))))</f>
        <v>.</v>
      </c>
      <c r="AX13" s="8" t="str">
        <f t="shared" si="3"/>
        <v>.</v>
      </c>
      <c r="AY13" s="7" t="str">
        <f t="shared" si="4"/>
        <v>.</v>
      </c>
      <c r="BA13" s="21">
        <f t="shared" si="8"/>
        <v>0</v>
      </c>
      <c r="BB13" s="21" t="e">
        <f t="shared" si="9"/>
        <v>#VALUE!</v>
      </c>
      <c r="BC13" t="str">
        <f t="shared" si="5"/>
        <v>-</v>
      </c>
      <c r="BD13" t="str">
        <f t="shared" si="6"/>
        <v>-</v>
      </c>
      <c r="BH13" t="e">
        <f>BI4-BH4*BJ4&gt;BL4-BN4</f>
        <v>#VALUE!</v>
      </c>
      <c r="BI13" t="e">
        <f>(BI4-BH4*BJ4)-(BL4-BN4)</f>
        <v>#VALUE!</v>
      </c>
      <c r="BU13" s="26">
        <v>13</v>
      </c>
      <c r="BV13" t="str">
        <f>INDEX(BW$1:CF$32,BU13,General!$B$10)</f>
        <v>Message</v>
      </c>
      <c r="BW13" s="30" t="s">
        <v>46</v>
      </c>
      <c r="BX13" s="31" t="s">
        <v>46</v>
      </c>
      <c r="BY13" s="31" t="s">
        <v>76</v>
      </c>
      <c r="BZ13" s="31" t="s">
        <v>157</v>
      </c>
      <c r="CA13" s="31" t="s">
        <v>46</v>
      </c>
      <c r="CB13" s="31" t="s">
        <v>158</v>
      </c>
      <c r="CC13" s="31" t="s">
        <v>159</v>
      </c>
      <c r="CD13" s="31" t="s">
        <v>76</v>
      </c>
      <c r="CE13" s="31" t="s">
        <v>160</v>
      </c>
      <c r="CF13" s="32"/>
    </row>
    <row r="14" spans="1:93" x14ac:dyDescent="0.25">
      <c r="B14">
        <v>13</v>
      </c>
      <c r="C14" t="e">
        <f>IF(LOWER(Balancing!D14)="pa",Balancing!F14/1000,INDEX($E$98:$E$103,MATCH(LOWER(Balancing!D14),$D$98:$D$103,0)))</f>
        <v>#N/A</v>
      </c>
      <c r="D14" s="10">
        <f>IF(LOWER(General!$B$8)="pa",Balancing!$F14*SQRT(Balancing!E14)/1000,Balancing!E14*E$104)</f>
        <v>0</v>
      </c>
      <c r="E14" s="10" t="str">
        <f>IF(ISNUMBER(Balancing!H14),IF(LOWER(Balancing!$D14)="pa",$C14*SQRT(Balancing!H14),Balancing!H14*$C14),"-")</f>
        <v>-</v>
      </c>
      <c r="F14" s="14" t="str">
        <f>IF(ISNUMBER(Balancing!H14),IF(LOWER(Balancing!$D14)="pa",$C14*SQRT(Balancing!H14),Balancing!H14*$C14)/$D14,"-")</f>
        <v>-</v>
      </c>
      <c r="G14" s="10" t="str">
        <f>IF(ISNUMBER(Balancing!I14),IF(LOWER(Balancing!$D14)="pa",$C14*SQRT(Balancing!I14),Balancing!I14*$C14)/$D14,"-")</f>
        <v>-</v>
      </c>
      <c r="H14" s="10" t="str">
        <f>IF(ISNUMBER(Balancing!J14),IF(LOWER(Balancing!$D14)="pa",$C14*SQRT(Balancing!J14),Balancing!J14*$C14)/$D14,"-")</f>
        <v>-</v>
      </c>
      <c r="I14" s="10" t="str">
        <f>IF(ISNUMBER(Balancing!K14),IF(LOWER(Balancing!$D14)="pa",$C14*SQRT(Balancing!K14),Balancing!K14*$C14)/$D14,"-")</f>
        <v>-</v>
      </c>
      <c r="J14" s="10" t="str">
        <f>IF(ISNUMBER(Balancing!L14),IF(LOWER(Balancing!$D14)="pa",$C14*SQRT(Balancing!L14),Balancing!L14*$C14)/$D14,"-")</f>
        <v>-</v>
      </c>
      <c r="K14" s="10" t="str">
        <f>IF(ISNUMBER(Balancing!M14),IF(LOWER(Balancing!$D14)="pa",$C14*SQRT(Balancing!M14),Balancing!M14*$C14)/$D14,"-")</f>
        <v>-</v>
      </c>
      <c r="L14" s="10" t="str">
        <f>IF(ISNUMBER(Balancing!N14),IF(LOWER(Balancing!$D14)="pa",$C14*SQRT(Balancing!N14),Balancing!N14*$C14)/$D14,"-")</f>
        <v>-</v>
      </c>
      <c r="M14" s="10" t="str">
        <f>IF(ISNUMBER(Balancing!O14),IF(LOWER(Balancing!$D14)="pa",$C14*SQRT(Balancing!O14),Balancing!O14*$C14)/$D14,"-")</f>
        <v>-</v>
      </c>
      <c r="N14" s="10" t="str">
        <f>IF(ISNUMBER(Balancing!P14),IF(LOWER(Balancing!$D14)="pa",$C14*SQRT(Balancing!P14),Balancing!P14*$C14)/$D14,"-")</f>
        <v>-</v>
      </c>
      <c r="O14" s="10" t="str">
        <f>IF(ISNUMBER(Balancing!Q14),IF(LOWER(Balancing!$D14)="pa",$C14*SQRT(Balancing!Q14),Balancing!Q14*$C14)/$D14,"-")</f>
        <v>-</v>
      </c>
      <c r="P14" s="10" t="str">
        <f>IF(ISNUMBER(Balancing!R14),IF(LOWER(Balancing!$D14)="pa",$C14*SQRT(Balancing!R14),Balancing!R14*$C14)/$D14,"-")</f>
        <v>-</v>
      </c>
      <c r="Q14" s="10" t="str">
        <f>IF(ISNUMBER(Balancing!S14),IF(LOWER(Balancing!$D14)="pa",$C14*SQRT(Balancing!S14),Balancing!S14*$C14)/$D14,"-")</f>
        <v>-</v>
      </c>
      <c r="R14" s="10" t="str">
        <f>IF(ISNUMBER(Balancing!T14),IF(LOWER(Balancing!$D14)="pa",$C14*SQRT(Balancing!T14),Balancing!T14*$C14)/$D14,"-")</f>
        <v>-</v>
      </c>
      <c r="S14" s="10" t="str">
        <f>IF(ISNUMBER(Balancing!U14),IF(LOWER(Balancing!$D14)="pa",$C14*SQRT(Balancing!U14),Balancing!U14*$C14)/$D14,"-")</f>
        <v>-</v>
      </c>
      <c r="T14" s="10" t="str">
        <f>IF(ISNUMBER(Balancing!V14),IF(LOWER(Balancing!$D14)="pa",$C14*SQRT(Balancing!V14),Balancing!V14*$C14)/$D14,"-")</f>
        <v>-</v>
      </c>
      <c r="U14" s="10" t="str">
        <f>IF(ISNUMBER(Balancing!W14),IF(LOWER(Balancing!$D14)="pa",$C14*SQRT(Balancing!W14),Balancing!W14*$C14)/$D14,"-")</f>
        <v>-</v>
      </c>
      <c r="V14" s="10" t="str">
        <f>IF(ISNUMBER(Balancing!X14),IF(LOWER(Balancing!$D14)="pa",$C14*SQRT(Balancing!X14),Balancing!X14*$C14)/$D14,"-")</f>
        <v>-</v>
      </c>
      <c r="W14" s="10" t="str">
        <f>IF(ISNUMBER(Balancing!Y14),IF(LOWER(Balancing!$D14)="pa",$C14*SQRT(Balancing!Y14),Balancing!Y14*$C14)/$D14,"-")</f>
        <v>-</v>
      </c>
      <c r="X14" s="10" t="str">
        <f>IF(ISNUMBER(Balancing!Z14),IF(LOWER(Balancing!$D14)="pa",$C14*SQRT(Balancing!Z14),Balancing!Z14*$C14)/$D14,"-")</f>
        <v>-</v>
      </c>
      <c r="Y14" s="10" t="str">
        <f>IF(ISNUMBER(Balancing!AA14),IF(LOWER(Balancing!$D14)="pa",$C14*SQRT(Balancing!AA14),Balancing!AA14*$C14)/$D14,"-")</f>
        <v>-</v>
      </c>
      <c r="Z14" s="10" t="str">
        <f>IF(ISNUMBER(Balancing!AB14),IF(LOWER(Balancing!$D14)="pa",$C14*SQRT(Balancing!AB14),Balancing!AB14*$C14)/$D14,"-")</f>
        <v>-</v>
      </c>
      <c r="AA14" s="10" t="str">
        <f>IF(ISNUMBER(Balancing!AC14),IF(LOWER(Balancing!$D14)="pa",$C14*SQRT(Balancing!AC14),Balancing!AC14*$C14)/$D14,"-")</f>
        <v>-</v>
      </c>
      <c r="AB14" s="10" t="str">
        <f>IF(ISNUMBER(Balancing!AD14),IF(LOWER(Balancing!$D14)="pa",$C14*SQRT(Balancing!AD14),Balancing!AD14*$C14)/$D14,"-")</f>
        <v>-</v>
      </c>
      <c r="AC14" s="10" t="str">
        <f>IF(ISNUMBER(Balancing!AE14),IF(LOWER(Balancing!$D14)="pa",$C14*SQRT(Balancing!AE14),Balancing!AE14*$C14)/$D14,"-")</f>
        <v>-</v>
      </c>
      <c r="AD14" s="10" t="str">
        <f>IF(ISNUMBER(Balancing!AF14),IF(LOWER(Balancing!$D14)="pa",$C14*SQRT(Balancing!AF14),Balancing!AF14*$C14)/$D14,"-")</f>
        <v>-</v>
      </c>
      <c r="AE14" s="10" t="str">
        <f>IF(ISNUMBER(Balancing!AG14),IF(LOWER(Balancing!$D14)="pa",$C14*SQRT(Balancing!AG14),Balancing!AG14*$C14)/$D14,"-")</f>
        <v>-</v>
      </c>
      <c r="AF14" s="10" t="str">
        <f>IF(ISNUMBER(Balancing!AH14),IF(LOWER(Balancing!$D14)="pa",$C14*SQRT(Balancing!AH14),Balancing!AH14*$C14)/$D14,"-")</f>
        <v>-</v>
      </c>
      <c r="AG14" s="10" t="str">
        <f>IF(ISNUMBER(Balancing!AI14),IF(LOWER(Balancing!$D14)="pa",$C14*SQRT(Balancing!AI14),Balancing!AI14*$C14)/$D14,"-")</f>
        <v>-</v>
      </c>
      <c r="AH14" s="10" t="str">
        <f>IF(ISNUMBER(Balancing!AJ14),IF(LOWER(Balancing!$D14)="pa",$C14*SQRT(Balancing!AJ14),Balancing!AJ14*$C14)/$D14,"-")</f>
        <v>-</v>
      </c>
      <c r="AI14" s="10" t="str">
        <f>IF(ISNUMBER(Balancing!AK14),IF(LOWER(Balancing!$D14)="pa",$C14*SQRT(Balancing!AK14),Balancing!AK14*$C14)/$D14,"-")</f>
        <v>-</v>
      </c>
      <c r="AJ14" s="15" t="str">
        <f>IF(ISNUMBER(Balancing!AL14),IF(LOWER(Balancing!$D14)="pa",$C14*SQRT(Balancing!AL14),Balancing!AL14*$C14)/$D14,"-")</f>
        <v>-</v>
      </c>
      <c r="AL14" s="10" t="b">
        <f>COUNTA(Balancing!D14:AM14)=0</f>
        <v>1</v>
      </c>
      <c r="AM14" s="10" t="b">
        <f>AND(OR(Balancing!D14="",ISERROR(C14)),OR(Balancing!D14&lt;&gt;"",Balancing!E14&lt;&gt;"",Balancing!H14&lt;&gt;""))</f>
        <v>0</v>
      </c>
      <c r="AN14" s="10" t="str">
        <f>IF(ISNUMBER(INDEX(Balancing!$H$2:$AM$51,$B14,$E$65-1)),$B14,"-")</f>
        <v>-</v>
      </c>
      <c r="AO14" s="10" t="str">
        <f>IF(ISNUMBER(INDEX(Balancing!$H$2:$AM$51,$B14,$E$65)),$B14,"-")</f>
        <v>-</v>
      </c>
      <c r="AP14" s="10" t="str">
        <f t="shared" si="7"/>
        <v>-</v>
      </c>
      <c r="AQ14" t="str">
        <f>IF(ISNUMBER(AO14),IF(ABS(INDEX($F$2:$AJ$51,$B14,$E$65)-INDEX($F$2:$AJ$51,E$66,$E$65))/INDEX($F$2:$AJ$51,E$66,$E$65)&gt;General!B$9,B14,"ok"),"-")</f>
        <v>-</v>
      </c>
      <c r="AR14" t="str">
        <f t="shared" si="0"/>
        <v>-</v>
      </c>
      <c r="AS14" t="str">
        <f t="shared" si="1"/>
        <v>-</v>
      </c>
      <c r="AT14" s="10" t="str">
        <f>IF(ISNUMBER(Balancing!H14),B14,"-")</f>
        <v>-</v>
      </c>
      <c r="AU14" t="e">
        <f t="shared" si="2"/>
        <v>#VALUE!</v>
      </c>
      <c r="AV14" s="10" t="e">
        <f>IF(E$97,"OK!",IF(LOWER(Balancing!$D14)="pa",(AU14/C14)^2,AU14/$C14))</f>
        <v>#VALUE!</v>
      </c>
      <c r="AW14" s="19" t="str">
        <f>IF(AL14,".",IF(AM14,BV$24,IF(AND(Balancing!F14="",OR(General!B$8="pa",Balancing!D14="pa")),BV$25,IF(Balancing!E14="",BV$26,IF(E$65=0,BV$27,IF(B14=E$94,BV$28,IF(AND(B14=E$94-1,B14=E$91,AO14&lt;&gt;B14),BV$31,"")))))))</f>
        <v>.</v>
      </c>
      <c r="AX14" s="8" t="str">
        <f t="shared" si="3"/>
        <v>.</v>
      </c>
      <c r="AY14" s="7" t="str">
        <f t="shared" si="4"/>
        <v>.</v>
      </c>
      <c r="BA14" s="21">
        <f t="shared" si="8"/>
        <v>0</v>
      </c>
      <c r="BB14" s="21" t="e">
        <f t="shared" si="9"/>
        <v>#VALUE!</v>
      </c>
      <c r="BC14" t="str">
        <f t="shared" si="5"/>
        <v>-</v>
      </c>
      <c r="BD14" t="str">
        <f t="shared" si="6"/>
        <v>-</v>
      </c>
      <c r="BH14" t="b">
        <f>$E$69&lt;&gt;$E$91</f>
        <v>0</v>
      </c>
      <c r="BU14">
        <v>14</v>
      </c>
      <c r="BV14" t="str">
        <f>INDEX(BW$1:CF$32,BU14,General!$B$10)</f>
        <v>Guess</v>
      </c>
      <c r="BW14" s="30" t="s">
        <v>95</v>
      </c>
      <c r="BX14" s="31" t="s">
        <v>161</v>
      </c>
      <c r="BY14" s="31" t="s">
        <v>77</v>
      </c>
      <c r="BZ14" s="31" t="s">
        <v>162</v>
      </c>
      <c r="CA14" s="31" t="s">
        <v>77</v>
      </c>
      <c r="CB14" s="31" t="s">
        <v>261</v>
      </c>
      <c r="CC14" s="31" t="s">
        <v>222</v>
      </c>
      <c r="CD14" s="31" t="s">
        <v>77</v>
      </c>
      <c r="CE14" s="31" t="s">
        <v>77</v>
      </c>
      <c r="CF14" s="32"/>
    </row>
    <row r="15" spans="1:93" x14ac:dyDescent="0.25">
      <c r="B15">
        <v>14</v>
      </c>
      <c r="C15" t="e">
        <f>IF(LOWER(Balancing!D15)="pa",Balancing!F15/1000,INDEX($E$98:$E$103,MATCH(LOWER(Balancing!D15),$D$98:$D$103,0)))</f>
        <v>#N/A</v>
      </c>
      <c r="D15" s="10">
        <f>IF(LOWER(General!$B$8)="pa",Balancing!$F15*SQRT(Balancing!E15)/1000,Balancing!E15*E$104)</f>
        <v>0</v>
      </c>
      <c r="E15" s="10" t="str">
        <f>IF(ISNUMBER(Balancing!H15),IF(LOWER(Balancing!$D15)="pa",$C15*SQRT(Balancing!H15),Balancing!H15*$C15),"-")</f>
        <v>-</v>
      </c>
      <c r="F15" s="14" t="str">
        <f>IF(ISNUMBER(Balancing!H15),IF(LOWER(Balancing!$D15)="pa",$C15*SQRT(Balancing!H15),Balancing!H15*$C15)/$D15,"-")</f>
        <v>-</v>
      </c>
      <c r="G15" s="10" t="str">
        <f>IF(ISNUMBER(Balancing!I15),IF(LOWER(Balancing!$D15)="pa",$C15*SQRT(Balancing!I15),Balancing!I15*$C15)/$D15,"-")</f>
        <v>-</v>
      </c>
      <c r="H15" s="10" t="str">
        <f>IF(ISNUMBER(Balancing!J15),IF(LOWER(Balancing!$D15)="pa",$C15*SQRT(Balancing!J15),Balancing!J15*$C15)/$D15,"-")</f>
        <v>-</v>
      </c>
      <c r="I15" s="10" t="str">
        <f>IF(ISNUMBER(Balancing!K15),IF(LOWER(Balancing!$D15)="pa",$C15*SQRT(Balancing!K15),Balancing!K15*$C15)/$D15,"-")</f>
        <v>-</v>
      </c>
      <c r="J15" s="10" t="str">
        <f>IF(ISNUMBER(Balancing!L15),IF(LOWER(Balancing!$D15)="pa",$C15*SQRT(Balancing!L15),Balancing!L15*$C15)/$D15,"-")</f>
        <v>-</v>
      </c>
      <c r="K15" s="10" t="str">
        <f>IF(ISNUMBER(Balancing!M15),IF(LOWER(Balancing!$D15)="pa",$C15*SQRT(Balancing!M15),Balancing!M15*$C15)/$D15,"-")</f>
        <v>-</v>
      </c>
      <c r="L15" s="10" t="str">
        <f>IF(ISNUMBER(Balancing!N15),IF(LOWER(Balancing!$D15)="pa",$C15*SQRT(Balancing!N15),Balancing!N15*$C15)/$D15,"-")</f>
        <v>-</v>
      </c>
      <c r="M15" s="10" t="str">
        <f>IF(ISNUMBER(Balancing!O15),IF(LOWER(Balancing!$D15)="pa",$C15*SQRT(Balancing!O15),Balancing!O15*$C15)/$D15,"-")</f>
        <v>-</v>
      </c>
      <c r="N15" s="10" t="str">
        <f>IF(ISNUMBER(Balancing!P15),IF(LOWER(Balancing!$D15)="pa",$C15*SQRT(Balancing!P15),Balancing!P15*$C15)/$D15,"-")</f>
        <v>-</v>
      </c>
      <c r="O15" s="10" t="str">
        <f>IF(ISNUMBER(Balancing!Q15),IF(LOWER(Balancing!$D15)="pa",$C15*SQRT(Balancing!Q15),Balancing!Q15*$C15)/$D15,"-")</f>
        <v>-</v>
      </c>
      <c r="P15" s="10" t="str">
        <f>IF(ISNUMBER(Balancing!R15),IF(LOWER(Balancing!$D15)="pa",$C15*SQRT(Balancing!R15),Balancing!R15*$C15)/$D15,"-")</f>
        <v>-</v>
      </c>
      <c r="Q15" s="10" t="str">
        <f>IF(ISNUMBER(Balancing!S15),IF(LOWER(Balancing!$D15)="pa",$C15*SQRT(Balancing!S15),Balancing!S15*$C15)/$D15,"-")</f>
        <v>-</v>
      </c>
      <c r="R15" s="10" t="str">
        <f>IF(ISNUMBER(Balancing!T15),IF(LOWER(Balancing!$D15)="pa",$C15*SQRT(Balancing!T15),Balancing!T15*$C15)/$D15,"-")</f>
        <v>-</v>
      </c>
      <c r="S15" s="10" t="str">
        <f>IF(ISNUMBER(Balancing!U15),IF(LOWER(Balancing!$D15)="pa",$C15*SQRT(Balancing!U15),Balancing!U15*$C15)/$D15,"-")</f>
        <v>-</v>
      </c>
      <c r="T15" s="10" t="str">
        <f>IF(ISNUMBER(Balancing!V15),IF(LOWER(Balancing!$D15)="pa",$C15*SQRT(Balancing!V15),Balancing!V15*$C15)/$D15,"-")</f>
        <v>-</v>
      </c>
      <c r="U15" s="10" t="str">
        <f>IF(ISNUMBER(Balancing!W15),IF(LOWER(Balancing!$D15)="pa",$C15*SQRT(Balancing!W15),Balancing!W15*$C15)/$D15,"-")</f>
        <v>-</v>
      </c>
      <c r="V15" s="10" t="str">
        <f>IF(ISNUMBER(Balancing!X15),IF(LOWER(Balancing!$D15)="pa",$C15*SQRT(Balancing!X15),Balancing!X15*$C15)/$D15,"-")</f>
        <v>-</v>
      </c>
      <c r="W15" s="10" t="str">
        <f>IF(ISNUMBER(Balancing!Y15),IF(LOWER(Balancing!$D15)="pa",$C15*SQRT(Balancing!Y15),Balancing!Y15*$C15)/$D15,"-")</f>
        <v>-</v>
      </c>
      <c r="X15" s="10" t="str">
        <f>IF(ISNUMBER(Balancing!Z15),IF(LOWER(Balancing!$D15)="pa",$C15*SQRT(Balancing!Z15),Balancing!Z15*$C15)/$D15,"-")</f>
        <v>-</v>
      </c>
      <c r="Y15" s="10" t="str">
        <f>IF(ISNUMBER(Balancing!AA15),IF(LOWER(Balancing!$D15)="pa",$C15*SQRT(Balancing!AA15),Balancing!AA15*$C15)/$D15,"-")</f>
        <v>-</v>
      </c>
      <c r="Z15" s="10" t="str">
        <f>IF(ISNUMBER(Balancing!AB15),IF(LOWER(Balancing!$D15)="pa",$C15*SQRT(Balancing!AB15),Balancing!AB15*$C15)/$D15,"-")</f>
        <v>-</v>
      </c>
      <c r="AA15" s="10" t="str">
        <f>IF(ISNUMBER(Balancing!AC15),IF(LOWER(Balancing!$D15)="pa",$C15*SQRT(Balancing!AC15),Balancing!AC15*$C15)/$D15,"-")</f>
        <v>-</v>
      </c>
      <c r="AB15" s="10" t="str">
        <f>IF(ISNUMBER(Balancing!AD15),IF(LOWER(Balancing!$D15)="pa",$C15*SQRT(Balancing!AD15),Balancing!AD15*$C15)/$D15,"-")</f>
        <v>-</v>
      </c>
      <c r="AC15" s="10" t="str">
        <f>IF(ISNUMBER(Balancing!AE15),IF(LOWER(Balancing!$D15)="pa",$C15*SQRT(Balancing!AE15),Balancing!AE15*$C15)/$D15,"-")</f>
        <v>-</v>
      </c>
      <c r="AD15" s="10" t="str">
        <f>IF(ISNUMBER(Balancing!AF15),IF(LOWER(Balancing!$D15)="pa",$C15*SQRT(Balancing!AF15),Balancing!AF15*$C15)/$D15,"-")</f>
        <v>-</v>
      </c>
      <c r="AE15" s="10" t="str">
        <f>IF(ISNUMBER(Balancing!AG15),IF(LOWER(Balancing!$D15)="pa",$C15*SQRT(Balancing!AG15),Balancing!AG15*$C15)/$D15,"-")</f>
        <v>-</v>
      </c>
      <c r="AF15" s="10" t="str">
        <f>IF(ISNUMBER(Balancing!AH15),IF(LOWER(Balancing!$D15)="pa",$C15*SQRT(Balancing!AH15),Balancing!AH15*$C15)/$D15,"-")</f>
        <v>-</v>
      </c>
      <c r="AG15" s="10" t="str">
        <f>IF(ISNUMBER(Balancing!AI15),IF(LOWER(Balancing!$D15)="pa",$C15*SQRT(Balancing!AI15),Balancing!AI15*$C15)/$D15,"-")</f>
        <v>-</v>
      </c>
      <c r="AH15" s="10" t="str">
        <f>IF(ISNUMBER(Balancing!AJ15),IF(LOWER(Balancing!$D15)="pa",$C15*SQRT(Balancing!AJ15),Balancing!AJ15*$C15)/$D15,"-")</f>
        <v>-</v>
      </c>
      <c r="AI15" s="10" t="str">
        <f>IF(ISNUMBER(Balancing!AK15),IF(LOWER(Balancing!$D15)="pa",$C15*SQRT(Balancing!AK15),Balancing!AK15*$C15)/$D15,"-")</f>
        <v>-</v>
      </c>
      <c r="AJ15" s="15" t="str">
        <f>IF(ISNUMBER(Balancing!AL15),IF(LOWER(Balancing!$D15)="pa",$C15*SQRT(Balancing!AL15),Balancing!AL15*$C15)/$D15,"-")</f>
        <v>-</v>
      </c>
      <c r="AL15" s="10" t="b">
        <f>COUNTA(Balancing!D15:AM15)=0</f>
        <v>1</v>
      </c>
      <c r="AM15" s="10" t="b">
        <f>AND(OR(Balancing!D15="",ISERROR(C15)),OR(Balancing!D15&lt;&gt;"",Balancing!E15&lt;&gt;"",Balancing!H15&lt;&gt;""))</f>
        <v>0</v>
      </c>
      <c r="AN15" s="10" t="str">
        <f>IF(ISNUMBER(INDEX(Balancing!$H$2:$AM$51,$B15,$E$65-1)),$B15,"-")</f>
        <v>-</v>
      </c>
      <c r="AO15" s="10" t="str">
        <f>IF(ISNUMBER(INDEX(Balancing!$H$2:$AM$51,$B15,$E$65)),$B15,"-")</f>
        <v>-</v>
      </c>
      <c r="AP15" s="10" t="str">
        <f t="shared" si="7"/>
        <v>-</v>
      </c>
      <c r="AQ15" t="str">
        <f>IF(ISNUMBER(AO15),IF(ABS(INDEX($F$2:$AJ$51,$B15,$E$65)-INDEX($F$2:$AJ$51,E$66,$E$65))/INDEX($F$2:$AJ$51,E$66,$E$65)&gt;General!B$9,B15,"ok"),"-")</f>
        <v>-</v>
      </c>
      <c r="AR15" t="str">
        <f t="shared" si="0"/>
        <v>-</v>
      </c>
      <c r="AS15" t="str">
        <f t="shared" si="1"/>
        <v>-</v>
      </c>
      <c r="AT15" s="10" t="str">
        <f>IF(ISNUMBER(Balancing!H15),B15,"-")</f>
        <v>-</v>
      </c>
      <c r="AU15" t="e">
        <f t="shared" si="2"/>
        <v>#VALUE!</v>
      </c>
      <c r="AV15" s="10" t="e">
        <f>IF(E$97,"OK!",IF(LOWER(Balancing!$D15)="pa",(AU15/C15)^2,AU15/$C15))</f>
        <v>#VALUE!</v>
      </c>
      <c r="AW15" s="19" t="str">
        <f>IF(AL15,".",IF(AM15,BV$24,IF(AND(Balancing!F15="",OR(General!B$8="pa",Balancing!D15="pa")),BV$25,IF(Balancing!E15="",BV$26,IF(E$65=0,BV$27,IF(B15=E$94,BV$28,IF(AND(B15=E$94-1,B15=E$91,AO15&lt;&gt;B15),BV$31,"")))))))</f>
        <v>.</v>
      </c>
      <c r="AX15" s="8" t="str">
        <f t="shared" si="3"/>
        <v>.</v>
      </c>
      <c r="AY15" s="7" t="str">
        <f t="shared" si="4"/>
        <v>.</v>
      </c>
      <c r="BA15" s="21">
        <f t="shared" si="8"/>
        <v>0</v>
      </c>
      <c r="BB15" s="21" t="e">
        <f t="shared" si="9"/>
        <v>#VALUE!</v>
      </c>
      <c r="BC15" t="str">
        <f t="shared" si="5"/>
        <v>-</v>
      </c>
      <c r="BD15" t="str">
        <f t="shared" si="6"/>
        <v>-</v>
      </c>
      <c r="BU15" s="26">
        <v>15</v>
      </c>
      <c r="BV15" t="str">
        <f>INDEX(BW$1:CF$32,BU15,General!$B$10)</f>
        <v>Meas.units</v>
      </c>
      <c r="BW15" s="30" t="s">
        <v>96</v>
      </c>
      <c r="BX15" s="31" t="s">
        <v>163</v>
      </c>
      <c r="BY15" s="31" t="s">
        <v>0</v>
      </c>
      <c r="BZ15" s="31" t="s">
        <v>164</v>
      </c>
      <c r="CA15" s="31" t="s">
        <v>165</v>
      </c>
      <c r="CB15" s="31" t="s">
        <v>262</v>
      </c>
      <c r="CC15" s="31" t="s">
        <v>223</v>
      </c>
      <c r="CD15" s="31" t="s">
        <v>0</v>
      </c>
      <c r="CE15" s="31" t="s">
        <v>245</v>
      </c>
      <c r="CF15" s="32"/>
    </row>
    <row r="16" spans="1:93" x14ac:dyDescent="0.25">
      <c r="B16">
        <v>15</v>
      </c>
      <c r="C16" t="e">
        <f>IF(LOWER(Balancing!D16)="pa",Balancing!F16/1000,INDEX($E$98:$E$103,MATCH(LOWER(Balancing!D16),$D$98:$D$103,0)))</f>
        <v>#N/A</v>
      </c>
      <c r="D16" s="10">
        <f>IF(LOWER(General!$B$8)="pa",Balancing!$F16*SQRT(Balancing!E16)/1000,Balancing!E16*E$104)</f>
        <v>0</v>
      </c>
      <c r="E16" s="10" t="str">
        <f>IF(ISNUMBER(Balancing!H16),IF(LOWER(Balancing!$D16)="pa",$C16*SQRT(Balancing!H16),Balancing!H16*$C16),"-")</f>
        <v>-</v>
      </c>
      <c r="F16" s="14" t="str">
        <f>IF(ISNUMBER(Balancing!H16),IF(LOWER(Balancing!$D16)="pa",$C16*SQRT(Balancing!H16),Balancing!H16*$C16)/$D16,"-")</f>
        <v>-</v>
      </c>
      <c r="G16" s="10" t="str">
        <f>IF(ISNUMBER(Balancing!I16),IF(LOWER(Balancing!$D16)="pa",$C16*SQRT(Balancing!I16),Balancing!I16*$C16)/$D16,"-")</f>
        <v>-</v>
      </c>
      <c r="H16" s="10" t="str">
        <f>IF(ISNUMBER(Balancing!J16),IF(LOWER(Balancing!$D16)="pa",$C16*SQRT(Balancing!J16),Balancing!J16*$C16)/$D16,"-")</f>
        <v>-</v>
      </c>
      <c r="I16" s="10" t="str">
        <f>IF(ISNUMBER(Balancing!K16),IF(LOWER(Balancing!$D16)="pa",$C16*SQRT(Balancing!K16),Balancing!K16*$C16)/$D16,"-")</f>
        <v>-</v>
      </c>
      <c r="J16" s="10" t="str">
        <f>IF(ISNUMBER(Balancing!L16),IF(LOWER(Balancing!$D16)="pa",$C16*SQRT(Balancing!L16),Balancing!L16*$C16)/$D16,"-")</f>
        <v>-</v>
      </c>
      <c r="K16" s="10" t="str">
        <f>IF(ISNUMBER(Balancing!M16),IF(LOWER(Balancing!$D16)="pa",$C16*SQRT(Balancing!M16),Balancing!M16*$C16)/$D16,"-")</f>
        <v>-</v>
      </c>
      <c r="L16" s="10" t="str">
        <f>IF(ISNUMBER(Balancing!N16),IF(LOWER(Balancing!$D16)="pa",$C16*SQRT(Balancing!N16),Balancing!N16*$C16)/$D16,"-")</f>
        <v>-</v>
      </c>
      <c r="M16" s="10" t="str">
        <f>IF(ISNUMBER(Balancing!O16),IF(LOWER(Balancing!$D16)="pa",$C16*SQRT(Balancing!O16),Balancing!O16*$C16)/$D16,"-")</f>
        <v>-</v>
      </c>
      <c r="N16" s="10" t="str">
        <f>IF(ISNUMBER(Balancing!P16),IF(LOWER(Balancing!$D16)="pa",$C16*SQRT(Balancing!P16),Balancing!P16*$C16)/$D16,"-")</f>
        <v>-</v>
      </c>
      <c r="O16" s="10" t="str">
        <f>IF(ISNUMBER(Balancing!Q16),IF(LOWER(Balancing!$D16)="pa",$C16*SQRT(Balancing!Q16),Balancing!Q16*$C16)/$D16,"-")</f>
        <v>-</v>
      </c>
      <c r="P16" s="10" t="str">
        <f>IF(ISNUMBER(Balancing!R16),IF(LOWER(Balancing!$D16)="pa",$C16*SQRT(Balancing!R16),Balancing!R16*$C16)/$D16,"-")</f>
        <v>-</v>
      </c>
      <c r="Q16" s="10" t="str">
        <f>IF(ISNUMBER(Balancing!S16),IF(LOWER(Balancing!$D16)="pa",$C16*SQRT(Balancing!S16),Balancing!S16*$C16)/$D16,"-")</f>
        <v>-</v>
      </c>
      <c r="R16" s="10" t="str">
        <f>IF(ISNUMBER(Balancing!T16),IF(LOWER(Balancing!$D16)="pa",$C16*SQRT(Balancing!T16),Balancing!T16*$C16)/$D16,"-")</f>
        <v>-</v>
      </c>
      <c r="S16" s="10" t="str">
        <f>IF(ISNUMBER(Balancing!U16),IF(LOWER(Balancing!$D16)="pa",$C16*SQRT(Balancing!U16),Balancing!U16*$C16)/$D16,"-")</f>
        <v>-</v>
      </c>
      <c r="T16" s="10" t="str">
        <f>IF(ISNUMBER(Balancing!V16),IF(LOWER(Balancing!$D16)="pa",$C16*SQRT(Balancing!V16),Balancing!V16*$C16)/$D16,"-")</f>
        <v>-</v>
      </c>
      <c r="U16" s="10" t="str">
        <f>IF(ISNUMBER(Balancing!W16),IF(LOWER(Balancing!$D16)="pa",$C16*SQRT(Balancing!W16),Balancing!W16*$C16)/$D16,"-")</f>
        <v>-</v>
      </c>
      <c r="V16" s="10" t="str">
        <f>IF(ISNUMBER(Balancing!X16),IF(LOWER(Balancing!$D16)="pa",$C16*SQRT(Balancing!X16),Balancing!X16*$C16)/$D16,"-")</f>
        <v>-</v>
      </c>
      <c r="W16" s="10" t="str">
        <f>IF(ISNUMBER(Balancing!Y16),IF(LOWER(Balancing!$D16)="pa",$C16*SQRT(Balancing!Y16),Balancing!Y16*$C16)/$D16,"-")</f>
        <v>-</v>
      </c>
      <c r="X16" s="10" t="str">
        <f>IF(ISNUMBER(Balancing!Z16),IF(LOWER(Balancing!$D16)="pa",$C16*SQRT(Balancing!Z16),Balancing!Z16*$C16)/$D16,"-")</f>
        <v>-</v>
      </c>
      <c r="Y16" s="10" t="str">
        <f>IF(ISNUMBER(Balancing!AA16),IF(LOWER(Balancing!$D16)="pa",$C16*SQRT(Balancing!AA16),Balancing!AA16*$C16)/$D16,"-")</f>
        <v>-</v>
      </c>
      <c r="Z16" s="10" t="str">
        <f>IF(ISNUMBER(Balancing!AB16),IF(LOWER(Balancing!$D16)="pa",$C16*SQRT(Balancing!AB16),Balancing!AB16*$C16)/$D16,"-")</f>
        <v>-</v>
      </c>
      <c r="AA16" s="10" t="str">
        <f>IF(ISNUMBER(Balancing!AC16),IF(LOWER(Balancing!$D16)="pa",$C16*SQRT(Balancing!AC16),Balancing!AC16*$C16)/$D16,"-")</f>
        <v>-</v>
      </c>
      <c r="AB16" s="10" t="str">
        <f>IF(ISNUMBER(Balancing!AD16),IF(LOWER(Balancing!$D16)="pa",$C16*SQRT(Balancing!AD16),Balancing!AD16*$C16)/$D16,"-")</f>
        <v>-</v>
      </c>
      <c r="AC16" s="10" t="str">
        <f>IF(ISNUMBER(Balancing!AE16),IF(LOWER(Balancing!$D16)="pa",$C16*SQRT(Balancing!AE16),Balancing!AE16*$C16)/$D16,"-")</f>
        <v>-</v>
      </c>
      <c r="AD16" s="10" t="str">
        <f>IF(ISNUMBER(Balancing!AF16),IF(LOWER(Balancing!$D16)="pa",$C16*SQRT(Balancing!AF16),Balancing!AF16*$C16)/$D16,"-")</f>
        <v>-</v>
      </c>
      <c r="AE16" s="10" t="str">
        <f>IF(ISNUMBER(Balancing!AG16),IF(LOWER(Balancing!$D16)="pa",$C16*SQRT(Balancing!AG16),Balancing!AG16*$C16)/$D16,"-")</f>
        <v>-</v>
      </c>
      <c r="AF16" s="10" t="str">
        <f>IF(ISNUMBER(Balancing!AH16),IF(LOWER(Balancing!$D16)="pa",$C16*SQRT(Balancing!AH16),Balancing!AH16*$C16)/$D16,"-")</f>
        <v>-</v>
      </c>
      <c r="AG16" s="10" t="str">
        <f>IF(ISNUMBER(Balancing!AI16),IF(LOWER(Balancing!$D16)="pa",$C16*SQRT(Balancing!AI16),Balancing!AI16*$C16)/$D16,"-")</f>
        <v>-</v>
      </c>
      <c r="AH16" s="10" t="str">
        <f>IF(ISNUMBER(Balancing!AJ16),IF(LOWER(Balancing!$D16)="pa",$C16*SQRT(Balancing!AJ16),Balancing!AJ16*$C16)/$D16,"-")</f>
        <v>-</v>
      </c>
      <c r="AI16" s="10" t="str">
        <f>IF(ISNUMBER(Balancing!AK16),IF(LOWER(Balancing!$D16)="pa",$C16*SQRT(Balancing!AK16),Balancing!AK16*$C16)/$D16,"-")</f>
        <v>-</v>
      </c>
      <c r="AJ16" s="15" t="str">
        <f>IF(ISNUMBER(Balancing!AL16),IF(LOWER(Balancing!$D16)="pa",$C16*SQRT(Balancing!AL16),Balancing!AL16*$C16)/$D16,"-")</f>
        <v>-</v>
      </c>
      <c r="AL16" s="10" t="b">
        <f>COUNTA(Balancing!D16:AM16)=0</f>
        <v>1</v>
      </c>
      <c r="AM16" s="10" t="b">
        <f>AND(OR(Balancing!D16="",ISERROR(C16)),OR(Balancing!D16&lt;&gt;"",Balancing!E16&lt;&gt;"",Balancing!H16&lt;&gt;""))</f>
        <v>0</v>
      </c>
      <c r="AN16" s="10" t="str">
        <f>IF(ISNUMBER(INDEX(Balancing!$H$2:$AM$51,$B16,$E$65-1)),$B16,"-")</f>
        <v>-</v>
      </c>
      <c r="AO16" s="10" t="str">
        <f>IF(ISNUMBER(INDEX(Balancing!$H$2:$AM$51,$B16,$E$65)),$B16,"-")</f>
        <v>-</v>
      </c>
      <c r="AP16" s="10" t="str">
        <f t="shared" si="7"/>
        <v>-</v>
      </c>
      <c r="AQ16" t="str">
        <f>IF(ISNUMBER(AO16),IF(ABS(INDEX($F$2:$AJ$51,$B16,$E$65)-INDEX($F$2:$AJ$51,E$66,$E$65))/INDEX($F$2:$AJ$51,E$66,$E$65)&gt;General!B$9,B16,"ok"),"-")</f>
        <v>-</v>
      </c>
      <c r="AR16" t="str">
        <f t="shared" si="0"/>
        <v>-</v>
      </c>
      <c r="AS16" t="str">
        <f t="shared" si="1"/>
        <v>-</v>
      </c>
      <c r="AT16" s="10" t="str">
        <f>IF(ISNUMBER(Balancing!H16),B16,"-")</f>
        <v>-</v>
      </c>
      <c r="AU16" t="e">
        <f t="shared" si="2"/>
        <v>#VALUE!</v>
      </c>
      <c r="AV16" s="10" t="e">
        <f>IF(E$97,"OK!",IF(LOWER(Balancing!$D16)="pa",(AU16/C16)^2,AU16/$C16))</f>
        <v>#VALUE!</v>
      </c>
      <c r="AW16" s="19" t="str">
        <f>IF(AL16,".",IF(AM16,BV$24,IF(AND(Balancing!F16="",OR(General!B$8="pa",Balancing!D16="pa")),BV$25,IF(Balancing!E16="",BV$26,IF(E$65=0,BV$27,IF(B16=E$94,BV$28,IF(AND(B16=E$94-1,B16=E$91,AO16&lt;&gt;B16),BV$31,"")))))))</f>
        <v>.</v>
      </c>
      <c r="AX16" s="8" t="str">
        <f t="shared" si="3"/>
        <v>.</v>
      </c>
      <c r="AY16" s="7" t="str">
        <f t="shared" si="4"/>
        <v>.</v>
      </c>
      <c r="BA16" s="21">
        <f t="shared" si="8"/>
        <v>0</v>
      </c>
      <c r="BB16" s="21" t="e">
        <f t="shared" si="9"/>
        <v>#VALUE!</v>
      </c>
      <c r="BC16" t="str">
        <f t="shared" si="5"/>
        <v>-</v>
      </c>
      <c r="BD16" t="str">
        <f t="shared" si="6"/>
        <v>-</v>
      </c>
      <c r="BU16">
        <v>16</v>
      </c>
      <c r="BV16" t="str">
        <f>INDEX(BW$1:CF$32,BU16,General!$B$10)</f>
        <v>Desig.</v>
      </c>
      <c r="BW16" s="30" t="s">
        <v>113</v>
      </c>
      <c r="BX16" s="31" t="s">
        <v>284</v>
      </c>
      <c r="BY16" s="31" t="s">
        <v>97</v>
      </c>
      <c r="BZ16" s="31" t="s">
        <v>283</v>
      </c>
      <c r="CA16" s="31" t="s">
        <v>316</v>
      </c>
      <c r="CB16" s="31" t="s">
        <v>263</v>
      </c>
      <c r="CC16" s="31" t="s">
        <v>281</v>
      </c>
      <c r="CD16" s="31" t="s">
        <v>97</v>
      </c>
      <c r="CE16" s="31" t="s">
        <v>282</v>
      </c>
      <c r="CF16" s="32"/>
    </row>
    <row r="17" spans="2:84" x14ac:dyDescent="0.25">
      <c r="B17">
        <v>16</v>
      </c>
      <c r="C17" t="e">
        <f>IF(LOWER(Balancing!D17)="pa",Balancing!F17/1000,INDEX($E$98:$E$103,MATCH(LOWER(Balancing!D17),$D$98:$D$103,0)))</f>
        <v>#N/A</v>
      </c>
      <c r="D17" s="10">
        <f>IF(LOWER(General!$B$8)="pa",Balancing!$F17*SQRT(Balancing!E17)/1000,Balancing!E17*E$104)</f>
        <v>0</v>
      </c>
      <c r="E17" s="10" t="str">
        <f>IF(ISNUMBER(Balancing!H17),IF(LOWER(Balancing!$D17)="pa",$C17*SQRT(Balancing!H17),Balancing!H17*$C17),"-")</f>
        <v>-</v>
      </c>
      <c r="F17" s="14" t="str">
        <f>IF(ISNUMBER(Balancing!H17),IF(LOWER(Balancing!$D17)="pa",$C17*SQRT(Balancing!H17),Balancing!H17*$C17)/$D17,"-")</f>
        <v>-</v>
      </c>
      <c r="G17" s="10" t="str">
        <f>IF(ISNUMBER(Balancing!I17),IF(LOWER(Balancing!$D17)="pa",$C17*SQRT(Balancing!I17),Balancing!I17*$C17)/$D17,"-")</f>
        <v>-</v>
      </c>
      <c r="H17" s="10" t="str">
        <f>IF(ISNUMBER(Balancing!J17),IF(LOWER(Balancing!$D17)="pa",$C17*SQRT(Balancing!J17),Balancing!J17*$C17)/$D17,"-")</f>
        <v>-</v>
      </c>
      <c r="I17" s="10" t="str">
        <f>IF(ISNUMBER(Balancing!K17),IF(LOWER(Balancing!$D17)="pa",$C17*SQRT(Balancing!K17),Balancing!K17*$C17)/$D17,"-")</f>
        <v>-</v>
      </c>
      <c r="J17" s="10" t="str">
        <f>IF(ISNUMBER(Balancing!L17),IF(LOWER(Balancing!$D17)="pa",$C17*SQRT(Balancing!L17),Balancing!L17*$C17)/$D17,"-")</f>
        <v>-</v>
      </c>
      <c r="K17" s="10" t="str">
        <f>IF(ISNUMBER(Balancing!M17),IF(LOWER(Balancing!$D17)="pa",$C17*SQRT(Balancing!M17),Balancing!M17*$C17)/$D17,"-")</f>
        <v>-</v>
      </c>
      <c r="L17" s="10" t="str">
        <f>IF(ISNUMBER(Balancing!N17),IF(LOWER(Balancing!$D17)="pa",$C17*SQRT(Balancing!N17),Balancing!N17*$C17)/$D17,"-")</f>
        <v>-</v>
      </c>
      <c r="M17" s="10" t="str">
        <f>IF(ISNUMBER(Balancing!O17),IF(LOWER(Balancing!$D17)="pa",$C17*SQRT(Balancing!O17),Balancing!O17*$C17)/$D17,"-")</f>
        <v>-</v>
      </c>
      <c r="N17" s="10" t="str">
        <f>IF(ISNUMBER(Balancing!P17),IF(LOWER(Balancing!$D17)="pa",$C17*SQRT(Balancing!P17),Balancing!P17*$C17)/$D17,"-")</f>
        <v>-</v>
      </c>
      <c r="O17" s="10" t="str">
        <f>IF(ISNUMBER(Balancing!Q17),IF(LOWER(Balancing!$D17)="pa",$C17*SQRT(Balancing!Q17),Balancing!Q17*$C17)/$D17,"-")</f>
        <v>-</v>
      </c>
      <c r="P17" s="10" t="str">
        <f>IF(ISNUMBER(Balancing!R17),IF(LOWER(Balancing!$D17)="pa",$C17*SQRT(Balancing!R17),Balancing!R17*$C17)/$D17,"-")</f>
        <v>-</v>
      </c>
      <c r="Q17" s="10" t="str">
        <f>IF(ISNUMBER(Balancing!S17),IF(LOWER(Balancing!$D17)="pa",$C17*SQRT(Balancing!S17),Balancing!S17*$C17)/$D17,"-")</f>
        <v>-</v>
      </c>
      <c r="R17" s="10" t="str">
        <f>IF(ISNUMBER(Balancing!T17),IF(LOWER(Balancing!$D17)="pa",$C17*SQRT(Balancing!T17),Balancing!T17*$C17)/$D17,"-")</f>
        <v>-</v>
      </c>
      <c r="S17" s="10" t="str">
        <f>IF(ISNUMBER(Balancing!U17),IF(LOWER(Balancing!$D17)="pa",$C17*SQRT(Balancing!U17),Balancing!U17*$C17)/$D17,"-")</f>
        <v>-</v>
      </c>
      <c r="T17" s="10" t="str">
        <f>IF(ISNUMBER(Balancing!V17),IF(LOWER(Balancing!$D17)="pa",$C17*SQRT(Balancing!V17),Balancing!V17*$C17)/$D17,"-")</f>
        <v>-</v>
      </c>
      <c r="U17" s="10" t="str">
        <f>IF(ISNUMBER(Balancing!W17),IF(LOWER(Balancing!$D17)="pa",$C17*SQRT(Balancing!W17),Balancing!W17*$C17)/$D17,"-")</f>
        <v>-</v>
      </c>
      <c r="V17" s="10" t="str">
        <f>IF(ISNUMBER(Balancing!X17),IF(LOWER(Balancing!$D17)="pa",$C17*SQRT(Balancing!X17),Balancing!X17*$C17)/$D17,"-")</f>
        <v>-</v>
      </c>
      <c r="W17" s="10" t="str">
        <f>IF(ISNUMBER(Balancing!Y17),IF(LOWER(Balancing!$D17)="pa",$C17*SQRT(Balancing!Y17),Balancing!Y17*$C17)/$D17,"-")</f>
        <v>-</v>
      </c>
      <c r="X17" s="10" t="str">
        <f>IF(ISNUMBER(Balancing!Z17),IF(LOWER(Balancing!$D17)="pa",$C17*SQRT(Balancing!Z17),Balancing!Z17*$C17)/$D17,"-")</f>
        <v>-</v>
      </c>
      <c r="Y17" s="10" t="str">
        <f>IF(ISNUMBER(Balancing!AA17),IF(LOWER(Balancing!$D17)="pa",$C17*SQRT(Balancing!AA17),Balancing!AA17*$C17)/$D17,"-")</f>
        <v>-</v>
      </c>
      <c r="Z17" s="10" t="str">
        <f>IF(ISNUMBER(Balancing!AB17),IF(LOWER(Balancing!$D17)="pa",$C17*SQRT(Balancing!AB17),Balancing!AB17*$C17)/$D17,"-")</f>
        <v>-</v>
      </c>
      <c r="AA17" s="10" t="str">
        <f>IF(ISNUMBER(Balancing!AC17),IF(LOWER(Balancing!$D17)="pa",$C17*SQRT(Balancing!AC17),Balancing!AC17*$C17)/$D17,"-")</f>
        <v>-</v>
      </c>
      <c r="AB17" s="10" t="str">
        <f>IF(ISNUMBER(Balancing!AD17),IF(LOWER(Balancing!$D17)="pa",$C17*SQRT(Balancing!AD17),Balancing!AD17*$C17)/$D17,"-")</f>
        <v>-</v>
      </c>
      <c r="AC17" s="10" t="str">
        <f>IF(ISNUMBER(Balancing!AE17),IF(LOWER(Balancing!$D17)="pa",$C17*SQRT(Balancing!AE17),Balancing!AE17*$C17)/$D17,"-")</f>
        <v>-</v>
      </c>
      <c r="AD17" s="10" t="str">
        <f>IF(ISNUMBER(Balancing!AF17),IF(LOWER(Balancing!$D17)="pa",$C17*SQRT(Balancing!AF17),Balancing!AF17*$C17)/$D17,"-")</f>
        <v>-</v>
      </c>
      <c r="AE17" s="10" t="str">
        <f>IF(ISNUMBER(Balancing!AG17),IF(LOWER(Balancing!$D17)="pa",$C17*SQRT(Balancing!AG17),Balancing!AG17*$C17)/$D17,"-")</f>
        <v>-</v>
      </c>
      <c r="AF17" s="10" t="str">
        <f>IF(ISNUMBER(Balancing!AH17),IF(LOWER(Balancing!$D17)="pa",$C17*SQRT(Balancing!AH17),Balancing!AH17*$C17)/$D17,"-")</f>
        <v>-</v>
      </c>
      <c r="AG17" s="10" t="str">
        <f>IF(ISNUMBER(Balancing!AI17),IF(LOWER(Balancing!$D17)="pa",$C17*SQRT(Balancing!AI17),Balancing!AI17*$C17)/$D17,"-")</f>
        <v>-</v>
      </c>
      <c r="AH17" s="10" t="str">
        <f>IF(ISNUMBER(Balancing!AJ17),IF(LOWER(Balancing!$D17)="pa",$C17*SQRT(Balancing!AJ17),Balancing!AJ17*$C17)/$D17,"-")</f>
        <v>-</v>
      </c>
      <c r="AI17" s="10" t="str">
        <f>IF(ISNUMBER(Balancing!AK17),IF(LOWER(Balancing!$D17)="pa",$C17*SQRT(Balancing!AK17),Balancing!AK17*$C17)/$D17,"-")</f>
        <v>-</v>
      </c>
      <c r="AJ17" s="15" t="str">
        <f>IF(ISNUMBER(Balancing!AL17),IF(LOWER(Balancing!$D17)="pa",$C17*SQRT(Balancing!AL17),Balancing!AL17*$C17)/$D17,"-")</f>
        <v>-</v>
      </c>
      <c r="AL17" s="10" t="b">
        <f>COUNTA(Balancing!D17:AM17)=0</f>
        <v>1</v>
      </c>
      <c r="AM17" s="10" t="b">
        <f>AND(OR(Balancing!D17="",ISERROR(C17)),OR(Balancing!D17&lt;&gt;"",Balancing!E17&lt;&gt;"",Balancing!H17&lt;&gt;""))</f>
        <v>0</v>
      </c>
      <c r="AN17" s="10" t="str">
        <f>IF(ISNUMBER(INDEX(Balancing!$H$2:$AM$51,$B17,$E$65-1)),$B17,"-")</f>
        <v>-</v>
      </c>
      <c r="AO17" s="10" t="str">
        <f>IF(ISNUMBER(INDEX(Balancing!$H$2:$AM$51,$B17,$E$65)),$B17,"-")</f>
        <v>-</v>
      </c>
      <c r="AP17" s="10" t="str">
        <f t="shared" si="7"/>
        <v>-</v>
      </c>
      <c r="AQ17" t="str">
        <f>IF(ISNUMBER(AO17),IF(ABS(INDEX($F$2:$AJ$51,$B17,$E$65)-INDEX($F$2:$AJ$51,E$66,$E$65))/INDEX($F$2:$AJ$51,E$66,$E$65)&gt;General!B$9,B17,"ok"),"-")</f>
        <v>-</v>
      </c>
      <c r="AR17" t="str">
        <f t="shared" si="0"/>
        <v>-</v>
      </c>
      <c r="AS17" t="str">
        <f t="shared" si="1"/>
        <v>-</v>
      </c>
      <c r="AT17" s="10" t="str">
        <f>IF(ISNUMBER(Balancing!H17),B17,"-")</f>
        <v>-</v>
      </c>
      <c r="AU17" t="e">
        <f t="shared" si="2"/>
        <v>#VALUE!</v>
      </c>
      <c r="AV17" s="10" t="e">
        <f>IF(E$97,"OK!",IF(LOWER(Balancing!$D17)="pa",(AU17/C17)^2,AU17/$C17))</f>
        <v>#VALUE!</v>
      </c>
      <c r="AW17" s="19" t="str">
        <f>IF(AL17,".",IF(AM17,BV$24,IF(AND(Balancing!F17="",OR(General!B$8="pa",Balancing!D17="pa")),BV$25,IF(Balancing!E17="",BV$26,IF(E$65=0,BV$27,IF(B17=E$94,BV$28,IF(AND(B17=E$94-1,B17=E$91,AO17&lt;&gt;B17),BV$31,"")))))))</f>
        <v>.</v>
      </c>
      <c r="AX17" s="8" t="str">
        <f t="shared" si="3"/>
        <v>.</v>
      </c>
      <c r="AY17" s="7" t="str">
        <f t="shared" si="4"/>
        <v>.</v>
      </c>
      <c r="BA17" s="21">
        <f t="shared" si="8"/>
        <v>0</v>
      </c>
      <c r="BB17" s="21" t="e">
        <f t="shared" si="9"/>
        <v>#VALUE!</v>
      </c>
      <c r="BC17" t="str">
        <f t="shared" si="5"/>
        <v>-</v>
      </c>
      <c r="BD17" t="str">
        <f t="shared" si="6"/>
        <v>-</v>
      </c>
      <c r="BU17" s="26">
        <v>17</v>
      </c>
      <c r="BV17" t="str">
        <f>INDEX(BW$1:CF$32,BU17,General!$B$10)</f>
        <v>K-factor,l/s</v>
      </c>
      <c r="BW17" s="30" t="s">
        <v>297</v>
      </c>
      <c r="BX17" s="31" t="s">
        <v>298</v>
      </c>
      <c r="BY17" s="31" t="s">
        <v>299</v>
      </c>
      <c r="BZ17" s="31" t="s">
        <v>300</v>
      </c>
      <c r="CA17" s="31" t="s">
        <v>300</v>
      </c>
      <c r="CB17" s="31" t="s">
        <v>301</v>
      </c>
      <c r="CC17" s="31" t="s">
        <v>297</v>
      </c>
      <c r="CD17" s="31" t="s">
        <v>299</v>
      </c>
      <c r="CE17" s="31" t="s">
        <v>302</v>
      </c>
      <c r="CF17" s="32"/>
    </row>
    <row r="18" spans="2:84" x14ac:dyDescent="0.25">
      <c r="B18">
        <v>17</v>
      </c>
      <c r="C18" t="e">
        <f>IF(LOWER(Balancing!D18)="pa",Balancing!F18/1000,INDEX($E$98:$E$103,MATCH(LOWER(Balancing!D18),$D$98:$D$103,0)))</f>
        <v>#N/A</v>
      </c>
      <c r="D18" s="10">
        <f>IF(LOWER(General!$B$8)="pa",Balancing!$F18*SQRT(Balancing!E18)/1000,Balancing!E18*E$104)</f>
        <v>0</v>
      </c>
      <c r="E18" s="10" t="str">
        <f>IF(ISNUMBER(Balancing!H18),IF(LOWER(Balancing!$D18)="pa",$C18*SQRT(Balancing!H18),Balancing!H18*$C18),"-")</f>
        <v>-</v>
      </c>
      <c r="F18" s="14" t="str">
        <f>IF(ISNUMBER(Balancing!H18),IF(LOWER(Balancing!$D18)="pa",$C18*SQRT(Balancing!H18),Balancing!H18*$C18)/$D18,"-")</f>
        <v>-</v>
      </c>
      <c r="G18" s="10" t="str">
        <f>IF(ISNUMBER(Balancing!I18),IF(LOWER(Balancing!$D18)="pa",$C18*SQRT(Balancing!I18),Balancing!I18*$C18)/$D18,"-")</f>
        <v>-</v>
      </c>
      <c r="H18" s="10" t="str">
        <f>IF(ISNUMBER(Balancing!J18),IF(LOWER(Balancing!$D18)="pa",$C18*SQRT(Balancing!J18),Balancing!J18*$C18)/$D18,"-")</f>
        <v>-</v>
      </c>
      <c r="I18" s="10" t="str">
        <f>IF(ISNUMBER(Balancing!K18),IF(LOWER(Balancing!$D18)="pa",$C18*SQRT(Balancing!K18),Balancing!K18*$C18)/$D18,"-")</f>
        <v>-</v>
      </c>
      <c r="J18" s="10" t="str">
        <f>IF(ISNUMBER(Balancing!L18),IF(LOWER(Balancing!$D18)="pa",$C18*SQRT(Balancing!L18),Balancing!L18*$C18)/$D18,"-")</f>
        <v>-</v>
      </c>
      <c r="K18" s="10" t="str">
        <f>IF(ISNUMBER(Balancing!M18),IF(LOWER(Balancing!$D18)="pa",$C18*SQRT(Balancing!M18),Balancing!M18*$C18)/$D18,"-")</f>
        <v>-</v>
      </c>
      <c r="L18" s="10" t="str">
        <f>IF(ISNUMBER(Balancing!N18),IF(LOWER(Balancing!$D18)="pa",$C18*SQRT(Balancing!N18),Balancing!N18*$C18)/$D18,"-")</f>
        <v>-</v>
      </c>
      <c r="M18" s="10" t="str">
        <f>IF(ISNUMBER(Balancing!O18),IF(LOWER(Balancing!$D18)="pa",$C18*SQRT(Balancing!O18),Balancing!O18*$C18)/$D18,"-")</f>
        <v>-</v>
      </c>
      <c r="N18" s="10" t="str">
        <f>IF(ISNUMBER(Balancing!P18),IF(LOWER(Balancing!$D18)="pa",$C18*SQRT(Balancing!P18),Balancing!P18*$C18)/$D18,"-")</f>
        <v>-</v>
      </c>
      <c r="O18" s="10" t="str">
        <f>IF(ISNUMBER(Balancing!Q18),IF(LOWER(Balancing!$D18)="pa",$C18*SQRT(Balancing!Q18),Balancing!Q18*$C18)/$D18,"-")</f>
        <v>-</v>
      </c>
      <c r="P18" s="10" t="str">
        <f>IF(ISNUMBER(Balancing!R18),IF(LOWER(Balancing!$D18)="pa",$C18*SQRT(Balancing!R18),Balancing!R18*$C18)/$D18,"-")</f>
        <v>-</v>
      </c>
      <c r="Q18" s="10" t="str">
        <f>IF(ISNUMBER(Balancing!S18),IF(LOWER(Balancing!$D18)="pa",$C18*SQRT(Balancing!S18),Balancing!S18*$C18)/$D18,"-")</f>
        <v>-</v>
      </c>
      <c r="R18" s="10" t="str">
        <f>IF(ISNUMBER(Balancing!T18),IF(LOWER(Balancing!$D18)="pa",$C18*SQRT(Balancing!T18),Balancing!T18*$C18)/$D18,"-")</f>
        <v>-</v>
      </c>
      <c r="S18" s="10" t="str">
        <f>IF(ISNUMBER(Balancing!U18),IF(LOWER(Balancing!$D18)="pa",$C18*SQRT(Balancing!U18),Balancing!U18*$C18)/$D18,"-")</f>
        <v>-</v>
      </c>
      <c r="T18" s="10" t="str">
        <f>IF(ISNUMBER(Balancing!V18),IF(LOWER(Balancing!$D18)="pa",$C18*SQRT(Balancing!V18),Balancing!V18*$C18)/$D18,"-")</f>
        <v>-</v>
      </c>
      <c r="U18" s="10" t="str">
        <f>IF(ISNUMBER(Balancing!W18),IF(LOWER(Balancing!$D18)="pa",$C18*SQRT(Balancing!W18),Balancing!W18*$C18)/$D18,"-")</f>
        <v>-</v>
      </c>
      <c r="V18" s="10" t="str">
        <f>IF(ISNUMBER(Balancing!X18),IF(LOWER(Balancing!$D18)="pa",$C18*SQRT(Balancing!X18),Balancing!X18*$C18)/$D18,"-")</f>
        <v>-</v>
      </c>
      <c r="W18" s="10" t="str">
        <f>IF(ISNUMBER(Balancing!Y18),IF(LOWER(Balancing!$D18)="pa",$C18*SQRT(Balancing!Y18),Balancing!Y18*$C18)/$D18,"-")</f>
        <v>-</v>
      </c>
      <c r="X18" s="10" t="str">
        <f>IF(ISNUMBER(Balancing!Z18),IF(LOWER(Balancing!$D18)="pa",$C18*SQRT(Balancing!Z18),Balancing!Z18*$C18)/$D18,"-")</f>
        <v>-</v>
      </c>
      <c r="Y18" s="10" t="str">
        <f>IF(ISNUMBER(Balancing!AA18),IF(LOWER(Balancing!$D18)="pa",$C18*SQRT(Balancing!AA18),Balancing!AA18*$C18)/$D18,"-")</f>
        <v>-</v>
      </c>
      <c r="Z18" s="10" t="str">
        <f>IF(ISNUMBER(Balancing!AB18),IF(LOWER(Balancing!$D18)="pa",$C18*SQRT(Balancing!AB18),Balancing!AB18*$C18)/$D18,"-")</f>
        <v>-</v>
      </c>
      <c r="AA18" s="10" t="str">
        <f>IF(ISNUMBER(Balancing!AC18),IF(LOWER(Balancing!$D18)="pa",$C18*SQRT(Balancing!AC18),Balancing!AC18*$C18)/$D18,"-")</f>
        <v>-</v>
      </c>
      <c r="AB18" s="10" t="str">
        <f>IF(ISNUMBER(Balancing!AD18),IF(LOWER(Balancing!$D18)="pa",$C18*SQRT(Balancing!AD18),Balancing!AD18*$C18)/$D18,"-")</f>
        <v>-</v>
      </c>
      <c r="AC18" s="10" t="str">
        <f>IF(ISNUMBER(Balancing!AE18),IF(LOWER(Balancing!$D18)="pa",$C18*SQRT(Balancing!AE18),Balancing!AE18*$C18)/$D18,"-")</f>
        <v>-</v>
      </c>
      <c r="AD18" s="10" t="str">
        <f>IF(ISNUMBER(Balancing!AF18),IF(LOWER(Balancing!$D18)="pa",$C18*SQRT(Balancing!AF18),Balancing!AF18*$C18)/$D18,"-")</f>
        <v>-</v>
      </c>
      <c r="AE18" s="10" t="str">
        <f>IF(ISNUMBER(Balancing!AG18),IF(LOWER(Balancing!$D18)="pa",$C18*SQRT(Balancing!AG18),Balancing!AG18*$C18)/$D18,"-")</f>
        <v>-</v>
      </c>
      <c r="AF18" s="10" t="str">
        <f>IF(ISNUMBER(Balancing!AH18),IF(LOWER(Balancing!$D18)="pa",$C18*SQRT(Balancing!AH18),Balancing!AH18*$C18)/$D18,"-")</f>
        <v>-</v>
      </c>
      <c r="AG18" s="10" t="str">
        <f>IF(ISNUMBER(Balancing!AI18),IF(LOWER(Balancing!$D18)="pa",$C18*SQRT(Balancing!AI18),Balancing!AI18*$C18)/$D18,"-")</f>
        <v>-</v>
      </c>
      <c r="AH18" s="10" t="str">
        <f>IF(ISNUMBER(Balancing!AJ18),IF(LOWER(Balancing!$D18)="pa",$C18*SQRT(Balancing!AJ18),Balancing!AJ18*$C18)/$D18,"-")</f>
        <v>-</v>
      </c>
      <c r="AI18" s="10" t="str">
        <f>IF(ISNUMBER(Balancing!AK18),IF(LOWER(Balancing!$D18)="pa",$C18*SQRT(Balancing!AK18),Balancing!AK18*$C18)/$D18,"-")</f>
        <v>-</v>
      </c>
      <c r="AJ18" s="15" t="str">
        <f>IF(ISNUMBER(Balancing!AL18),IF(LOWER(Balancing!$D18)="pa",$C18*SQRT(Balancing!AL18),Balancing!AL18*$C18)/$D18,"-")</f>
        <v>-</v>
      </c>
      <c r="AL18" s="10" t="b">
        <f>COUNTA(Balancing!D18:AM18)=0</f>
        <v>1</v>
      </c>
      <c r="AM18" s="10" t="b">
        <f>AND(OR(Balancing!D18="",ISERROR(C18)),OR(Balancing!D18&lt;&gt;"",Balancing!E18&lt;&gt;"",Balancing!H18&lt;&gt;""))</f>
        <v>0</v>
      </c>
      <c r="AN18" s="10" t="str">
        <f>IF(ISNUMBER(INDEX(Balancing!$H$2:$AM$51,$B18,$E$65-1)),$B18,"-")</f>
        <v>-</v>
      </c>
      <c r="AO18" s="10" t="str">
        <f>IF(ISNUMBER(INDEX(Balancing!$H$2:$AM$51,$B18,$E$65)),$B18,"-")</f>
        <v>-</v>
      </c>
      <c r="AP18" s="10" t="str">
        <f t="shared" si="7"/>
        <v>-</v>
      </c>
      <c r="AQ18" t="str">
        <f>IF(ISNUMBER(AO18),IF(ABS(INDEX($F$2:$AJ$51,$B18,$E$65)-INDEX($F$2:$AJ$51,E$66,$E$65))/INDEX($F$2:$AJ$51,E$66,$E$65)&gt;General!B$9,B18,"ok"),"-")</f>
        <v>-</v>
      </c>
      <c r="AR18" t="str">
        <f t="shared" si="0"/>
        <v>-</v>
      </c>
      <c r="AS18" t="str">
        <f t="shared" si="1"/>
        <v>-</v>
      </c>
      <c r="AT18" s="10" t="str">
        <f>IF(ISNUMBER(Balancing!H18),B18,"-")</f>
        <v>-</v>
      </c>
      <c r="AU18" t="e">
        <f t="shared" si="2"/>
        <v>#VALUE!</v>
      </c>
      <c r="AV18" s="10" t="e">
        <f>IF(E$97,"OK!",IF(LOWER(Balancing!$D18)="pa",(AU18/C18)^2,AU18/$C18))</f>
        <v>#VALUE!</v>
      </c>
      <c r="AW18" s="19" t="str">
        <f>IF(AL18,".",IF(AM18,BV$24,IF(AND(Balancing!F18="",OR(General!B$8="pa",Balancing!D18="pa")),BV$25,IF(Balancing!E18="",BV$26,IF(E$65=0,BV$27,IF(B18=E$94,BV$28,IF(AND(B18=E$94-1,B18=E$91,AO18&lt;&gt;B18),BV$31,"")))))))</f>
        <v>.</v>
      </c>
      <c r="AX18" s="8" t="str">
        <f t="shared" si="3"/>
        <v>.</v>
      </c>
      <c r="AY18" s="7" t="str">
        <f t="shared" si="4"/>
        <v>.</v>
      </c>
      <c r="BA18" s="21">
        <f t="shared" si="8"/>
        <v>0</v>
      </c>
      <c r="BB18" s="21" t="e">
        <f t="shared" si="9"/>
        <v>#VALUE!</v>
      </c>
      <c r="BC18" t="str">
        <f t="shared" si="5"/>
        <v>-</v>
      </c>
      <c r="BD18" t="str">
        <f t="shared" si="6"/>
        <v>-</v>
      </c>
      <c r="BU18">
        <v>18</v>
      </c>
      <c r="BV18" t="str">
        <f>INDEX(BW$1:CF$32,BU18,General!$B$10)</f>
        <v>(empty col.)</v>
      </c>
      <c r="BW18" s="30" t="s">
        <v>98</v>
      </c>
      <c r="BX18" s="31" t="s">
        <v>166</v>
      </c>
      <c r="BY18" s="31" t="s">
        <v>78</v>
      </c>
      <c r="BZ18" s="31" t="s">
        <v>167</v>
      </c>
      <c r="CA18" s="31" t="s">
        <v>208</v>
      </c>
      <c r="CB18" s="31" t="s">
        <v>264</v>
      </c>
      <c r="CC18" s="31" t="s">
        <v>224</v>
      </c>
      <c r="CD18" s="31" t="s">
        <v>78</v>
      </c>
      <c r="CE18" s="31" t="s">
        <v>252</v>
      </c>
      <c r="CF18" s="32"/>
    </row>
    <row r="19" spans="2:84" x14ac:dyDescent="0.25">
      <c r="B19">
        <v>18</v>
      </c>
      <c r="C19" t="e">
        <f>IF(LOWER(Balancing!D19)="pa",Balancing!F19/1000,INDEX($E$98:$E$103,MATCH(LOWER(Balancing!D19),$D$98:$D$103,0)))</f>
        <v>#N/A</v>
      </c>
      <c r="D19" s="10">
        <f>IF(LOWER(General!$B$8)="pa",Balancing!$F19*SQRT(Balancing!E19)/1000,Balancing!E19*E$104)</f>
        <v>0</v>
      </c>
      <c r="E19" s="10" t="str">
        <f>IF(ISNUMBER(Balancing!H19),IF(LOWER(Balancing!$D19)="pa",$C19*SQRT(Balancing!H19),Balancing!H19*$C19),"-")</f>
        <v>-</v>
      </c>
      <c r="F19" s="14" t="str">
        <f>IF(ISNUMBER(Balancing!H19),IF(LOWER(Balancing!$D19)="pa",$C19*SQRT(Balancing!H19),Balancing!H19*$C19)/$D19,"-")</f>
        <v>-</v>
      </c>
      <c r="G19" s="10" t="str">
        <f>IF(ISNUMBER(Balancing!I19),IF(LOWER(Balancing!$D19)="pa",$C19*SQRT(Balancing!I19),Balancing!I19*$C19)/$D19,"-")</f>
        <v>-</v>
      </c>
      <c r="H19" s="10" t="str">
        <f>IF(ISNUMBER(Balancing!J19),IF(LOWER(Balancing!$D19)="pa",$C19*SQRT(Balancing!J19),Balancing!J19*$C19)/$D19,"-")</f>
        <v>-</v>
      </c>
      <c r="I19" s="10" t="str">
        <f>IF(ISNUMBER(Balancing!K19),IF(LOWER(Balancing!$D19)="pa",$C19*SQRT(Balancing!K19),Balancing!K19*$C19)/$D19,"-")</f>
        <v>-</v>
      </c>
      <c r="J19" s="10" t="str">
        <f>IF(ISNUMBER(Balancing!L19),IF(LOWER(Balancing!$D19)="pa",$C19*SQRT(Balancing!L19),Balancing!L19*$C19)/$D19,"-")</f>
        <v>-</v>
      </c>
      <c r="K19" s="10" t="str">
        <f>IF(ISNUMBER(Balancing!M19),IF(LOWER(Balancing!$D19)="pa",$C19*SQRT(Balancing!M19),Balancing!M19*$C19)/$D19,"-")</f>
        <v>-</v>
      </c>
      <c r="L19" s="10" t="str">
        <f>IF(ISNUMBER(Balancing!N19),IF(LOWER(Balancing!$D19)="pa",$C19*SQRT(Balancing!N19),Balancing!N19*$C19)/$D19,"-")</f>
        <v>-</v>
      </c>
      <c r="M19" s="10" t="str">
        <f>IF(ISNUMBER(Balancing!O19),IF(LOWER(Balancing!$D19)="pa",$C19*SQRT(Balancing!O19),Balancing!O19*$C19)/$D19,"-")</f>
        <v>-</v>
      </c>
      <c r="N19" s="10" t="str">
        <f>IF(ISNUMBER(Balancing!P19),IF(LOWER(Balancing!$D19)="pa",$C19*SQRT(Balancing!P19),Balancing!P19*$C19)/$D19,"-")</f>
        <v>-</v>
      </c>
      <c r="O19" s="10" t="str">
        <f>IF(ISNUMBER(Balancing!Q19),IF(LOWER(Balancing!$D19)="pa",$C19*SQRT(Balancing!Q19),Balancing!Q19*$C19)/$D19,"-")</f>
        <v>-</v>
      </c>
      <c r="P19" s="10" t="str">
        <f>IF(ISNUMBER(Balancing!R19),IF(LOWER(Balancing!$D19)="pa",$C19*SQRT(Balancing!R19),Balancing!R19*$C19)/$D19,"-")</f>
        <v>-</v>
      </c>
      <c r="Q19" s="10" t="str">
        <f>IF(ISNUMBER(Balancing!S19),IF(LOWER(Balancing!$D19)="pa",$C19*SQRT(Balancing!S19),Balancing!S19*$C19)/$D19,"-")</f>
        <v>-</v>
      </c>
      <c r="R19" s="10" t="str">
        <f>IF(ISNUMBER(Balancing!T19),IF(LOWER(Balancing!$D19)="pa",$C19*SQRT(Balancing!T19),Balancing!T19*$C19)/$D19,"-")</f>
        <v>-</v>
      </c>
      <c r="S19" s="10" t="str">
        <f>IF(ISNUMBER(Balancing!U19),IF(LOWER(Balancing!$D19)="pa",$C19*SQRT(Balancing!U19),Balancing!U19*$C19)/$D19,"-")</f>
        <v>-</v>
      </c>
      <c r="T19" s="10" t="str">
        <f>IF(ISNUMBER(Balancing!V19),IF(LOWER(Balancing!$D19)="pa",$C19*SQRT(Balancing!V19),Balancing!V19*$C19)/$D19,"-")</f>
        <v>-</v>
      </c>
      <c r="U19" s="10" t="str">
        <f>IF(ISNUMBER(Balancing!W19),IF(LOWER(Balancing!$D19)="pa",$C19*SQRT(Balancing!W19),Balancing!W19*$C19)/$D19,"-")</f>
        <v>-</v>
      </c>
      <c r="V19" s="10" t="str">
        <f>IF(ISNUMBER(Balancing!X19),IF(LOWER(Balancing!$D19)="pa",$C19*SQRT(Balancing!X19),Balancing!X19*$C19)/$D19,"-")</f>
        <v>-</v>
      </c>
      <c r="W19" s="10" t="str">
        <f>IF(ISNUMBER(Balancing!Y19),IF(LOWER(Balancing!$D19)="pa",$C19*SQRT(Balancing!Y19),Balancing!Y19*$C19)/$D19,"-")</f>
        <v>-</v>
      </c>
      <c r="X19" s="10" t="str">
        <f>IF(ISNUMBER(Balancing!Z19),IF(LOWER(Balancing!$D19)="pa",$C19*SQRT(Balancing!Z19),Balancing!Z19*$C19)/$D19,"-")</f>
        <v>-</v>
      </c>
      <c r="Y19" s="10" t="str">
        <f>IF(ISNUMBER(Balancing!AA19),IF(LOWER(Balancing!$D19)="pa",$C19*SQRT(Balancing!AA19),Balancing!AA19*$C19)/$D19,"-")</f>
        <v>-</v>
      </c>
      <c r="Z19" s="10" t="str">
        <f>IF(ISNUMBER(Balancing!AB19),IF(LOWER(Balancing!$D19)="pa",$C19*SQRT(Balancing!AB19),Balancing!AB19*$C19)/$D19,"-")</f>
        <v>-</v>
      </c>
      <c r="AA19" s="10" t="str">
        <f>IF(ISNUMBER(Balancing!AC19),IF(LOWER(Balancing!$D19)="pa",$C19*SQRT(Balancing!AC19),Balancing!AC19*$C19)/$D19,"-")</f>
        <v>-</v>
      </c>
      <c r="AB19" s="10" t="str">
        <f>IF(ISNUMBER(Balancing!AD19),IF(LOWER(Balancing!$D19)="pa",$C19*SQRT(Balancing!AD19),Balancing!AD19*$C19)/$D19,"-")</f>
        <v>-</v>
      </c>
      <c r="AC19" s="10" t="str">
        <f>IF(ISNUMBER(Balancing!AE19),IF(LOWER(Balancing!$D19)="pa",$C19*SQRT(Balancing!AE19),Balancing!AE19*$C19)/$D19,"-")</f>
        <v>-</v>
      </c>
      <c r="AD19" s="10" t="str">
        <f>IF(ISNUMBER(Balancing!AF19),IF(LOWER(Balancing!$D19)="pa",$C19*SQRT(Balancing!AF19),Balancing!AF19*$C19)/$D19,"-")</f>
        <v>-</v>
      </c>
      <c r="AE19" s="10" t="str">
        <f>IF(ISNUMBER(Balancing!AG19),IF(LOWER(Balancing!$D19)="pa",$C19*SQRT(Balancing!AG19),Balancing!AG19*$C19)/$D19,"-")</f>
        <v>-</v>
      </c>
      <c r="AF19" s="10" t="str">
        <f>IF(ISNUMBER(Balancing!AH19),IF(LOWER(Balancing!$D19)="pa",$C19*SQRT(Balancing!AH19),Balancing!AH19*$C19)/$D19,"-")</f>
        <v>-</v>
      </c>
      <c r="AG19" s="10" t="str">
        <f>IF(ISNUMBER(Balancing!AI19),IF(LOWER(Balancing!$D19)="pa",$C19*SQRT(Balancing!AI19),Balancing!AI19*$C19)/$D19,"-")</f>
        <v>-</v>
      </c>
      <c r="AH19" s="10" t="str">
        <f>IF(ISNUMBER(Balancing!AJ19),IF(LOWER(Balancing!$D19)="pa",$C19*SQRT(Balancing!AJ19),Balancing!AJ19*$C19)/$D19,"-")</f>
        <v>-</v>
      </c>
      <c r="AI19" s="10" t="str">
        <f>IF(ISNUMBER(Balancing!AK19),IF(LOWER(Balancing!$D19)="pa",$C19*SQRT(Balancing!AK19),Balancing!AK19*$C19)/$D19,"-")</f>
        <v>-</v>
      </c>
      <c r="AJ19" s="15" t="str">
        <f>IF(ISNUMBER(Balancing!AL19),IF(LOWER(Balancing!$D19)="pa",$C19*SQRT(Balancing!AL19),Balancing!AL19*$C19)/$D19,"-")</f>
        <v>-</v>
      </c>
      <c r="AL19" s="10" t="b">
        <f>COUNTA(Balancing!D19:AM19)=0</f>
        <v>1</v>
      </c>
      <c r="AM19" s="10" t="b">
        <f>AND(OR(Balancing!D19="",ISERROR(C19)),OR(Balancing!D19&lt;&gt;"",Balancing!E19&lt;&gt;"",Balancing!H19&lt;&gt;""))</f>
        <v>0</v>
      </c>
      <c r="AN19" s="10" t="str">
        <f>IF(ISNUMBER(INDEX(Balancing!$H$2:$AM$51,$B19,$E$65-1)),$B19,"-")</f>
        <v>-</v>
      </c>
      <c r="AO19" s="10" t="str">
        <f>IF(ISNUMBER(INDEX(Balancing!$H$2:$AM$51,$B19,$E$65)),$B19,"-")</f>
        <v>-</v>
      </c>
      <c r="AP19" s="10" t="str">
        <f t="shared" si="7"/>
        <v>-</v>
      </c>
      <c r="AQ19" t="str">
        <f>IF(ISNUMBER(AO19),IF(ABS(INDEX($F$2:$AJ$51,$B19,$E$65)-INDEX($F$2:$AJ$51,E$66,$E$65))/INDEX($F$2:$AJ$51,E$66,$E$65)&gt;General!B$9,B19,"ok"),"-")</f>
        <v>-</v>
      </c>
      <c r="AR19" t="str">
        <f t="shared" si="0"/>
        <v>-</v>
      </c>
      <c r="AS19" t="str">
        <f t="shared" si="1"/>
        <v>-</v>
      </c>
      <c r="AT19" s="10" t="str">
        <f>IF(ISNUMBER(Balancing!H19),B19,"-")</f>
        <v>-</v>
      </c>
      <c r="AU19" t="e">
        <f t="shared" si="2"/>
        <v>#VALUE!</v>
      </c>
      <c r="AV19" s="10" t="e">
        <f>IF(E$97,"OK!",IF(LOWER(Balancing!$D19)="pa",(AU19/C19)^2,AU19/$C19))</f>
        <v>#VALUE!</v>
      </c>
      <c r="AW19" s="19" t="str">
        <f>IF(AL19,".",IF(AM19,BV$24,IF(AND(Balancing!F19="",OR(General!B$8="pa",Balancing!D19="pa")),BV$25,IF(Balancing!E19="",BV$26,IF(E$65=0,BV$27,IF(B19=E$94,BV$28,IF(AND(B19=E$94-1,B19=E$91,AO19&lt;&gt;B19),BV$31,"")))))))</f>
        <v>.</v>
      </c>
      <c r="AX19" s="8" t="str">
        <f t="shared" si="3"/>
        <v>.</v>
      </c>
      <c r="AY19" s="7" t="str">
        <f t="shared" si="4"/>
        <v>.</v>
      </c>
      <c r="BA19" s="21">
        <f t="shared" si="8"/>
        <v>0</v>
      </c>
      <c r="BB19" s="21" t="e">
        <f t="shared" si="9"/>
        <v>#VALUE!</v>
      </c>
      <c r="BC19" t="str">
        <f t="shared" si="5"/>
        <v>-</v>
      </c>
      <c r="BD19" t="str">
        <f t="shared" si="6"/>
        <v>-</v>
      </c>
      <c r="BU19" s="26">
        <v>19</v>
      </c>
      <c r="BV19" t="str">
        <f>INDEX(BW$1:CF$32,BU19,General!$B$10)</f>
        <v xml:space="preserve"> Initial &amp; Balancing (clear these yellow columns before starting a new balancing group)</v>
      </c>
      <c r="BW19" s="30" t="s">
        <v>317</v>
      </c>
      <c r="BX19" s="31" t="s">
        <v>168</v>
      </c>
      <c r="BY19" s="31" t="s">
        <v>105</v>
      </c>
      <c r="BZ19" s="31" t="s">
        <v>169</v>
      </c>
      <c r="CA19" s="31" t="s">
        <v>209</v>
      </c>
      <c r="CB19" s="31" t="s">
        <v>265</v>
      </c>
      <c r="CC19" s="31" t="s">
        <v>225</v>
      </c>
      <c r="CD19" s="31" t="s">
        <v>105</v>
      </c>
      <c r="CE19" s="31" t="s">
        <v>246</v>
      </c>
      <c r="CF19" s="32"/>
    </row>
    <row r="20" spans="2:84" x14ac:dyDescent="0.25">
      <c r="B20">
        <v>19</v>
      </c>
      <c r="C20" t="e">
        <f>IF(LOWER(Balancing!D20)="pa",Balancing!F20/1000,INDEX($E$98:$E$103,MATCH(LOWER(Balancing!D20),$D$98:$D$103,0)))</f>
        <v>#N/A</v>
      </c>
      <c r="D20" s="10">
        <f>IF(LOWER(General!$B$8)="pa",Balancing!$F20*SQRT(Balancing!E20)/1000,Balancing!E20*E$104)</f>
        <v>0</v>
      </c>
      <c r="E20" s="10" t="str">
        <f>IF(ISNUMBER(Balancing!H20),IF(LOWER(Balancing!$D20)="pa",$C20*SQRT(Balancing!H20),Balancing!H20*$C20),"-")</f>
        <v>-</v>
      </c>
      <c r="F20" s="14" t="str">
        <f>IF(ISNUMBER(Balancing!H20),IF(LOWER(Balancing!$D20)="pa",$C20*SQRT(Balancing!H20),Balancing!H20*$C20)/$D20,"-")</f>
        <v>-</v>
      </c>
      <c r="G20" s="10" t="str">
        <f>IF(ISNUMBER(Balancing!I20),IF(LOWER(Balancing!$D20)="pa",$C20*SQRT(Balancing!I20),Balancing!I20*$C20)/$D20,"-")</f>
        <v>-</v>
      </c>
      <c r="H20" s="10" t="str">
        <f>IF(ISNUMBER(Balancing!J20),IF(LOWER(Balancing!$D20)="pa",$C20*SQRT(Balancing!J20),Balancing!J20*$C20)/$D20,"-")</f>
        <v>-</v>
      </c>
      <c r="I20" s="10" t="str">
        <f>IF(ISNUMBER(Balancing!K20),IF(LOWER(Balancing!$D20)="pa",$C20*SQRT(Balancing!K20),Balancing!K20*$C20)/$D20,"-")</f>
        <v>-</v>
      </c>
      <c r="J20" s="10" t="str">
        <f>IF(ISNUMBER(Balancing!L20),IF(LOWER(Balancing!$D20)="pa",$C20*SQRT(Balancing!L20),Balancing!L20*$C20)/$D20,"-")</f>
        <v>-</v>
      </c>
      <c r="K20" s="10" t="str">
        <f>IF(ISNUMBER(Balancing!M20),IF(LOWER(Balancing!$D20)="pa",$C20*SQRT(Balancing!M20),Balancing!M20*$C20)/$D20,"-")</f>
        <v>-</v>
      </c>
      <c r="L20" s="10" t="str">
        <f>IF(ISNUMBER(Balancing!N20),IF(LOWER(Balancing!$D20)="pa",$C20*SQRT(Balancing!N20),Balancing!N20*$C20)/$D20,"-")</f>
        <v>-</v>
      </c>
      <c r="M20" s="10" t="str">
        <f>IF(ISNUMBER(Balancing!O20),IF(LOWER(Balancing!$D20)="pa",$C20*SQRT(Balancing!O20),Balancing!O20*$C20)/$D20,"-")</f>
        <v>-</v>
      </c>
      <c r="N20" s="10" t="str">
        <f>IF(ISNUMBER(Balancing!P20),IF(LOWER(Balancing!$D20)="pa",$C20*SQRT(Balancing!P20),Balancing!P20*$C20)/$D20,"-")</f>
        <v>-</v>
      </c>
      <c r="O20" s="10" t="str">
        <f>IF(ISNUMBER(Balancing!Q20),IF(LOWER(Balancing!$D20)="pa",$C20*SQRT(Balancing!Q20),Balancing!Q20*$C20)/$D20,"-")</f>
        <v>-</v>
      </c>
      <c r="P20" s="10" t="str">
        <f>IF(ISNUMBER(Balancing!R20),IF(LOWER(Balancing!$D20)="pa",$C20*SQRT(Balancing!R20),Balancing!R20*$C20)/$D20,"-")</f>
        <v>-</v>
      </c>
      <c r="Q20" s="10" t="str">
        <f>IF(ISNUMBER(Balancing!S20),IF(LOWER(Balancing!$D20)="pa",$C20*SQRT(Balancing!S20),Balancing!S20*$C20)/$D20,"-")</f>
        <v>-</v>
      </c>
      <c r="R20" s="10" t="str">
        <f>IF(ISNUMBER(Balancing!T20),IF(LOWER(Balancing!$D20)="pa",$C20*SQRT(Balancing!T20),Balancing!T20*$C20)/$D20,"-")</f>
        <v>-</v>
      </c>
      <c r="S20" s="10" t="str">
        <f>IF(ISNUMBER(Balancing!U20),IF(LOWER(Balancing!$D20)="pa",$C20*SQRT(Balancing!U20),Balancing!U20*$C20)/$D20,"-")</f>
        <v>-</v>
      </c>
      <c r="T20" s="10" t="str">
        <f>IF(ISNUMBER(Balancing!V20),IF(LOWER(Balancing!$D20)="pa",$C20*SQRT(Balancing!V20),Balancing!V20*$C20)/$D20,"-")</f>
        <v>-</v>
      </c>
      <c r="U20" s="10" t="str">
        <f>IF(ISNUMBER(Balancing!W20),IF(LOWER(Balancing!$D20)="pa",$C20*SQRT(Balancing!W20),Balancing!W20*$C20)/$D20,"-")</f>
        <v>-</v>
      </c>
      <c r="V20" s="10" t="str">
        <f>IF(ISNUMBER(Balancing!X20),IF(LOWER(Balancing!$D20)="pa",$C20*SQRT(Balancing!X20),Balancing!X20*$C20)/$D20,"-")</f>
        <v>-</v>
      </c>
      <c r="W20" s="10" t="str">
        <f>IF(ISNUMBER(Balancing!Y20),IF(LOWER(Balancing!$D20)="pa",$C20*SQRT(Balancing!Y20),Balancing!Y20*$C20)/$D20,"-")</f>
        <v>-</v>
      </c>
      <c r="X20" s="10" t="str">
        <f>IF(ISNUMBER(Balancing!Z20),IF(LOWER(Balancing!$D20)="pa",$C20*SQRT(Balancing!Z20),Balancing!Z20*$C20)/$D20,"-")</f>
        <v>-</v>
      </c>
      <c r="Y20" s="10" t="str">
        <f>IF(ISNUMBER(Balancing!AA20),IF(LOWER(Balancing!$D20)="pa",$C20*SQRT(Balancing!AA20),Balancing!AA20*$C20)/$D20,"-")</f>
        <v>-</v>
      </c>
      <c r="Z20" s="10" t="str">
        <f>IF(ISNUMBER(Balancing!AB20),IF(LOWER(Balancing!$D20)="pa",$C20*SQRT(Balancing!AB20),Balancing!AB20*$C20)/$D20,"-")</f>
        <v>-</v>
      </c>
      <c r="AA20" s="10" t="str">
        <f>IF(ISNUMBER(Balancing!AC20),IF(LOWER(Balancing!$D20)="pa",$C20*SQRT(Balancing!AC20),Balancing!AC20*$C20)/$D20,"-")</f>
        <v>-</v>
      </c>
      <c r="AB20" s="10" t="str">
        <f>IF(ISNUMBER(Balancing!AD20),IF(LOWER(Balancing!$D20)="pa",$C20*SQRT(Balancing!AD20),Balancing!AD20*$C20)/$D20,"-")</f>
        <v>-</v>
      </c>
      <c r="AC20" s="10" t="str">
        <f>IF(ISNUMBER(Balancing!AE20),IF(LOWER(Balancing!$D20)="pa",$C20*SQRT(Balancing!AE20),Balancing!AE20*$C20)/$D20,"-")</f>
        <v>-</v>
      </c>
      <c r="AD20" s="10" t="str">
        <f>IF(ISNUMBER(Balancing!AF20),IF(LOWER(Balancing!$D20)="pa",$C20*SQRT(Balancing!AF20),Balancing!AF20*$C20)/$D20,"-")</f>
        <v>-</v>
      </c>
      <c r="AE20" s="10" t="str">
        <f>IF(ISNUMBER(Balancing!AG20),IF(LOWER(Balancing!$D20)="pa",$C20*SQRT(Balancing!AG20),Balancing!AG20*$C20)/$D20,"-")</f>
        <v>-</v>
      </c>
      <c r="AF20" s="10" t="str">
        <f>IF(ISNUMBER(Balancing!AH20),IF(LOWER(Balancing!$D20)="pa",$C20*SQRT(Balancing!AH20),Balancing!AH20*$C20)/$D20,"-")</f>
        <v>-</v>
      </c>
      <c r="AG20" s="10" t="str">
        <f>IF(ISNUMBER(Balancing!AI20),IF(LOWER(Balancing!$D20)="pa",$C20*SQRT(Balancing!AI20),Balancing!AI20*$C20)/$D20,"-")</f>
        <v>-</v>
      </c>
      <c r="AH20" s="10" t="str">
        <f>IF(ISNUMBER(Balancing!AJ20),IF(LOWER(Balancing!$D20)="pa",$C20*SQRT(Balancing!AJ20),Balancing!AJ20*$C20)/$D20,"-")</f>
        <v>-</v>
      </c>
      <c r="AI20" s="10" t="str">
        <f>IF(ISNUMBER(Balancing!AK20),IF(LOWER(Balancing!$D20)="pa",$C20*SQRT(Balancing!AK20),Balancing!AK20*$C20)/$D20,"-")</f>
        <v>-</v>
      </c>
      <c r="AJ20" s="15" t="str">
        <f>IF(ISNUMBER(Balancing!AL20),IF(LOWER(Balancing!$D20)="pa",$C20*SQRT(Balancing!AL20),Balancing!AL20*$C20)/$D20,"-")</f>
        <v>-</v>
      </c>
      <c r="AL20" s="10" t="b">
        <f>COUNTA(Balancing!D20:AM20)=0</f>
        <v>1</v>
      </c>
      <c r="AM20" s="10" t="b">
        <f>AND(OR(Balancing!D20="",ISERROR(C20)),OR(Balancing!D20&lt;&gt;"",Balancing!E20&lt;&gt;"",Balancing!H20&lt;&gt;""))</f>
        <v>0</v>
      </c>
      <c r="AN20" s="10" t="str">
        <f>IF(ISNUMBER(INDEX(Balancing!$H$2:$AM$51,$B20,$E$65-1)),$B20,"-")</f>
        <v>-</v>
      </c>
      <c r="AO20" s="10" t="str">
        <f>IF(ISNUMBER(INDEX(Balancing!$H$2:$AM$51,$B20,$E$65)),$B20,"-")</f>
        <v>-</v>
      </c>
      <c r="AP20" s="10" t="str">
        <f t="shared" si="7"/>
        <v>-</v>
      </c>
      <c r="AQ20" t="str">
        <f>IF(ISNUMBER(AO20),IF(ABS(INDEX($F$2:$AJ$51,$B20,$E$65)-INDEX($F$2:$AJ$51,E$66,$E$65))/INDEX($F$2:$AJ$51,E$66,$E$65)&gt;General!B$9,B20,"ok"),"-")</f>
        <v>-</v>
      </c>
      <c r="AR20" t="str">
        <f t="shared" si="0"/>
        <v>-</v>
      </c>
      <c r="AS20" t="str">
        <f t="shared" si="1"/>
        <v>-</v>
      </c>
      <c r="AT20" s="10" t="str">
        <f>IF(ISNUMBER(Balancing!H20),B20,"-")</f>
        <v>-</v>
      </c>
      <c r="AU20" t="e">
        <f t="shared" si="2"/>
        <v>#VALUE!</v>
      </c>
      <c r="AV20" s="10" t="e">
        <f>IF(E$97,"OK!",IF(LOWER(Balancing!$D20)="pa",(AU20/C20)^2,AU20/$C20))</f>
        <v>#VALUE!</v>
      </c>
      <c r="AW20" s="19" t="str">
        <f>IF(AL20,".",IF(AM20,BV$24,IF(AND(Balancing!F20="",OR(General!B$8="pa",Balancing!D20="pa")),BV$25,IF(Balancing!E20="",BV$26,IF(E$65=0,BV$27,IF(B20=E$94,BV$28,IF(AND(B20=E$94-1,B20=E$91,AO20&lt;&gt;B20),BV$31,"")))))))</f>
        <v>.</v>
      </c>
      <c r="AX20" s="8" t="str">
        <f t="shared" si="3"/>
        <v>.</v>
      </c>
      <c r="AY20" s="7" t="str">
        <f t="shared" si="4"/>
        <v>.</v>
      </c>
      <c r="BA20" s="21">
        <f t="shared" si="8"/>
        <v>0</v>
      </c>
      <c r="BB20" s="21" t="e">
        <f t="shared" si="9"/>
        <v>#VALUE!</v>
      </c>
      <c r="BC20" t="str">
        <f t="shared" si="5"/>
        <v>-</v>
      </c>
      <c r="BD20" t="str">
        <f t="shared" si="6"/>
        <v>-</v>
      </c>
      <c r="BU20">
        <v>20</v>
      </c>
      <c r="BV20" t="str">
        <f>INDEX(BW$1:CF$32,BU20,General!$B$10)</f>
        <v>Do not change this worksheet !</v>
      </c>
      <c r="BW20" s="30" t="s">
        <v>71</v>
      </c>
      <c r="BX20" s="31" t="s">
        <v>170</v>
      </c>
      <c r="BY20" s="31" t="s">
        <v>70</v>
      </c>
      <c r="BZ20" s="31" t="s">
        <v>171</v>
      </c>
      <c r="CA20" s="31" t="s">
        <v>172</v>
      </c>
      <c r="CB20" s="31" t="s">
        <v>173</v>
      </c>
      <c r="CC20" s="31" t="s">
        <v>174</v>
      </c>
      <c r="CD20" s="31" t="s">
        <v>70</v>
      </c>
      <c r="CE20" s="31" t="s">
        <v>175</v>
      </c>
      <c r="CF20" s="32"/>
    </row>
    <row r="21" spans="2:84" x14ac:dyDescent="0.25">
      <c r="B21">
        <v>20</v>
      </c>
      <c r="C21" t="e">
        <f>IF(LOWER(Balancing!D21)="pa",Balancing!F21/1000,INDEX($E$98:$E$103,MATCH(LOWER(Balancing!D21),$D$98:$D$103,0)))</f>
        <v>#N/A</v>
      </c>
      <c r="D21" s="10">
        <f>IF(LOWER(General!$B$8)="pa",Balancing!$F21*SQRT(Balancing!E21)/1000,Balancing!E21*E$104)</f>
        <v>0</v>
      </c>
      <c r="E21" s="10" t="str">
        <f>IF(ISNUMBER(Balancing!H21),IF(LOWER(Balancing!$D21)="pa",$C21*SQRT(Balancing!H21),Balancing!H21*$C21),"-")</f>
        <v>-</v>
      </c>
      <c r="F21" s="14" t="str">
        <f>IF(ISNUMBER(Balancing!H21),IF(LOWER(Balancing!$D21)="pa",$C21*SQRT(Balancing!H21),Balancing!H21*$C21)/$D21,"-")</f>
        <v>-</v>
      </c>
      <c r="G21" s="10" t="str">
        <f>IF(ISNUMBER(Balancing!I21),IF(LOWER(Balancing!$D21)="pa",$C21*SQRT(Balancing!I21),Balancing!I21*$C21)/$D21,"-")</f>
        <v>-</v>
      </c>
      <c r="H21" s="10" t="str">
        <f>IF(ISNUMBER(Balancing!J21),IF(LOWER(Balancing!$D21)="pa",$C21*SQRT(Balancing!J21),Balancing!J21*$C21)/$D21,"-")</f>
        <v>-</v>
      </c>
      <c r="I21" s="10" t="str">
        <f>IF(ISNUMBER(Balancing!K21),IF(LOWER(Balancing!$D21)="pa",$C21*SQRT(Balancing!K21),Balancing!K21*$C21)/$D21,"-")</f>
        <v>-</v>
      </c>
      <c r="J21" s="10" t="str">
        <f>IF(ISNUMBER(Balancing!L21),IF(LOWER(Balancing!$D21)="pa",$C21*SQRT(Balancing!L21),Balancing!L21*$C21)/$D21,"-")</f>
        <v>-</v>
      </c>
      <c r="K21" s="10" t="str">
        <f>IF(ISNUMBER(Balancing!M21),IF(LOWER(Balancing!$D21)="pa",$C21*SQRT(Balancing!M21),Balancing!M21*$C21)/$D21,"-")</f>
        <v>-</v>
      </c>
      <c r="L21" s="10" t="str">
        <f>IF(ISNUMBER(Balancing!N21),IF(LOWER(Balancing!$D21)="pa",$C21*SQRT(Balancing!N21),Balancing!N21*$C21)/$D21,"-")</f>
        <v>-</v>
      </c>
      <c r="M21" s="10" t="str">
        <f>IF(ISNUMBER(Balancing!O21),IF(LOWER(Balancing!$D21)="pa",$C21*SQRT(Balancing!O21),Balancing!O21*$C21)/$D21,"-")</f>
        <v>-</v>
      </c>
      <c r="N21" s="10" t="str">
        <f>IF(ISNUMBER(Balancing!P21),IF(LOWER(Balancing!$D21)="pa",$C21*SQRT(Balancing!P21),Balancing!P21*$C21)/$D21,"-")</f>
        <v>-</v>
      </c>
      <c r="O21" s="10" t="str">
        <f>IF(ISNUMBER(Balancing!Q21),IF(LOWER(Balancing!$D21)="pa",$C21*SQRT(Balancing!Q21),Balancing!Q21*$C21)/$D21,"-")</f>
        <v>-</v>
      </c>
      <c r="P21" s="10" t="str">
        <f>IF(ISNUMBER(Balancing!R21),IF(LOWER(Balancing!$D21)="pa",$C21*SQRT(Balancing!R21),Balancing!R21*$C21)/$D21,"-")</f>
        <v>-</v>
      </c>
      <c r="Q21" s="10" t="str">
        <f>IF(ISNUMBER(Balancing!S21),IF(LOWER(Balancing!$D21)="pa",$C21*SQRT(Balancing!S21),Balancing!S21*$C21)/$D21,"-")</f>
        <v>-</v>
      </c>
      <c r="R21" s="10" t="str">
        <f>IF(ISNUMBER(Balancing!T21),IF(LOWER(Balancing!$D21)="pa",$C21*SQRT(Balancing!T21),Balancing!T21*$C21)/$D21,"-")</f>
        <v>-</v>
      </c>
      <c r="S21" s="10" t="str">
        <f>IF(ISNUMBER(Balancing!U21),IF(LOWER(Balancing!$D21)="pa",$C21*SQRT(Balancing!U21),Balancing!U21*$C21)/$D21,"-")</f>
        <v>-</v>
      </c>
      <c r="T21" s="10" t="str">
        <f>IF(ISNUMBER(Balancing!V21),IF(LOWER(Balancing!$D21)="pa",$C21*SQRT(Balancing!V21),Balancing!V21*$C21)/$D21,"-")</f>
        <v>-</v>
      </c>
      <c r="U21" s="10" t="str">
        <f>IF(ISNUMBER(Balancing!W21),IF(LOWER(Balancing!$D21)="pa",$C21*SQRT(Balancing!W21),Balancing!W21*$C21)/$D21,"-")</f>
        <v>-</v>
      </c>
      <c r="V21" s="10" t="str">
        <f>IF(ISNUMBER(Balancing!X21),IF(LOWER(Balancing!$D21)="pa",$C21*SQRT(Balancing!X21),Balancing!X21*$C21)/$D21,"-")</f>
        <v>-</v>
      </c>
      <c r="W21" s="10" t="str">
        <f>IF(ISNUMBER(Balancing!Y21),IF(LOWER(Balancing!$D21)="pa",$C21*SQRT(Balancing!Y21),Balancing!Y21*$C21)/$D21,"-")</f>
        <v>-</v>
      </c>
      <c r="X21" s="10" t="str">
        <f>IF(ISNUMBER(Balancing!Z21),IF(LOWER(Balancing!$D21)="pa",$C21*SQRT(Balancing!Z21),Balancing!Z21*$C21)/$D21,"-")</f>
        <v>-</v>
      </c>
      <c r="Y21" s="10" t="str">
        <f>IF(ISNUMBER(Balancing!AA21),IF(LOWER(Balancing!$D21)="pa",$C21*SQRT(Balancing!AA21),Balancing!AA21*$C21)/$D21,"-")</f>
        <v>-</v>
      </c>
      <c r="Z21" s="10" t="str">
        <f>IF(ISNUMBER(Balancing!AB21),IF(LOWER(Balancing!$D21)="pa",$C21*SQRT(Balancing!AB21),Balancing!AB21*$C21)/$D21,"-")</f>
        <v>-</v>
      </c>
      <c r="AA21" s="10" t="str">
        <f>IF(ISNUMBER(Balancing!AC21),IF(LOWER(Balancing!$D21)="pa",$C21*SQRT(Balancing!AC21),Balancing!AC21*$C21)/$D21,"-")</f>
        <v>-</v>
      </c>
      <c r="AB21" s="10" t="str">
        <f>IF(ISNUMBER(Balancing!AD21),IF(LOWER(Balancing!$D21)="pa",$C21*SQRT(Balancing!AD21),Balancing!AD21*$C21)/$D21,"-")</f>
        <v>-</v>
      </c>
      <c r="AC21" s="10" t="str">
        <f>IF(ISNUMBER(Balancing!AE21),IF(LOWER(Balancing!$D21)="pa",$C21*SQRT(Balancing!AE21),Balancing!AE21*$C21)/$D21,"-")</f>
        <v>-</v>
      </c>
      <c r="AD21" s="10" t="str">
        <f>IF(ISNUMBER(Balancing!AF21),IF(LOWER(Balancing!$D21)="pa",$C21*SQRT(Balancing!AF21),Balancing!AF21*$C21)/$D21,"-")</f>
        <v>-</v>
      </c>
      <c r="AE21" s="10" t="str">
        <f>IF(ISNUMBER(Balancing!AG21),IF(LOWER(Balancing!$D21)="pa",$C21*SQRT(Balancing!AG21),Balancing!AG21*$C21)/$D21,"-")</f>
        <v>-</v>
      </c>
      <c r="AF21" s="10" t="str">
        <f>IF(ISNUMBER(Balancing!AH21),IF(LOWER(Balancing!$D21)="pa",$C21*SQRT(Balancing!AH21),Balancing!AH21*$C21)/$D21,"-")</f>
        <v>-</v>
      </c>
      <c r="AG21" s="10" t="str">
        <f>IF(ISNUMBER(Balancing!AI21),IF(LOWER(Balancing!$D21)="pa",$C21*SQRT(Balancing!AI21),Balancing!AI21*$C21)/$D21,"-")</f>
        <v>-</v>
      </c>
      <c r="AH21" s="10" t="str">
        <f>IF(ISNUMBER(Balancing!AJ21),IF(LOWER(Balancing!$D21)="pa",$C21*SQRT(Balancing!AJ21),Balancing!AJ21*$C21)/$D21,"-")</f>
        <v>-</v>
      </c>
      <c r="AI21" s="10" t="str">
        <f>IF(ISNUMBER(Balancing!AK21),IF(LOWER(Balancing!$D21)="pa",$C21*SQRT(Balancing!AK21),Balancing!AK21*$C21)/$D21,"-")</f>
        <v>-</v>
      </c>
      <c r="AJ21" s="15" t="str">
        <f>IF(ISNUMBER(Balancing!AL21),IF(LOWER(Balancing!$D21)="pa",$C21*SQRT(Balancing!AL21),Balancing!AL21*$C21)/$D21,"-")</f>
        <v>-</v>
      </c>
      <c r="AL21" s="10" t="b">
        <f>COUNTA(Balancing!D21:AM21)=0</f>
        <v>1</v>
      </c>
      <c r="AM21" s="10" t="b">
        <f>AND(OR(Balancing!D21="",ISERROR(C21)),OR(Balancing!D21&lt;&gt;"",Balancing!E21&lt;&gt;"",Balancing!H21&lt;&gt;""))</f>
        <v>0</v>
      </c>
      <c r="AN21" s="10" t="str">
        <f>IF(ISNUMBER(INDEX(Balancing!$H$2:$AM$51,$B21,$E$65-1)),$B21,"-")</f>
        <v>-</v>
      </c>
      <c r="AO21" s="10" t="str">
        <f>IF(ISNUMBER(INDEX(Balancing!$H$2:$AM$51,$B21,$E$65)),$B21,"-")</f>
        <v>-</v>
      </c>
      <c r="AP21" s="10" t="str">
        <f t="shared" si="7"/>
        <v>-</v>
      </c>
      <c r="AQ21" t="str">
        <f>IF(ISNUMBER(AO21),IF(ABS(INDEX($F$2:$AJ$51,$B21,$E$65)-INDEX($F$2:$AJ$51,E$66,$E$65))/INDEX($F$2:$AJ$51,E$66,$E$65)&gt;General!B$9,B21,"ok"),"-")</f>
        <v>-</v>
      </c>
      <c r="AR21" t="str">
        <f t="shared" si="0"/>
        <v>-</v>
      </c>
      <c r="AS21" t="str">
        <f t="shared" si="1"/>
        <v>-</v>
      </c>
      <c r="AT21" s="10" t="str">
        <f>IF(ISNUMBER(Balancing!H21),B21,"-")</f>
        <v>-</v>
      </c>
      <c r="AU21" t="e">
        <f t="shared" si="2"/>
        <v>#VALUE!</v>
      </c>
      <c r="AV21" s="10" t="e">
        <f>IF(E$97,"OK!",IF(LOWER(Balancing!$D21)="pa",(AU21/C21)^2,AU21/$C21))</f>
        <v>#VALUE!</v>
      </c>
      <c r="AW21" s="19" t="str">
        <f>IF(AL21,".",IF(AM21,BV$24,IF(AND(Balancing!F21="",OR(General!B$8="pa",Balancing!D21="pa")),BV$25,IF(Balancing!E21="",BV$26,IF(E$65=0,BV$27,IF(B21=E$94,BV$28,IF(AND(B21=E$94-1,B21=E$91,AO21&lt;&gt;B21),BV$31,"")))))))</f>
        <v>.</v>
      </c>
      <c r="AX21" s="8" t="str">
        <f t="shared" si="3"/>
        <v>.</v>
      </c>
      <c r="AY21" s="7" t="str">
        <f t="shared" si="4"/>
        <v>.</v>
      </c>
      <c r="BA21" s="21">
        <f t="shared" si="8"/>
        <v>0</v>
      </c>
      <c r="BB21" s="21" t="e">
        <f t="shared" si="9"/>
        <v>#VALUE!</v>
      </c>
      <c r="BC21" t="str">
        <f t="shared" si="5"/>
        <v>-</v>
      </c>
      <c r="BD21" t="str">
        <f t="shared" si="6"/>
        <v>-</v>
      </c>
      <c r="BU21" s="26">
        <v>21</v>
      </c>
      <c r="BV21" t="str">
        <f>INDEX(BW$1:CF$32,BU21,General!$B$10)</f>
        <v>(I&amp;R)</v>
      </c>
      <c r="BW21" s="30" t="s">
        <v>309</v>
      </c>
      <c r="BX21" s="31" t="s">
        <v>310</v>
      </c>
      <c r="BY21" s="31" t="s">
        <v>310</v>
      </c>
      <c r="BZ21" s="31" t="s">
        <v>310</v>
      </c>
      <c r="CA21" s="31" t="s">
        <v>310</v>
      </c>
      <c r="CB21" s="31" t="s">
        <v>311</v>
      </c>
      <c r="CC21" s="31" t="s">
        <v>312</v>
      </c>
      <c r="CD21" s="31" t="s">
        <v>310</v>
      </c>
      <c r="CE21" s="31" t="s">
        <v>310</v>
      </c>
      <c r="CF21" s="32"/>
    </row>
    <row r="22" spans="2:84" x14ac:dyDescent="0.25">
      <c r="B22">
        <v>21</v>
      </c>
      <c r="C22" t="e">
        <f>IF(LOWER(Balancing!D22)="pa",Balancing!F22/1000,INDEX($E$98:$E$103,MATCH(LOWER(Balancing!D22),$D$98:$D$103,0)))</f>
        <v>#N/A</v>
      </c>
      <c r="D22" s="10">
        <f>IF(LOWER(General!$B$8)="pa",Balancing!$F22*SQRT(Balancing!E22)/1000,Balancing!E22*E$104)</f>
        <v>0</v>
      </c>
      <c r="E22" s="10" t="str">
        <f>IF(ISNUMBER(Balancing!H22),IF(LOWER(Balancing!$D22)="pa",$C22*SQRT(Balancing!H22),Balancing!H22*$C22),"-")</f>
        <v>-</v>
      </c>
      <c r="F22" s="14" t="str">
        <f>IF(ISNUMBER(Balancing!H22),IF(LOWER(Balancing!$D22)="pa",$C22*SQRT(Balancing!H22),Balancing!H22*$C22)/$D22,"-")</f>
        <v>-</v>
      </c>
      <c r="G22" s="10" t="str">
        <f>IF(ISNUMBER(Balancing!I22),IF(LOWER(Balancing!$D22)="pa",$C22*SQRT(Balancing!I22),Balancing!I22*$C22)/$D22,"-")</f>
        <v>-</v>
      </c>
      <c r="H22" s="10" t="str">
        <f>IF(ISNUMBER(Balancing!J22),IF(LOWER(Balancing!$D22)="pa",$C22*SQRT(Balancing!J22),Balancing!J22*$C22)/$D22,"-")</f>
        <v>-</v>
      </c>
      <c r="I22" s="10" t="str">
        <f>IF(ISNUMBER(Balancing!K22),IF(LOWER(Balancing!$D22)="pa",$C22*SQRT(Balancing!K22),Balancing!K22*$C22)/$D22,"-")</f>
        <v>-</v>
      </c>
      <c r="J22" s="10" t="str">
        <f>IF(ISNUMBER(Balancing!L22),IF(LOWER(Balancing!$D22)="pa",$C22*SQRT(Balancing!L22),Balancing!L22*$C22)/$D22,"-")</f>
        <v>-</v>
      </c>
      <c r="K22" s="10" t="str">
        <f>IF(ISNUMBER(Balancing!M22),IF(LOWER(Balancing!$D22)="pa",$C22*SQRT(Balancing!M22),Balancing!M22*$C22)/$D22,"-")</f>
        <v>-</v>
      </c>
      <c r="L22" s="10" t="str">
        <f>IF(ISNUMBER(Balancing!N22),IF(LOWER(Balancing!$D22)="pa",$C22*SQRT(Balancing!N22),Balancing!N22*$C22)/$D22,"-")</f>
        <v>-</v>
      </c>
      <c r="M22" s="10" t="str">
        <f>IF(ISNUMBER(Balancing!O22),IF(LOWER(Balancing!$D22)="pa",$C22*SQRT(Balancing!O22),Balancing!O22*$C22)/$D22,"-")</f>
        <v>-</v>
      </c>
      <c r="N22" s="10" t="str">
        <f>IF(ISNUMBER(Balancing!P22),IF(LOWER(Balancing!$D22)="pa",$C22*SQRT(Balancing!P22),Balancing!P22*$C22)/$D22,"-")</f>
        <v>-</v>
      </c>
      <c r="O22" s="10" t="str">
        <f>IF(ISNUMBER(Balancing!Q22),IF(LOWER(Balancing!$D22)="pa",$C22*SQRT(Balancing!Q22),Balancing!Q22*$C22)/$D22,"-")</f>
        <v>-</v>
      </c>
      <c r="P22" s="10" t="str">
        <f>IF(ISNUMBER(Balancing!R22),IF(LOWER(Balancing!$D22)="pa",$C22*SQRT(Balancing!R22),Balancing!R22*$C22)/$D22,"-")</f>
        <v>-</v>
      </c>
      <c r="Q22" s="10" t="str">
        <f>IF(ISNUMBER(Balancing!S22),IF(LOWER(Balancing!$D22)="pa",$C22*SQRT(Balancing!S22),Balancing!S22*$C22)/$D22,"-")</f>
        <v>-</v>
      </c>
      <c r="R22" s="10" t="str">
        <f>IF(ISNUMBER(Balancing!T22),IF(LOWER(Balancing!$D22)="pa",$C22*SQRT(Balancing!T22),Balancing!T22*$C22)/$D22,"-")</f>
        <v>-</v>
      </c>
      <c r="S22" s="10" t="str">
        <f>IF(ISNUMBER(Balancing!U22),IF(LOWER(Balancing!$D22)="pa",$C22*SQRT(Balancing!U22),Balancing!U22*$C22)/$D22,"-")</f>
        <v>-</v>
      </c>
      <c r="T22" s="10" t="str">
        <f>IF(ISNUMBER(Balancing!V22),IF(LOWER(Balancing!$D22)="pa",$C22*SQRT(Balancing!V22),Balancing!V22*$C22)/$D22,"-")</f>
        <v>-</v>
      </c>
      <c r="U22" s="10" t="str">
        <f>IF(ISNUMBER(Balancing!W22),IF(LOWER(Balancing!$D22)="pa",$C22*SQRT(Balancing!W22),Balancing!W22*$C22)/$D22,"-")</f>
        <v>-</v>
      </c>
      <c r="V22" s="10" t="str">
        <f>IF(ISNUMBER(Balancing!X22),IF(LOWER(Balancing!$D22)="pa",$C22*SQRT(Balancing!X22),Balancing!X22*$C22)/$D22,"-")</f>
        <v>-</v>
      </c>
      <c r="W22" s="10" t="str">
        <f>IF(ISNUMBER(Balancing!Y22),IF(LOWER(Balancing!$D22)="pa",$C22*SQRT(Balancing!Y22),Balancing!Y22*$C22)/$D22,"-")</f>
        <v>-</v>
      </c>
      <c r="X22" s="10" t="str">
        <f>IF(ISNUMBER(Balancing!Z22),IF(LOWER(Balancing!$D22)="pa",$C22*SQRT(Balancing!Z22),Balancing!Z22*$C22)/$D22,"-")</f>
        <v>-</v>
      </c>
      <c r="Y22" s="10" t="str">
        <f>IF(ISNUMBER(Balancing!AA22),IF(LOWER(Balancing!$D22)="pa",$C22*SQRT(Balancing!AA22),Balancing!AA22*$C22)/$D22,"-")</f>
        <v>-</v>
      </c>
      <c r="Z22" s="10" t="str">
        <f>IF(ISNUMBER(Balancing!AB22),IF(LOWER(Balancing!$D22)="pa",$C22*SQRT(Balancing!AB22),Balancing!AB22*$C22)/$D22,"-")</f>
        <v>-</v>
      </c>
      <c r="AA22" s="10" t="str">
        <f>IF(ISNUMBER(Balancing!AC22),IF(LOWER(Balancing!$D22)="pa",$C22*SQRT(Balancing!AC22),Balancing!AC22*$C22)/$D22,"-")</f>
        <v>-</v>
      </c>
      <c r="AB22" s="10" t="str">
        <f>IF(ISNUMBER(Balancing!AD22),IF(LOWER(Balancing!$D22)="pa",$C22*SQRT(Balancing!AD22),Balancing!AD22*$C22)/$D22,"-")</f>
        <v>-</v>
      </c>
      <c r="AC22" s="10" t="str">
        <f>IF(ISNUMBER(Balancing!AE22),IF(LOWER(Balancing!$D22)="pa",$C22*SQRT(Balancing!AE22),Balancing!AE22*$C22)/$D22,"-")</f>
        <v>-</v>
      </c>
      <c r="AD22" s="10" t="str">
        <f>IF(ISNUMBER(Balancing!AF22),IF(LOWER(Balancing!$D22)="pa",$C22*SQRT(Balancing!AF22),Balancing!AF22*$C22)/$D22,"-")</f>
        <v>-</v>
      </c>
      <c r="AE22" s="10" t="str">
        <f>IF(ISNUMBER(Balancing!AG22),IF(LOWER(Balancing!$D22)="pa",$C22*SQRT(Balancing!AG22),Balancing!AG22*$C22)/$D22,"-")</f>
        <v>-</v>
      </c>
      <c r="AF22" s="10" t="str">
        <f>IF(ISNUMBER(Balancing!AH22),IF(LOWER(Balancing!$D22)="pa",$C22*SQRT(Balancing!AH22),Balancing!AH22*$C22)/$D22,"-")</f>
        <v>-</v>
      </c>
      <c r="AG22" s="10" t="str">
        <f>IF(ISNUMBER(Balancing!AI22),IF(LOWER(Balancing!$D22)="pa",$C22*SQRT(Balancing!AI22),Balancing!AI22*$C22)/$D22,"-")</f>
        <v>-</v>
      </c>
      <c r="AH22" s="10" t="str">
        <f>IF(ISNUMBER(Balancing!AJ22),IF(LOWER(Balancing!$D22)="pa",$C22*SQRT(Balancing!AJ22),Balancing!AJ22*$C22)/$D22,"-")</f>
        <v>-</v>
      </c>
      <c r="AI22" s="10" t="str">
        <f>IF(ISNUMBER(Balancing!AK22),IF(LOWER(Balancing!$D22)="pa",$C22*SQRT(Balancing!AK22),Balancing!AK22*$C22)/$D22,"-")</f>
        <v>-</v>
      </c>
      <c r="AJ22" s="15" t="str">
        <f>IF(ISNUMBER(Balancing!AL22),IF(LOWER(Balancing!$D22)="pa",$C22*SQRT(Balancing!AL22),Balancing!AL22*$C22)/$D22,"-")</f>
        <v>-</v>
      </c>
      <c r="AL22" s="10" t="b">
        <f>COUNTA(Balancing!D22:AM22)=0</f>
        <v>1</v>
      </c>
      <c r="AM22" s="10" t="b">
        <f>AND(OR(Balancing!D22="",ISERROR(C22)),OR(Balancing!D22&lt;&gt;"",Balancing!E22&lt;&gt;"",Balancing!H22&lt;&gt;""))</f>
        <v>0</v>
      </c>
      <c r="AN22" s="10" t="str">
        <f>IF(ISNUMBER(INDEX(Balancing!$H$2:$AM$51,$B22,$E$65-1)),$B22,"-")</f>
        <v>-</v>
      </c>
      <c r="AO22" s="10" t="str">
        <f>IF(ISNUMBER(INDEX(Balancing!$H$2:$AM$51,$B22,$E$65)),$B22,"-")</f>
        <v>-</v>
      </c>
      <c r="AP22" s="10" t="str">
        <f t="shared" si="7"/>
        <v>-</v>
      </c>
      <c r="AQ22" t="str">
        <f>IF(ISNUMBER(AO22),IF(ABS(INDEX($F$2:$AJ$51,$B22,$E$65)-INDEX($F$2:$AJ$51,E$66,$E$65))/INDEX($F$2:$AJ$51,E$66,$E$65)&gt;General!B$9,B22,"ok"),"-")</f>
        <v>-</v>
      </c>
      <c r="AR22" t="str">
        <f t="shared" si="0"/>
        <v>-</v>
      </c>
      <c r="AS22" t="str">
        <f t="shared" si="1"/>
        <v>-</v>
      </c>
      <c r="AT22" s="10" t="str">
        <f>IF(ISNUMBER(Balancing!H22),B22,"-")</f>
        <v>-</v>
      </c>
      <c r="AU22" t="e">
        <f t="shared" si="2"/>
        <v>#VALUE!</v>
      </c>
      <c r="AV22" s="10" t="e">
        <f>IF(E$97,"OK!",IF(LOWER(Balancing!$D22)="pa",(AU22/C22)^2,AU22/$C22))</f>
        <v>#VALUE!</v>
      </c>
      <c r="AW22" s="19" t="str">
        <f>IF(AL22,".",IF(AM22,BV$24,IF(AND(Balancing!F22="",OR(General!B$8="pa",Balancing!D22="pa")),BV$25,IF(Balancing!E22="",BV$26,IF(E$65=0,BV$27,IF(B22=E$94,BV$28,IF(AND(B22=E$94-1,B22=E$91,AO22&lt;&gt;B22),BV$31,"")))))))</f>
        <v>.</v>
      </c>
      <c r="AX22" s="8" t="str">
        <f t="shared" si="3"/>
        <v>.</v>
      </c>
      <c r="AY22" s="7" t="str">
        <f t="shared" si="4"/>
        <v>.</v>
      </c>
      <c r="BA22" s="21">
        <f t="shared" si="8"/>
        <v>0</v>
      </c>
      <c r="BB22" s="21" t="e">
        <f t="shared" si="9"/>
        <v>#VALUE!</v>
      </c>
      <c r="BC22" t="str">
        <f t="shared" si="5"/>
        <v>-</v>
      </c>
      <c r="BD22" t="str">
        <f t="shared" si="6"/>
        <v>-</v>
      </c>
      <c r="BU22">
        <v>22</v>
      </c>
      <c r="BV22" t="str">
        <f>INDEX(BW$1:CF$32,BU22,General!$B$10)</f>
        <v>(Ref.)</v>
      </c>
      <c r="BW22" s="30" t="s">
        <v>114</v>
      </c>
      <c r="BX22" s="31" t="s">
        <v>79</v>
      </c>
      <c r="BY22" s="31" t="s">
        <v>79</v>
      </c>
      <c r="BZ22" s="31" t="s">
        <v>79</v>
      </c>
      <c r="CA22" s="31" t="s">
        <v>79</v>
      </c>
      <c r="CB22" s="31" t="s">
        <v>266</v>
      </c>
      <c r="CC22" s="31" t="s">
        <v>226</v>
      </c>
      <c r="CD22" s="31" t="s">
        <v>79</v>
      </c>
      <c r="CE22" s="31" t="s">
        <v>79</v>
      </c>
      <c r="CF22" s="32"/>
    </row>
    <row r="23" spans="2:84" x14ac:dyDescent="0.25">
      <c r="B23">
        <v>22</v>
      </c>
      <c r="C23" t="e">
        <f>IF(LOWER(Balancing!D23)="pa",Balancing!F23/1000,INDEX($E$98:$E$103,MATCH(LOWER(Balancing!D23),$D$98:$D$103,0)))</f>
        <v>#N/A</v>
      </c>
      <c r="D23" s="10">
        <f>IF(LOWER(General!$B$8)="pa",Balancing!$F23*SQRT(Balancing!E23)/1000,Balancing!E23*E$104)</f>
        <v>0</v>
      </c>
      <c r="E23" s="10" t="str">
        <f>IF(ISNUMBER(Balancing!H23),IF(LOWER(Balancing!$D23)="pa",$C23*SQRT(Balancing!H23),Balancing!H23*$C23),"-")</f>
        <v>-</v>
      </c>
      <c r="F23" s="14" t="str">
        <f>IF(ISNUMBER(Balancing!H23),IF(LOWER(Balancing!$D23)="pa",$C23*SQRT(Balancing!H23),Balancing!H23*$C23)/$D23,"-")</f>
        <v>-</v>
      </c>
      <c r="G23" s="10" t="str">
        <f>IF(ISNUMBER(Balancing!I23),IF(LOWER(Balancing!$D23)="pa",$C23*SQRT(Balancing!I23),Balancing!I23*$C23)/$D23,"-")</f>
        <v>-</v>
      </c>
      <c r="H23" s="10" t="str">
        <f>IF(ISNUMBER(Balancing!J23),IF(LOWER(Balancing!$D23)="pa",$C23*SQRT(Balancing!J23),Balancing!J23*$C23)/$D23,"-")</f>
        <v>-</v>
      </c>
      <c r="I23" s="10" t="str">
        <f>IF(ISNUMBER(Balancing!K23),IF(LOWER(Balancing!$D23)="pa",$C23*SQRT(Balancing!K23),Balancing!K23*$C23)/$D23,"-")</f>
        <v>-</v>
      </c>
      <c r="J23" s="10" t="str">
        <f>IF(ISNUMBER(Balancing!L23),IF(LOWER(Balancing!$D23)="pa",$C23*SQRT(Balancing!L23),Balancing!L23*$C23)/$D23,"-")</f>
        <v>-</v>
      </c>
      <c r="K23" s="10" t="str">
        <f>IF(ISNUMBER(Balancing!M23),IF(LOWER(Balancing!$D23)="pa",$C23*SQRT(Balancing!M23),Balancing!M23*$C23)/$D23,"-")</f>
        <v>-</v>
      </c>
      <c r="L23" s="10" t="str">
        <f>IF(ISNUMBER(Balancing!N23),IF(LOWER(Balancing!$D23)="pa",$C23*SQRT(Balancing!N23),Balancing!N23*$C23)/$D23,"-")</f>
        <v>-</v>
      </c>
      <c r="M23" s="10" t="str">
        <f>IF(ISNUMBER(Balancing!O23),IF(LOWER(Balancing!$D23)="pa",$C23*SQRT(Balancing!O23),Balancing!O23*$C23)/$D23,"-")</f>
        <v>-</v>
      </c>
      <c r="N23" s="10" t="str">
        <f>IF(ISNUMBER(Balancing!P23),IF(LOWER(Balancing!$D23)="pa",$C23*SQRT(Balancing!P23),Balancing!P23*$C23)/$D23,"-")</f>
        <v>-</v>
      </c>
      <c r="O23" s="10" t="str">
        <f>IF(ISNUMBER(Balancing!Q23),IF(LOWER(Balancing!$D23)="pa",$C23*SQRT(Balancing!Q23),Balancing!Q23*$C23)/$D23,"-")</f>
        <v>-</v>
      </c>
      <c r="P23" s="10" t="str">
        <f>IF(ISNUMBER(Balancing!R23),IF(LOWER(Balancing!$D23)="pa",$C23*SQRT(Balancing!R23),Balancing!R23*$C23)/$D23,"-")</f>
        <v>-</v>
      </c>
      <c r="Q23" s="10" t="str">
        <f>IF(ISNUMBER(Balancing!S23),IF(LOWER(Balancing!$D23)="pa",$C23*SQRT(Balancing!S23),Balancing!S23*$C23)/$D23,"-")</f>
        <v>-</v>
      </c>
      <c r="R23" s="10" t="str">
        <f>IF(ISNUMBER(Balancing!T23),IF(LOWER(Balancing!$D23)="pa",$C23*SQRT(Balancing!T23),Balancing!T23*$C23)/$D23,"-")</f>
        <v>-</v>
      </c>
      <c r="S23" s="10" t="str">
        <f>IF(ISNUMBER(Balancing!U23),IF(LOWER(Balancing!$D23)="pa",$C23*SQRT(Balancing!U23),Balancing!U23*$C23)/$D23,"-")</f>
        <v>-</v>
      </c>
      <c r="T23" s="10" t="str">
        <f>IF(ISNUMBER(Balancing!V23),IF(LOWER(Balancing!$D23)="pa",$C23*SQRT(Balancing!V23),Balancing!V23*$C23)/$D23,"-")</f>
        <v>-</v>
      </c>
      <c r="U23" s="10" t="str">
        <f>IF(ISNUMBER(Balancing!W23),IF(LOWER(Balancing!$D23)="pa",$C23*SQRT(Balancing!W23),Balancing!W23*$C23)/$D23,"-")</f>
        <v>-</v>
      </c>
      <c r="V23" s="10" t="str">
        <f>IF(ISNUMBER(Balancing!X23),IF(LOWER(Balancing!$D23)="pa",$C23*SQRT(Balancing!X23),Balancing!X23*$C23)/$D23,"-")</f>
        <v>-</v>
      </c>
      <c r="W23" s="10" t="str">
        <f>IF(ISNUMBER(Balancing!Y23),IF(LOWER(Balancing!$D23)="pa",$C23*SQRT(Balancing!Y23),Balancing!Y23*$C23)/$D23,"-")</f>
        <v>-</v>
      </c>
      <c r="X23" s="10" t="str">
        <f>IF(ISNUMBER(Balancing!Z23),IF(LOWER(Balancing!$D23)="pa",$C23*SQRT(Balancing!Z23),Balancing!Z23*$C23)/$D23,"-")</f>
        <v>-</v>
      </c>
      <c r="Y23" s="10" t="str">
        <f>IF(ISNUMBER(Balancing!AA23),IF(LOWER(Balancing!$D23)="pa",$C23*SQRT(Balancing!AA23),Balancing!AA23*$C23)/$D23,"-")</f>
        <v>-</v>
      </c>
      <c r="Z23" s="10" t="str">
        <f>IF(ISNUMBER(Balancing!AB23),IF(LOWER(Balancing!$D23)="pa",$C23*SQRT(Balancing!AB23),Balancing!AB23*$C23)/$D23,"-")</f>
        <v>-</v>
      </c>
      <c r="AA23" s="10" t="str">
        <f>IF(ISNUMBER(Balancing!AC23),IF(LOWER(Balancing!$D23)="pa",$C23*SQRT(Balancing!AC23),Balancing!AC23*$C23)/$D23,"-")</f>
        <v>-</v>
      </c>
      <c r="AB23" s="10" t="str">
        <f>IF(ISNUMBER(Balancing!AD23),IF(LOWER(Balancing!$D23)="pa",$C23*SQRT(Balancing!AD23),Balancing!AD23*$C23)/$D23,"-")</f>
        <v>-</v>
      </c>
      <c r="AC23" s="10" t="str">
        <f>IF(ISNUMBER(Balancing!AE23),IF(LOWER(Balancing!$D23)="pa",$C23*SQRT(Balancing!AE23),Balancing!AE23*$C23)/$D23,"-")</f>
        <v>-</v>
      </c>
      <c r="AD23" s="10" t="str">
        <f>IF(ISNUMBER(Balancing!AF23),IF(LOWER(Balancing!$D23)="pa",$C23*SQRT(Balancing!AF23),Balancing!AF23*$C23)/$D23,"-")</f>
        <v>-</v>
      </c>
      <c r="AE23" s="10" t="str">
        <f>IF(ISNUMBER(Balancing!AG23),IF(LOWER(Balancing!$D23)="pa",$C23*SQRT(Balancing!AG23),Balancing!AG23*$C23)/$D23,"-")</f>
        <v>-</v>
      </c>
      <c r="AF23" s="10" t="str">
        <f>IF(ISNUMBER(Balancing!AH23),IF(LOWER(Balancing!$D23)="pa",$C23*SQRT(Balancing!AH23),Balancing!AH23*$C23)/$D23,"-")</f>
        <v>-</v>
      </c>
      <c r="AG23" s="10" t="str">
        <f>IF(ISNUMBER(Balancing!AI23),IF(LOWER(Balancing!$D23)="pa",$C23*SQRT(Balancing!AI23),Balancing!AI23*$C23)/$D23,"-")</f>
        <v>-</v>
      </c>
      <c r="AH23" s="10" t="str">
        <f>IF(ISNUMBER(Balancing!AJ23),IF(LOWER(Balancing!$D23)="pa",$C23*SQRT(Balancing!AJ23),Balancing!AJ23*$C23)/$D23,"-")</f>
        <v>-</v>
      </c>
      <c r="AI23" s="10" t="str">
        <f>IF(ISNUMBER(Balancing!AK23),IF(LOWER(Balancing!$D23)="pa",$C23*SQRT(Balancing!AK23),Balancing!AK23*$C23)/$D23,"-")</f>
        <v>-</v>
      </c>
      <c r="AJ23" s="15" t="str">
        <f>IF(ISNUMBER(Balancing!AL23),IF(LOWER(Balancing!$D23)="pa",$C23*SQRT(Balancing!AL23),Balancing!AL23*$C23)/$D23,"-")</f>
        <v>-</v>
      </c>
      <c r="AL23" s="10" t="b">
        <f>COUNTA(Balancing!D23:AM23)=0</f>
        <v>1</v>
      </c>
      <c r="AM23" s="10" t="b">
        <f>AND(OR(Balancing!D23="",ISERROR(C23)),OR(Balancing!D23&lt;&gt;"",Balancing!E23&lt;&gt;"",Balancing!H23&lt;&gt;""))</f>
        <v>0</v>
      </c>
      <c r="AN23" s="10" t="str">
        <f>IF(ISNUMBER(INDEX(Balancing!$H$2:$AM$51,$B23,$E$65-1)),$B23,"-")</f>
        <v>-</v>
      </c>
      <c r="AO23" s="10" t="str">
        <f>IF(ISNUMBER(INDEX(Balancing!$H$2:$AM$51,$B23,$E$65)),$B23,"-")</f>
        <v>-</v>
      </c>
      <c r="AP23" s="10" t="str">
        <f t="shared" si="7"/>
        <v>-</v>
      </c>
      <c r="AQ23" t="str">
        <f>IF(ISNUMBER(AO23),IF(ABS(INDEX($F$2:$AJ$51,$B23,$E$65)-INDEX($F$2:$AJ$51,E$66,$E$65))/INDEX($F$2:$AJ$51,E$66,$E$65)&gt;General!B$9,B23,"ok"),"-")</f>
        <v>-</v>
      </c>
      <c r="AR23" t="str">
        <f t="shared" si="0"/>
        <v>-</v>
      </c>
      <c r="AS23" t="str">
        <f t="shared" si="1"/>
        <v>-</v>
      </c>
      <c r="AT23" s="10" t="str">
        <f>IF(ISNUMBER(Balancing!H23),B23,"-")</f>
        <v>-</v>
      </c>
      <c r="AU23" t="e">
        <f t="shared" si="2"/>
        <v>#VALUE!</v>
      </c>
      <c r="AV23" s="10" t="e">
        <f>IF(E$97,"OK!",IF(LOWER(Balancing!$D23)="pa",(AU23/C23)^2,AU23/$C23))</f>
        <v>#VALUE!</v>
      </c>
      <c r="AW23" s="19" t="str">
        <f>IF(AL23,".",IF(AM23,BV$24,IF(AND(Balancing!F23="",OR(General!B$8="pa",Balancing!D23="pa")),BV$25,IF(Balancing!E23="",BV$26,IF(E$65=0,BV$27,IF(B23=E$94,BV$28,IF(AND(B23=E$94-1,B23=E$91,AO23&lt;&gt;B23),BV$31,"")))))))</f>
        <v>.</v>
      </c>
      <c r="AX23" s="8" t="str">
        <f t="shared" si="3"/>
        <v>.</v>
      </c>
      <c r="AY23" s="7" t="str">
        <f t="shared" si="4"/>
        <v>.</v>
      </c>
      <c r="BA23" s="21">
        <f t="shared" si="8"/>
        <v>0</v>
      </c>
      <c r="BB23" s="21" t="e">
        <f t="shared" si="9"/>
        <v>#VALUE!</v>
      </c>
      <c r="BC23" t="str">
        <f t="shared" si="5"/>
        <v>-</v>
      </c>
      <c r="BD23" t="str">
        <f t="shared" si="6"/>
        <v>-</v>
      </c>
      <c r="BU23" s="26">
        <v>23</v>
      </c>
      <c r="BV23" t="str">
        <f>INDEX(BW$1:CF$32,BU23,General!$B$10)</f>
        <v>(Index)</v>
      </c>
      <c r="BW23" s="30" t="s">
        <v>313</v>
      </c>
      <c r="BX23" s="31" t="s">
        <v>80</v>
      </c>
      <c r="BY23" s="31" t="s">
        <v>80</v>
      </c>
      <c r="BZ23" s="31" t="s">
        <v>80</v>
      </c>
      <c r="CA23" s="31" t="s">
        <v>80</v>
      </c>
      <c r="CB23" s="31" t="s">
        <v>314</v>
      </c>
      <c r="CC23" s="31" t="s">
        <v>315</v>
      </c>
      <c r="CD23" s="31" t="s">
        <v>80</v>
      </c>
      <c r="CE23" s="31" t="s">
        <v>80</v>
      </c>
      <c r="CF23" s="32"/>
    </row>
    <row r="24" spans="2:84" x14ac:dyDescent="0.25">
      <c r="B24">
        <v>23</v>
      </c>
      <c r="C24" t="e">
        <f>IF(LOWER(Balancing!D24)="pa",Balancing!F24/1000,INDEX($E$98:$E$103,MATCH(LOWER(Balancing!D24),$D$98:$D$103,0)))</f>
        <v>#N/A</v>
      </c>
      <c r="D24" s="10">
        <f>IF(LOWER(General!$B$8)="pa",Balancing!$F24*SQRT(Balancing!E24)/1000,Balancing!E24*E$104)</f>
        <v>0</v>
      </c>
      <c r="E24" s="10" t="str">
        <f>IF(ISNUMBER(Balancing!H24),IF(LOWER(Balancing!$D24)="pa",$C24*SQRT(Balancing!H24),Balancing!H24*$C24),"-")</f>
        <v>-</v>
      </c>
      <c r="F24" s="14" t="str">
        <f>IF(ISNUMBER(Balancing!H24),IF(LOWER(Balancing!$D24)="pa",$C24*SQRT(Balancing!H24),Balancing!H24*$C24)/$D24,"-")</f>
        <v>-</v>
      </c>
      <c r="G24" s="10" t="str">
        <f>IF(ISNUMBER(Balancing!I24),IF(LOWER(Balancing!$D24)="pa",$C24*SQRT(Balancing!I24),Balancing!I24*$C24)/$D24,"-")</f>
        <v>-</v>
      </c>
      <c r="H24" s="10" t="str">
        <f>IF(ISNUMBER(Balancing!J24),IF(LOWER(Balancing!$D24)="pa",$C24*SQRT(Balancing!J24),Balancing!J24*$C24)/$D24,"-")</f>
        <v>-</v>
      </c>
      <c r="I24" s="10" t="str">
        <f>IF(ISNUMBER(Balancing!K24),IF(LOWER(Balancing!$D24)="pa",$C24*SQRT(Balancing!K24),Balancing!K24*$C24)/$D24,"-")</f>
        <v>-</v>
      </c>
      <c r="J24" s="10" t="str">
        <f>IF(ISNUMBER(Balancing!L24),IF(LOWER(Balancing!$D24)="pa",$C24*SQRT(Balancing!L24),Balancing!L24*$C24)/$D24,"-")</f>
        <v>-</v>
      </c>
      <c r="K24" s="10" t="str">
        <f>IF(ISNUMBER(Balancing!M24),IF(LOWER(Balancing!$D24)="pa",$C24*SQRT(Balancing!M24),Balancing!M24*$C24)/$D24,"-")</f>
        <v>-</v>
      </c>
      <c r="L24" s="10" t="str">
        <f>IF(ISNUMBER(Balancing!N24),IF(LOWER(Balancing!$D24)="pa",$C24*SQRT(Balancing!N24),Balancing!N24*$C24)/$D24,"-")</f>
        <v>-</v>
      </c>
      <c r="M24" s="10" t="str">
        <f>IF(ISNUMBER(Balancing!O24),IF(LOWER(Balancing!$D24)="pa",$C24*SQRT(Balancing!O24),Balancing!O24*$C24)/$D24,"-")</f>
        <v>-</v>
      </c>
      <c r="N24" s="10" t="str">
        <f>IF(ISNUMBER(Balancing!P24),IF(LOWER(Balancing!$D24)="pa",$C24*SQRT(Balancing!P24),Balancing!P24*$C24)/$D24,"-")</f>
        <v>-</v>
      </c>
      <c r="O24" s="10" t="str">
        <f>IF(ISNUMBER(Balancing!Q24),IF(LOWER(Balancing!$D24)="pa",$C24*SQRT(Balancing!Q24),Balancing!Q24*$C24)/$D24,"-")</f>
        <v>-</v>
      </c>
      <c r="P24" s="10" t="str">
        <f>IF(ISNUMBER(Balancing!R24),IF(LOWER(Balancing!$D24)="pa",$C24*SQRT(Balancing!R24),Balancing!R24*$C24)/$D24,"-")</f>
        <v>-</v>
      </c>
      <c r="Q24" s="10" t="str">
        <f>IF(ISNUMBER(Balancing!S24),IF(LOWER(Balancing!$D24)="pa",$C24*SQRT(Balancing!S24),Balancing!S24*$C24)/$D24,"-")</f>
        <v>-</v>
      </c>
      <c r="R24" s="10" t="str">
        <f>IF(ISNUMBER(Balancing!T24),IF(LOWER(Balancing!$D24)="pa",$C24*SQRT(Balancing!T24),Balancing!T24*$C24)/$D24,"-")</f>
        <v>-</v>
      </c>
      <c r="S24" s="10" t="str">
        <f>IF(ISNUMBER(Balancing!U24),IF(LOWER(Balancing!$D24)="pa",$C24*SQRT(Balancing!U24),Balancing!U24*$C24)/$D24,"-")</f>
        <v>-</v>
      </c>
      <c r="T24" s="10" t="str">
        <f>IF(ISNUMBER(Balancing!V24),IF(LOWER(Balancing!$D24)="pa",$C24*SQRT(Balancing!V24),Balancing!V24*$C24)/$D24,"-")</f>
        <v>-</v>
      </c>
      <c r="U24" s="10" t="str">
        <f>IF(ISNUMBER(Balancing!W24),IF(LOWER(Balancing!$D24)="pa",$C24*SQRT(Balancing!W24),Balancing!W24*$C24)/$D24,"-")</f>
        <v>-</v>
      </c>
      <c r="V24" s="10" t="str">
        <f>IF(ISNUMBER(Balancing!X24),IF(LOWER(Balancing!$D24)="pa",$C24*SQRT(Balancing!X24),Balancing!X24*$C24)/$D24,"-")</f>
        <v>-</v>
      </c>
      <c r="W24" s="10" t="str">
        <f>IF(ISNUMBER(Balancing!Y24),IF(LOWER(Balancing!$D24)="pa",$C24*SQRT(Balancing!Y24),Balancing!Y24*$C24)/$D24,"-")</f>
        <v>-</v>
      </c>
      <c r="X24" s="10" t="str">
        <f>IF(ISNUMBER(Balancing!Z24),IF(LOWER(Balancing!$D24)="pa",$C24*SQRT(Balancing!Z24),Balancing!Z24*$C24)/$D24,"-")</f>
        <v>-</v>
      </c>
      <c r="Y24" s="10" t="str">
        <f>IF(ISNUMBER(Balancing!AA24),IF(LOWER(Balancing!$D24)="pa",$C24*SQRT(Balancing!AA24),Balancing!AA24*$C24)/$D24,"-")</f>
        <v>-</v>
      </c>
      <c r="Z24" s="10" t="str">
        <f>IF(ISNUMBER(Balancing!AB24),IF(LOWER(Balancing!$D24)="pa",$C24*SQRT(Balancing!AB24),Balancing!AB24*$C24)/$D24,"-")</f>
        <v>-</v>
      </c>
      <c r="AA24" s="10" t="str">
        <f>IF(ISNUMBER(Balancing!AC24),IF(LOWER(Balancing!$D24)="pa",$C24*SQRT(Balancing!AC24),Balancing!AC24*$C24)/$D24,"-")</f>
        <v>-</v>
      </c>
      <c r="AB24" s="10" t="str">
        <f>IF(ISNUMBER(Balancing!AD24),IF(LOWER(Balancing!$D24)="pa",$C24*SQRT(Balancing!AD24),Balancing!AD24*$C24)/$D24,"-")</f>
        <v>-</v>
      </c>
      <c r="AC24" s="10" t="str">
        <f>IF(ISNUMBER(Balancing!AE24),IF(LOWER(Balancing!$D24)="pa",$C24*SQRT(Balancing!AE24),Balancing!AE24*$C24)/$D24,"-")</f>
        <v>-</v>
      </c>
      <c r="AD24" s="10" t="str">
        <f>IF(ISNUMBER(Balancing!AF24),IF(LOWER(Balancing!$D24)="pa",$C24*SQRT(Balancing!AF24),Balancing!AF24*$C24)/$D24,"-")</f>
        <v>-</v>
      </c>
      <c r="AE24" s="10" t="str">
        <f>IF(ISNUMBER(Balancing!AG24),IF(LOWER(Balancing!$D24)="pa",$C24*SQRT(Balancing!AG24),Balancing!AG24*$C24)/$D24,"-")</f>
        <v>-</v>
      </c>
      <c r="AF24" s="10" t="str">
        <f>IF(ISNUMBER(Balancing!AH24),IF(LOWER(Balancing!$D24)="pa",$C24*SQRT(Balancing!AH24),Balancing!AH24*$C24)/$D24,"-")</f>
        <v>-</v>
      </c>
      <c r="AG24" s="10" t="str">
        <f>IF(ISNUMBER(Balancing!AI24),IF(LOWER(Balancing!$D24)="pa",$C24*SQRT(Balancing!AI24),Balancing!AI24*$C24)/$D24,"-")</f>
        <v>-</v>
      </c>
      <c r="AH24" s="10" t="str">
        <f>IF(ISNUMBER(Balancing!AJ24),IF(LOWER(Balancing!$D24)="pa",$C24*SQRT(Balancing!AJ24),Balancing!AJ24*$C24)/$D24,"-")</f>
        <v>-</v>
      </c>
      <c r="AI24" s="10" t="str">
        <f>IF(ISNUMBER(Balancing!AK24),IF(LOWER(Balancing!$D24)="pa",$C24*SQRT(Balancing!AK24),Balancing!AK24*$C24)/$D24,"-")</f>
        <v>-</v>
      </c>
      <c r="AJ24" s="15" t="str">
        <f>IF(ISNUMBER(Balancing!AL24),IF(LOWER(Balancing!$D24)="pa",$C24*SQRT(Balancing!AL24),Balancing!AL24*$C24)/$D24,"-")</f>
        <v>-</v>
      </c>
      <c r="AL24" s="10" t="b">
        <f>COUNTA(Balancing!D24:AM24)=0</f>
        <v>1</v>
      </c>
      <c r="AM24" s="10" t="b">
        <f>AND(OR(Balancing!D24="",ISERROR(C24)),OR(Balancing!D24&lt;&gt;"",Balancing!E24&lt;&gt;"",Balancing!H24&lt;&gt;""))</f>
        <v>0</v>
      </c>
      <c r="AN24" s="10" t="str">
        <f>IF(ISNUMBER(INDEX(Balancing!$H$2:$AM$51,$B24,$E$65-1)),$B24,"-")</f>
        <v>-</v>
      </c>
      <c r="AO24" s="10" t="str">
        <f>IF(ISNUMBER(INDEX(Balancing!$H$2:$AM$51,$B24,$E$65)),$B24,"-")</f>
        <v>-</v>
      </c>
      <c r="AP24" s="10" t="str">
        <f t="shared" si="7"/>
        <v>-</v>
      </c>
      <c r="AQ24" t="str">
        <f>IF(ISNUMBER(AO24),IF(ABS(INDEX($F$2:$AJ$51,$B24,$E$65)-INDEX($F$2:$AJ$51,E$66,$E$65))/INDEX($F$2:$AJ$51,E$66,$E$65)&gt;General!B$9,B24,"ok"),"-")</f>
        <v>-</v>
      </c>
      <c r="AR24" t="str">
        <f t="shared" si="0"/>
        <v>-</v>
      </c>
      <c r="AS24" t="str">
        <f t="shared" si="1"/>
        <v>-</v>
      </c>
      <c r="AT24" s="10" t="str">
        <f>IF(ISNUMBER(Balancing!H24),B24,"-")</f>
        <v>-</v>
      </c>
      <c r="AU24" t="e">
        <f t="shared" si="2"/>
        <v>#VALUE!</v>
      </c>
      <c r="AV24" s="10" t="e">
        <f>IF(E$97,"OK!",IF(LOWER(Balancing!$D24)="pa",(AU24/C24)^2,AU24/$C24))</f>
        <v>#VALUE!</v>
      </c>
      <c r="AW24" s="19" t="str">
        <f>IF(AL24,".",IF(AM24,BV$24,IF(AND(Balancing!F24="",OR(General!B$8="pa",Balancing!D24="pa")),BV$25,IF(Balancing!E24="",BV$26,IF(E$65=0,BV$27,IF(B24=E$94,BV$28,IF(AND(B24=E$94-1,B24=E$91,AO24&lt;&gt;B24),BV$31,"")))))))</f>
        <v>.</v>
      </c>
      <c r="AX24" s="8" t="str">
        <f t="shared" si="3"/>
        <v>.</v>
      </c>
      <c r="AY24" s="7" t="str">
        <f t="shared" si="4"/>
        <v>.</v>
      </c>
      <c r="BA24" s="21">
        <f t="shared" si="8"/>
        <v>0</v>
      </c>
      <c r="BB24" s="21" t="e">
        <f t="shared" si="9"/>
        <v>#VALUE!</v>
      </c>
      <c r="BC24" t="str">
        <f t="shared" si="5"/>
        <v>-</v>
      </c>
      <c r="BD24" t="str">
        <f t="shared" si="6"/>
        <v>-</v>
      </c>
      <c r="BU24">
        <v>24</v>
      </c>
      <c r="BV24" t="str">
        <f>INDEX(BW$1:CF$32,BU24,General!$B$10)</f>
        <v>Units?</v>
      </c>
      <c r="BW24" s="30" t="s">
        <v>99</v>
      </c>
      <c r="BX24" s="31" t="s">
        <v>176</v>
      </c>
      <c r="BY24" s="31" t="s">
        <v>81</v>
      </c>
      <c r="BZ24" s="31" t="s">
        <v>177</v>
      </c>
      <c r="CA24" s="31" t="s">
        <v>178</v>
      </c>
      <c r="CB24" s="31" t="s">
        <v>267</v>
      </c>
      <c r="CC24" s="31" t="s">
        <v>227</v>
      </c>
      <c r="CD24" s="31" t="s">
        <v>81</v>
      </c>
      <c r="CE24" s="31" t="s">
        <v>247</v>
      </c>
      <c r="CF24" s="32"/>
    </row>
    <row r="25" spans="2:84" x14ac:dyDescent="0.25">
      <c r="B25">
        <v>24</v>
      </c>
      <c r="C25" t="e">
        <f>IF(LOWER(Balancing!D25)="pa",Balancing!F25/1000,INDEX($E$98:$E$103,MATCH(LOWER(Balancing!D25),$D$98:$D$103,0)))</f>
        <v>#N/A</v>
      </c>
      <c r="D25" s="10">
        <f>IF(LOWER(General!$B$8)="pa",Balancing!$F25*SQRT(Balancing!E25)/1000,Balancing!E25*E$104)</f>
        <v>0</v>
      </c>
      <c r="E25" s="10" t="str">
        <f>IF(ISNUMBER(Balancing!H25),IF(LOWER(Balancing!$D25)="pa",$C25*SQRT(Balancing!H25),Balancing!H25*$C25),"-")</f>
        <v>-</v>
      </c>
      <c r="F25" s="14" t="str">
        <f>IF(ISNUMBER(Balancing!H25),IF(LOWER(Balancing!$D25)="pa",$C25*SQRT(Balancing!H25),Balancing!H25*$C25)/$D25,"-")</f>
        <v>-</v>
      </c>
      <c r="G25" s="10" t="str">
        <f>IF(ISNUMBER(Balancing!I25),IF(LOWER(Balancing!$D25)="pa",$C25*SQRT(Balancing!I25),Balancing!I25*$C25)/$D25,"-")</f>
        <v>-</v>
      </c>
      <c r="H25" s="10" t="str">
        <f>IF(ISNUMBER(Balancing!J25),IF(LOWER(Balancing!$D25)="pa",$C25*SQRT(Balancing!J25),Balancing!J25*$C25)/$D25,"-")</f>
        <v>-</v>
      </c>
      <c r="I25" s="10" t="str">
        <f>IF(ISNUMBER(Balancing!K25),IF(LOWER(Balancing!$D25)="pa",$C25*SQRT(Balancing!K25),Balancing!K25*$C25)/$D25,"-")</f>
        <v>-</v>
      </c>
      <c r="J25" s="10" t="str">
        <f>IF(ISNUMBER(Balancing!L25),IF(LOWER(Balancing!$D25)="pa",$C25*SQRT(Balancing!L25),Balancing!L25*$C25)/$D25,"-")</f>
        <v>-</v>
      </c>
      <c r="K25" s="10" t="str">
        <f>IF(ISNUMBER(Balancing!M25),IF(LOWER(Balancing!$D25)="pa",$C25*SQRT(Balancing!M25),Balancing!M25*$C25)/$D25,"-")</f>
        <v>-</v>
      </c>
      <c r="L25" s="10" t="str">
        <f>IF(ISNUMBER(Balancing!N25),IF(LOWER(Balancing!$D25)="pa",$C25*SQRT(Balancing!N25),Balancing!N25*$C25)/$D25,"-")</f>
        <v>-</v>
      </c>
      <c r="M25" s="10" t="str">
        <f>IF(ISNUMBER(Balancing!O25),IF(LOWER(Balancing!$D25)="pa",$C25*SQRT(Balancing!O25),Balancing!O25*$C25)/$D25,"-")</f>
        <v>-</v>
      </c>
      <c r="N25" s="10" t="str">
        <f>IF(ISNUMBER(Balancing!P25),IF(LOWER(Balancing!$D25)="pa",$C25*SQRT(Balancing!P25),Balancing!P25*$C25)/$D25,"-")</f>
        <v>-</v>
      </c>
      <c r="O25" s="10" t="str">
        <f>IF(ISNUMBER(Balancing!Q25),IF(LOWER(Balancing!$D25)="pa",$C25*SQRT(Balancing!Q25),Balancing!Q25*$C25)/$D25,"-")</f>
        <v>-</v>
      </c>
      <c r="P25" s="10" t="str">
        <f>IF(ISNUMBER(Balancing!R25),IF(LOWER(Balancing!$D25)="pa",$C25*SQRT(Balancing!R25),Balancing!R25*$C25)/$D25,"-")</f>
        <v>-</v>
      </c>
      <c r="Q25" s="10" t="str">
        <f>IF(ISNUMBER(Balancing!S25),IF(LOWER(Balancing!$D25)="pa",$C25*SQRT(Balancing!S25),Balancing!S25*$C25)/$D25,"-")</f>
        <v>-</v>
      </c>
      <c r="R25" s="10" t="str">
        <f>IF(ISNUMBER(Balancing!T25),IF(LOWER(Balancing!$D25)="pa",$C25*SQRT(Balancing!T25),Balancing!T25*$C25)/$D25,"-")</f>
        <v>-</v>
      </c>
      <c r="S25" s="10" t="str">
        <f>IF(ISNUMBER(Balancing!U25),IF(LOWER(Balancing!$D25)="pa",$C25*SQRT(Balancing!U25),Balancing!U25*$C25)/$D25,"-")</f>
        <v>-</v>
      </c>
      <c r="T25" s="10" t="str">
        <f>IF(ISNUMBER(Balancing!V25),IF(LOWER(Balancing!$D25)="pa",$C25*SQRT(Balancing!V25),Balancing!V25*$C25)/$D25,"-")</f>
        <v>-</v>
      </c>
      <c r="U25" s="10" t="str">
        <f>IF(ISNUMBER(Balancing!W25),IF(LOWER(Balancing!$D25)="pa",$C25*SQRT(Balancing!W25),Balancing!W25*$C25)/$D25,"-")</f>
        <v>-</v>
      </c>
      <c r="V25" s="10" t="str">
        <f>IF(ISNUMBER(Balancing!X25),IF(LOWER(Balancing!$D25)="pa",$C25*SQRT(Balancing!X25),Balancing!X25*$C25)/$D25,"-")</f>
        <v>-</v>
      </c>
      <c r="W25" s="10" t="str">
        <f>IF(ISNUMBER(Balancing!Y25),IF(LOWER(Balancing!$D25)="pa",$C25*SQRT(Balancing!Y25),Balancing!Y25*$C25)/$D25,"-")</f>
        <v>-</v>
      </c>
      <c r="X25" s="10" t="str">
        <f>IF(ISNUMBER(Balancing!Z25),IF(LOWER(Balancing!$D25)="pa",$C25*SQRT(Balancing!Z25),Balancing!Z25*$C25)/$D25,"-")</f>
        <v>-</v>
      </c>
      <c r="Y25" s="10" t="str">
        <f>IF(ISNUMBER(Balancing!AA25),IF(LOWER(Balancing!$D25)="pa",$C25*SQRT(Balancing!AA25),Balancing!AA25*$C25)/$D25,"-")</f>
        <v>-</v>
      </c>
      <c r="Z25" s="10" t="str">
        <f>IF(ISNUMBER(Balancing!AB25),IF(LOWER(Balancing!$D25)="pa",$C25*SQRT(Balancing!AB25),Balancing!AB25*$C25)/$D25,"-")</f>
        <v>-</v>
      </c>
      <c r="AA25" s="10" t="str">
        <f>IF(ISNUMBER(Balancing!AC25),IF(LOWER(Balancing!$D25)="pa",$C25*SQRT(Balancing!AC25),Balancing!AC25*$C25)/$D25,"-")</f>
        <v>-</v>
      </c>
      <c r="AB25" s="10" t="str">
        <f>IF(ISNUMBER(Balancing!AD25),IF(LOWER(Balancing!$D25)="pa",$C25*SQRT(Balancing!AD25),Balancing!AD25*$C25)/$D25,"-")</f>
        <v>-</v>
      </c>
      <c r="AC25" s="10" t="str">
        <f>IF(ISNUMBER(Balancing!AE25),IF(LOWER(Balancing!$D25)="pa",$C25*SQRT(Balancing!AE25),Balancing!AE25*$C25)/$D25,"-")</f>
        <v>-</v>
      </c>
      <c r="AD25" s="10" t="str">
        <f>IF(ISNUMBER(Balancing!AF25),IF(LOWER(Balancing!$D25)="pa",$C25*SQRT(Balancing!AF25),Balancing!AF25*$C25)/$D25,"-")</f>
        <v>-</v>
      </c>
      <c r="AE25" s="10" t="str">
        <f>IF(ISNUMBER(Balancing!AG25),IF(LOWER(Balancing!$D25)="pa",$C25*SQRT(Balancing!AG25),Balancing!AG25*$C25)/$D25,"-")</f>
        <v>-</v>
      </c>
      <c r="AF25" s="10" t="str">
        <f>IF(ISNUMBER(Balancing!AH25),IF(LOWER(Balancing!$D25)="pa",$C25*SQRT(Balancing!AH25),Balancing!AH25*$C25)/$D25,"-")</f>
        <v>-</v>
      </c>
      <c r="AG25" s="10" t="str">
        <f>IF(ISNUMBER(Balancing!AI25),IF(LOWER(Balancing!$D25)="pa",$C25*SQRT(Balancing!AI25),Balancing!AI25*$C25)/$D25,"-")</f>
        <v>-</v>
      </c>
      <c r="AH25" s="10" t="str">
        <f>IF(ISNUMBER(Balancing!AJ25),IF(LOWER(Balancing!$D25)="pa",$C25*SQRT(Balancing!AJ25),Balancing!AJ25*$C25)/$D25,"-")</f>
        <v>-</v>
      </c>
      <c r="AI25" s="10" t="str">
        <f>IF(ISNUMBER(Balancing!AK25),IF(LOWER(Balancing!$D25)="pa",$C25*SQRT(Balancing!AK25),Balancing!AK25*$C25)/$D25,"-")</f>
        <v>-</v>
      </c>
      <c r="AJ25" s="15" t="str">
        <f>IF(ISNUMBER(Balancing!AL25),IF(LOWER(Balancing!$D25)="pa",$C25*SQRT(Balancing!AL25),Balancing!AL25*$C25)/$D25,"-")</f>
        <v>-</v>
      </c>
      <c r="AL25" s="10" t="b">
        <f>COUNTA(Balancing!D25:AM25)=0</f>
        <v>1</v>
      </c>
      <c r="AM25" s="10" t="b">
        <f>AND(OR(Balancing!D25="",ISERROR(C25)),OR(Balancing!D25&lt;&gt;"",Balancing!E25&lt;&gt;"",Balancing!H25&lt;&gt;""))</f>
        <v>0</v>
      </c>
      <c r="AN25" s="10" t="str">
        <f>IF(ISNUMBER(INDEX(Balancing!$H$2:$AM$51,$B25,$E$65-1)),$B25,"-")</f>
        <v>-</v>
      </c>
      <c r="AO25" s="10" t="str">
        <f>IF(ISNUMBER(INDEX(Balancing!$H$2:$AM$51,$B25,$E$65)),$B25,"-")</f>
        <v>-</v>
      </c>
      <c r="AP25" s="10" t="str">
        <f t="shared" si="7"/>
        <v>-</v>
      </c>
      <c r="AQ25" t="str">
        <f>IF(ISNUMBER(AO25),IF(ABS(INDEX($F$2:$AJ$51,$B25,$E$65)-INDEX($F$2:$AJ$51,E$66,$E$65))/INDEX($F$2:$AJ$51,E$66,$E$65)&gt;General!B$9,B25,"ok"),"-")</f>
        <v>-</v>
      </c>
      <c r="AR25" t="str">
        <f t="shared" si="0"/>
        <v>-</v>
      </c>
      <c r="AS25" t="str">
        <f t="shared" si="1"/>
        <v>-</v>
      </c>
      <c r="AT25" s="10" t="str">
        <f>IF(ISNUMBER(Balancing!H25),B25,"-")</f>
        <v>-</v>
      </c>
      <c r="AU25" t="e">
        <f t="shared" si="2"/>
        <v>#VALUE!</v>
      </c>
      <c r="AV25" s="10" t="e">
        <f>IF(E$97,"OK!",IF(LOWER(Balancing!$D25)="pa",(AU25/C25)^2,AU25/$C25))</f>
        <v>#VALUE!</v>
      </c>
      <c r="AW25" s="19" t="str">
        <f>IF(AL25,".",IF(AM25,BV$24,IF(AND(Balancing!F25="",OR(General!B$8="pa",Balancing!D25="pa")),BV$25,IF(Balancing!E25="",BV$26,IF(E$65=0,BV$27,IF(B25=E$94,BV$28,IF(AND(B25=E$94-1,B25=E$91,AO25&lt;&gt;B25),BV$31,"")))))))</f>
        <v>.</v>
      </c>
      <c r="AX25" s="8" t="str">
        <f t="shared" si="3"/>
        <v>.</v>
      </c>
      <c r="AY25" s="7" t="str">
        <f t="shared" si="4"/>
        <v>.</v>
      </c>
      <c r="BA25" s="21">
        <f t="shared" si="8"/>
        <v>0</v>
      </c>
      <c r="BB25" s="21" t="e">
        <f t="shared" si="9"/>
        <v>#VALUE!</v>
      </c>
      <c r="BC25" t="str">
        <f t="shared" si="5"/>
        <v>-</v>
      </c>
      <c r="BD25" t="str">
        <f t="shared" si="6"/>
        <v>-</v>
      </c>
      <c r="BU25" s="26">
        <v>25</v>
      </c>
      <c r="BV25" t="str">
        <f>INDEX(BW$1:CF$32,BU25,General!$B$10)</f>
        <v>K-fact?</v>
      </c>
      <c r="BW25" s="30" t="s">
        <v>82</v>
      </c>
      <c r="BX25" s="31" t="s">
        <v>179</v>
      </c>
      <c r="BY25" s="31" t="s">
        <v>83</v>
      </c>
      <c r="BZ25" s="31" t="s">
        <v>82</v>
      </c>
      <c r="CA25" s="31" t="s">
        <v>82</v>
      </c>
      <c r="CB25" s="31" t="s">
        <v>268</v>
      </c>
      <c r="CC25" s="31" t="s">
        <v>82</v>
      </c>
      <c r="CD25" s="31" t="s">
        <v>83</v>
      </c>
      <c r="CE25" s="31" t="s">
        <v>253</v>
      </c>
      <c r="CF25" s="32"/>
    </row>
    <row r="26" spans="2:84" x14ac:dyDescent="0.25">
      <c r="B26">
        <v>25</v>
      </c>
      <c r="C26" t="e">
        <f>IF(LOWER(Balancing!D26)="pa",Balancing!F26/1000,INDEX($E$98:$E$103,MATCH(LOWER(Balancing!D26),$D$98:$D$103,0)))</f>
        <v>#N/A</v>
      </c>
      <c r="D26" s="10">
        <f>IF(LOWER(General!$B$8)="pa",Balancing!$F26*SQRT(Balancing!E26)/1000,Balancing!E26*E$104)</f>
        <v>0</v>
      </c>
      <c r="E26" s="10" t="str">
        <f>IF(ISNUMBER(Balancing!H26),IF(LOWER(Balancing!$D26)="pa",$C26*SQRT(Balancing!H26),Balancing!H26*$C26),"-")</f>
        <v>-</v>
      </c>
      <c r="F26" s="14" t="str">
        <f>IF(ISNUMBER(Balancing!H26),IF(LOWER(Balancing!$D26)="pa",$C26*SQRT(Balancing!H26),Balancing!H26*$C26)/$D26,"-")</f>
        <v>-</v>
      </c>
      <c r="G26" s="10" t="str">
        <f>IF(ISNUMBER(Balancing!I26),IF(LOWER(Balancing!$D26)="pa",$C26*SQRT(Balancing!I26),Balancing!I26*$C26)/$D26,"-")</f>
        <v>-</v>
      </c>
      <c r="H26" s="10" t="str">
        <f>IF(ISNUMBER(Balancing!J26),IF(LOWER(Balancing!$D26)="pa",$C26*SQRT(Balancing!J26),Balancing!J26*$C26)/$D26,"-")</f>
        <v>-</v>
      </c>
      <c r="I26" s="10" t="str">
        <f>IF(ISNUMBER(Balancing!K26),IF(LOWER(Balancing!$D26)="pa",$C26*SQRT(Balancing!K26),Balancing!K26*$C26)/$D26,"-")</f>
        <v>-</v>
      </c>
      <c r="J26" s="10" t="str">
        <f>IF(ISNUMBER(Balancing!L26),IF(LOWER(Balancing!$D26)="pa",$C26*SQRT(Balancing!L26),Balancing!L26*$C26)/$D26,"-")</f>
        <v>-</v>
      </c>
      <c r="K26" s="10" t="str">
        <f>IF(ISNUMBER(Balancing!M26),IF(LOWER(Balancing!$D26)="pa",$C26*SQRT(Balancing!M26),Balancing!M26*$C26)/$D26,"-")</f>
        <v>-</v>
      </c>
      <c r="L26" s="10" t="str">
        <f>IF(ISNUMBER(Balancing!N26),IF(LOWER(Balancing!$D26)="pa",$C26*SQRT(Balancing!N26),Balancing!N26*$C26)/$D26,"-")</f>
        <v>-</v>
      </c>
      <c r="M26" s="10" t="str">
        <f>IF(ISNUMBER(Balancing!O26),IF(LOWER(Balancing!$D26)="pa",$C26*SQRT(Balancing!O26),Balancing!O26*$C26)/$D26,"-")</f>
        <v>-</v>
      </c>
      <c r="N26" s="10" t="str">
        <f>IF(ISNUMBER(Balancing!P26),IF(LOWER(Balancing!$D26)="pa",$C26*SQRT(Balancing!P26),Balancing!P26*$C26)/$D26,"-")</f>
        <v>-</v>
      </c>
      <c r="O26" s="10" t="str">
        <f>IF(ISNUMBER(Balancing!Q26),IF(LOWER(Balancing!$D26)="pa",$C26*SQRT(Balancing!Q26),Balancing!Q26*$C26)/$D26,"-")</f>
        <v>-</v>
      </c>
      <c r="P26" s="10" t="str">
        <f>IF(ISNUMBER(Balancing!R26),IF(LOWER(Balancing!$D26)="pa",$C26*SQRT(Balancing!R26),Balancing!R26*$C26)/$D26,"-")</f>
        <v>-</v>
      </c>
      <c r="Q26" s="10" t="str">
        <f>IF(ISNUMBER(Balancing!S26),IF(LOWER(Balancing!$D26)="pa",$C26*SQRT(Balancing!S26),Balancing!S26*$C26)/$D26,"-")</f>
        <v>-</v>
      </c>
      <c r="R26" s="10" t="str">
        <f>IF(ISNUMBER(Balancing!T26),IF(LOWER(Balancing!$D26)="pa",$C26*SQRT(Balancing!T26),Balancing!T26*$C26)/$D26,"-")</f>
        <v>-</v>
      </c>
      <c r="S26" s="10" t="str">
        <f>IF(ISNUMBER(Balancing!U26),IF(LOWER(Balancing!$D26)="pa",$C26*SQRT(Balancing!U26),Balancing!U26*$C26)/$D26,"-")</f>
        <v>-</v>
      </c>
      <c r="T26" s="10" t="str">
        <f>IF(ISNUMBER(Balancing!V26),IF(LOWER(Balancing!$D26)="pa",$C26*SQRT(Balancing!V26),Balancing!V26*$C26)/$D26,"-")</f>
        <v>-</v>
      </c>
      <c r="U26" s="10" t="str">
        <f>IF(ISNUMBER(Balancing!W26),IF(LOWER(Balancing!$D26)="pa",$C26*SQRT(Balancing!W26),Balancing!W26*$C26)/$D26,"-")</f>
        <v>-</v>
      </c>
      <c r="V26" s="10" t="str">
        <f>IF(ISNUMBER(Balancing!X26),IF(LOWER(Balancing!$D26)="pa",$C26*SQRT(Balancing!X26),Balancing!X26*$C26)/$D26,"-")</f>
        <v>-</v>
      </c>
      <c r="W26" s="10" t="str">
        <f>IF(ISNUMBER(Balancing!Y26),IF(LOWER(Balancing!$D26)="pa",$C26*SQRT(Balancing!Y26),Balancing!Y26*$C26)/$D26,"-")</f>
        <v>-</v>
      </c>
      <c r="X26" s="10" t="str">
        <f>IF(ISNUMBER(Balancing!Z26),IF(LOWER(Balancing!$D26)="pa",$C26*SQRT(Balancing!Z26),Balancing!Z26*$C26)/$D26,"-")</f>
        <v>-</v>
      </c>
      <c r="Y26" s="10" t="str">
        <f>IF(ISNUMBER(Balancing!AA26),IF(LOWER(Balancing!$D26)="pa",$C26*SQRT(Balancing!AA26),Balancing!AA26*$C26)/$D26,"-")</f>
        <v>-</v>
      </c>
      <c r="Z26" s="10" t="str">
        <f>IF(ISNUMBER(Balancing!AB26),IF(LOWER(Balancing!$D26)="pa",$C26*SQRT(Balancing!AB26),Balancing!AB26*$C26)/$D26,"-")</f>
        <v>-</v>
      </c>
      <c r="AA26" s="10" t="str">
        <f>IF(ISNUMBER(Balancing!AC26),IF(LOWER(Balancing!$D26)="pa",$C26*SQRT(Balancing!AC26),Balancing!AC26*$C26)/$D26,"-")</f>
        <v>-</v>
      </c>
      <c r="AB26" s="10" t="str">
        <f>IF(ISNUMBER(Balancing!AD26),IF(LOWER(Balancing!$D26)="pa",$C26*SQRT(Balancing!AD26),Balancing!AD26*$C26)/$D26,"-")</f>
        <v>-</v>
      </c>
      <c r="AC26" s="10" t="str">
        <f>IF(ISNUMBER(Balancing!AE26),IF(LOWER(Balancing!$D26)="pa",$C26*SQRT(Balancing!AE26),Balancing!AE26*$C26)/$D26,"-")</f>
        <v>-</v>
      </c>
      <c r="AD26" s="10" t="str">
        <f>IF(ISNUMBER(Balancing!AF26),IF(LOWER(Balancing!$D26)="pa",$C26*SQRT(Balancing!AF26),Balancing!AF26*$C26)/$D26,"-")</f>
        <v>-</v>
      </c>
      <c r="AE26" s="10" t="str">
        <f>IF(ISNUMBER(Balancing!AG26),IF(LOWER(Balancing!$D26)="pa",$C26*SQRT(Balancing!AG26),Balancing!AG26*$C26)/$D26,"-")</f>
        <v>-</v>
      </c>
      <c r="AF26" s="10" t="str">
        <f>IF(ISNUMBER(Balancing!AH26),IF(LOWER(Balancing!$D26)="pa",$C26*SQRT(Balancing!AH26),Balancing!AH26*$C26)/$D26,"-")</f>
        <v>-</v>
      </c>
      <c r="AG26" s="10" t="str">
        <f>IF(ISNUMBER(Balancing!AI26),IF(LOWER(Balancing!$D26)="pa",$C26*SQRT(Balancing!AI26),Balancing!AI26*$C26)/$D26,"-")</f>
        <v>-</v>
      </c>
      <c r="AH26" s="10" t="str">
        <f>IF(ISNUMBER(Balancing!AJ26),IF(LOWER(Balancing!$D26)="pa",$C26*SQRT(Balancing!AJ26),Balancing!AJ26*$C26)/$D26,"-")</f>
        <v>-</v>
      </c>
      <c r="AI26" s="10" t="str">
        <f>IF(ISNUMBER(Balancing!AK26),IF(LOWER(Balancing!$D26)="pa",$C26*SQRT(Balancing!AK26),Balancing!AK26*$C26)/$D26,"-")</f>
        <v>-</v>
      </c>
      <c r="AJ26" s="15" t="str">
        <f>IF(ISNUMBER(Balancing!AL26),IF(LOWER(Balancing!$D26)="pa",$C26*SQRT(Balancing!AL26),Balancing!AL26*$C26)/$D26,"-")</f>
        <v>-</v>
      </c>
      <c r="AL26" s="10" t="b">
        <f>COUNTA(Balancing!D26:AM26)=0</f>
        <v>1</v>
      </c>
      <c r="AM26" s="10" t="b">
        <f>AND(OR(Balancing!D26="",ISERROR(C26)),OR(Balancing!D26&lt;&gt;"",Balancing!E26&lt;&gt;"",Balancing!H26&lt;&gt;""))</f>
        <v>0</v>
      </c>
      <c r="AN26" s="10" t="str">
        <f>IF(ISNUMBER(INDEX(Balancing!$H$2:$AM$51,$B26,$E$65-1)),$B26,"-")</f>
        <v>-</v>
      </c>
      <c r="AO26" s="10" t="str">
        <f>IF(ISNUMBER(INDEX(Balancing!$H$2:$AM$51,$B26,$E$65)),$B26,"-")</f>
        <v>-</v>
      </c>
      <c r="AP26" s="10" t="str">
        <f t="shared" si="7"/>
        <v>-</v>
      </c>
      <c r="AQ26" t="str">
        <f>IF(ISNUMBER(AO26),IF(ABS(INDEX($F$2:$AJ$51,$B26,$E$65)-INDEX($F$2:$AJ$51,E$66,$E$65))/INDEX($F$2:$AJ$51,E$66,$E$65)&gt;General!B$9,B26,"ok"),"-")</f>
        <v>-</v>
      </c>
      <c r="AR26" t="str">
        <f t="shared" si="0"/>
        <v>-</v>
      </c>
      <c r="AS26" t="str">
        <f t="shared" si="1"/>
        <v>-</v>
      </c>
      <c r="AT26" s="10" t="str">
        <f>IF(ISNUMBER(Balancing!H26),B26,"-")</f>
        <v>-</v>
      </c>
      <c r="AU26" t="e">
        <f t="shared" si="2"/>
        <v>#VALUE!</v>
      </c>
      <c r="AV26" s="10" t="e">
        <f>IF(E$97,"OK!",IF(LOWER(Balancing!$D26)="pa",(AU26/C26)^2,AU26/$C26))</f>
        <v>#VALUE!</v>
      </c>
      <c r="AW26" s="19" t="str">
        <f>IF(AL26,".",IF(AM26,BV$24,IF(AND(Balancing!F26="",OR(General!B$8="pa",Balancing!D26="pa")),BV$25,IF(Balancing!E26="",BV$26,IF(E$65=0,BV$27,IF(B26=E$94,BV$28,IF(AND(B26=E$94-1,B26=E$91,AO26&lt;&gt;B26),BV$31,"")))))))</f>
        <v>.</v>
      </c>
      <c r="AX26" s="8" t="str">
        <f t="shared" si="3"/>
        <v>.</v>
      </c>
      <c r="AY26" s="7" t="str">
        <f t="shared" si="4"/>
        <v>.</v>
      </c>
      <c r="BA26" s="21">
        <f t="shared" si="8"/>
        <v>0</v>
      </c>
      <c r="BB26" s="21" t="e">
        <f t="shared" si="9"/>
        <v>#VALUE!</v>
      </c>
      <c r="BC26" t="str">
        <f t="shared" si="5"/>
        <v>-</v>
      </c>
      <c r="BD26" t="str">
        <f t="shared" si="6"/>
        <v>-</v>
      </c>
      <c r="BU26">
        <v>26</v>
      </c>
      <c r="BV26" t="str">
        <f>INDEX(BW$1:CF$32,BU26,General!$B$10)</f>
        <v>Design?</v>
      </c>
      <c r="BW26" s="30" t="s">
        <v>100</v>
      </c>
      <c r="BX26" s="31" t="s">
        <v>180</v>
      </c>
      <c r="BY26" s="31" t="s">
        <v>84</v>
      </c>
      <c r="BZ26" s="31" t="s">
        <v>181</v>
      </c>
      <c r="CA26" s="31" t="s">
        <v>210</v>
      </c>
      <c r="CB26" s="31" t="s">
        <v>269</v>
      </c>
      <c r="CC26" s="31" t="s">
        <v>228</v>
      </c>
      <c r="CD26" s="31" t="s">
        <v>84</v>
      </c>
      <c r="CE26" s="31" t="s">
        <v>248</v>
      </c>
      <c r="CF26" s="32"/>
    </row>
    <row r="27" spans="2:84" x14ac:dyDescent="0.25">
      <c r="B27">
        <v>26</v>
      </c>
      <c r="C27" t="e">
        <f>IF(LOWER(Balancing!D27)="pa",Balancing!F27/1000,INDEX($E$98:$E$103,MATCH(LOWER(Balancing!D27),$D$98:$D$103,0)))</f>
        <v>#N/A</v>
      </c>
      <c r="D27" s="10">
        <f>IF(LOWER(General!$B$8)="pa",Balancing!$F27*SQRT(Balancing!E27)/1000,Balancing!E27*E$104)</f>
        <v>0</v>
      </c>
      <c r="E27" s="10" t="str">
        <f>IF(ISNUMBER(Balancing!H27),IF(LOWER(Balancing!$D27)="pa",$C27*SQRT(Balancing!H27),Balancing!H27*$C27),"-")</f>
        <v>-</v>
      </c>
      <c r="F27" s="14" t="str">
        <f>IF(ISNUMBER(Balancing!H27),IF(LOWER(Balancing!$D27)="pa",$C27*SQRT(Balancing!H27),Balancing!H27*$C27)/$D27,"-")</f>
        <v>-</v>
      </c>
      <c r="G27" s="10" t="str">
        <f>IF(ISNUMBER(Balancing!I27),IF(LOWER(Balancing!$D27)="pa",$C27*SQRT(Balancing!I27),Balancing!I27*$C27)/$D27,"-")</f>
        <v>-</v>
      </c>
      <c r="H27" s="10" t="str">
        <f>IF(ISNUMBER(Balancing!J27),IF(LOWER(Balancing!$D27)="pa",$C27*SQRT(Balancing!J27),Balancing!J27*$C27)/$D27,"-")</f>
        <v>-</v>
      </c>
      <c r="I27" s="10" t="str">
        <f>IF(ISNUMBER(Balancing!K27),IF(LOWER(Balancing!$D27)="pa",$C27*SQRT(Balancing!K27),Balancing!K27*$C27)/$D27,"-")</f>
        <v>-</v>
      </c>
      <c r="J27" s="10" t="str">
        <f>IF(ISNUMBER(Balancing!L27),IF(LOWER(Balancing!$D27)="pa",$C27*SQRT(Balancing!L27),Balancing!L27*$C27)/$D27,"-")</f>
        <v>-</v>
      </c>
      <c r="K27" s="10" t="str">
        <f>IF(ISNUMBER(Balancing!M27),IF(LOWER(Balancing!$D27)="pa",$C27*SQRT(Balancing!M27),Balancing!M27*$C27)/$D27,"-")</f>
        <v>-</v>
      </c>
      <c r="L27" s="10" t="str">
        <f>IF(ISNUMBER(Balancing!N27),IF(LOWER(Balancing!$D27)="pa",$C27*SQRT(Balancing!N27),Balancing!N27*$C27)/$D27,"-")</f>
        <v>-</v>
      </c>
      <c r="M27" s="10" t="str">
        <f>IF(ISNUMBER(Balancing!O27),IF(LOWER(Balancing!$D27)="pa",$C27*SQRT(Balancing!O27),Balancing!O27*$C27)/$D27,"-")</f>
        <v>-</v>
      </c>
      <c r="N27" s="10" t="str">
        <f>IF(ISNUMBER(Balancing!P27),IF(LOWER(Balancing!$D27)="pa",$C27*SQRT(Balancing!P27),Balancing!P27*$C27)/$D27,"-")</f>
        <v>-</v>
      </c>
      <c r="O27" s="10" t="str">
        <f>IF(ISNUMBER(Balancing!Q27),IF(LOWER(Balancing!$D27)="pa",$C27*SQRT(Balancing!Q27),Balancing!Q27*$C27)/$D27,"-")</f>
        <v>-</v>
      </c>
      <c r="P27" s="10" t="str">
        <f>IF(ISNUMBER(Balancing!R27),IF(LOWER(Balancing!$D27)="pa",$C27*SQRT(Balancing!R27),Balancing!R27*$C27)/$D27,"-")</f>
        <v>-</v>
      </c>
      <c r="Q27" s="10" t="str">
        <f>IF(ISNUMBER(Balancing!S27),IF(LOWER(Balancing!$D27)="pa",$C27*SQRT(Balancing!S27),Balancing!S27*$C27)/$D27,"-")</f>
        <v>-</v>
      </c>
      <c r="R27" s="10" t="str">
        <f>IF(ISNUMBER(Balancing!T27),IF(LOWER(Balancing!$D27)="pa",$C27*SQRT(Balancing!T27),Balancing!T27*$C27)/$D27,"-")</f>
        <v>-</v>
      </c>
      <c r="S27" s="10" t="str">
        <f>IF(ISNUMBER(Balancing!U27),IF(LOWER(Balancing!$D27)="pa",$C27*SQRT(Balancing!U27),Balancing!U27*$C27)/$D27,"-")</f>
        <v>-</v>
      </c>
      <c r="T27" s="10" t="str">
        <f>IF(ISNUMBER(Balancing!V27),IF(LOWER(Balancing!$D27)="pa",$C27*SQRT(Balancing!V27),Balancing!V27*$C27)/$D27,"-")</f>
        <v>-</v>
      </c>
      <c r="U27" s="10" t="str">
        <f>IF(ISNUMBER(Balancing!W27),IF(LOWER(Balancing!$D27)="pa",$C27*SQRT(Balancing!W27),Balancing!W27*$C27)/$D27,"-")</f>
        <v>-</v>
      </c>
      <c r="V27" s="10" t="str">
        <f>IF(ISNUMBER(Balancing!X27),IF(LOWER(Balancing!$D27)="pa",$C27*SQRT(Balancing!X27),Balancing!X27*$C27)/$D27,"-")</f>
        <v>-</v>
      </c>
      <c r="W27" s="10" t="str">
        <f>IF(ISNUMBER(Balancing!Y27),IF(LOWER(Balancing!$D27)="pa",$C27*SQRT(Balancing!Y27),Balancing!Y27*$C27)/$D27,"-")</f>
        <v>-</v>
      </c>
      <c r="X27" s="10" t="str">
        <f>IF(ISNUMBER(Balancing!Z27),IF(LOWER(Balancing!$D27)="pa",$C27*SQRT(Balancing!Z27),Balancing!Z27*$C27)/$D27,"-")</f>
        <v>-</v>
      </c>
      <c r="Y27" s="10" t="str">
        <f>IF(ISNUMBER(Balancing!AA27),IF(LOWER(Balancing!$D27)="pa",$C27*SQRT(Balancing!AA27),Balancing!AA27*$C27)/$D27,"-")</f>
        <v>-</v>
      </c>
      <c r="Z27" s="10" t="str">
        <f>IF(ISNUMBER(Balancing!AB27),IF(LOWER(Balancing!$D27)="pa",$C27*SQRT(Balancing!AB27),Balancing!AB27*$C27)/$D27,"-")</f>
        <v>-</v>
      </c>
      <c r="AA27" s="10" t="str">
        <f>IF(ISNUMBER(Balancing!AC27),IF(LOWER(Balancing!$D27)="pa",$C27*SQRT(Balancing!AC27),Balancing!AC27*$C27)/$D27,"-")</f>
        <v>-</v>
      </c>
      <c r="AB27" s="10" t="str">
        <f>IF(ISNUMBER(Balancing!AD27),IF(LOWER(Balancing!$D27)="pa",$C27*SQRT(Balancing!AD27),Balancing!AD27*$C27)/$D27,"-")</f>
        <v>-</v>
      </c>
      <c r="AC27" s="10" t="str">
        <f>IF(ISNUMBER(Balancing!AE27),IF(LOWER(Balancing!$D27)="pa",$C27*SQRT(Balancing!AE27),Balancing!AE27*$C27)/$D27,"-")</f>
        <v>-</v>
      </c>
      <c r="AD27" s="10" t="str">
        <f>IF(ISNUMBER(Balancing!AF27),IF(LOWER(Balancing!$D27)="pa",$C27*SQRT(Balancing!AF27),Balancing!AF27*$C27)/$D27,"-")</f>
        <v>-</v>
      </c>
      <c r="AE27" s="10" t="str">
        <f>IF(ISNUMBER(Balancing!AG27),IF(LOWER(Balancing!$D27)="pa",$C27*SQRT(Balancing!AG27),Balancing!AG27*$C27)/$D27,"-")</f>
        <v>-</v>
      </c>
      <c r="AF27" s="10" t="str">
        <f>IF(ISNUMBER(Balancing!AH27),IF(LOWER(Balancing!$D27)="pa",$C27*SQRT(Balancing!AH27),Balancing!AH27*$C27)/$D27,"-")</f>
        <v>-</v>
      </c>
      <c r="AG27" s="10" t="str">
        <f>IF(ISNUMBER(Balancing!AI27),IF(LOWER(Balancing!$D27)="pa",$C27*SQRT(Balancing!AI27),Balancing!AI27*$C27)/$D27,"-")</f>
        <v>-</v>
      </c>
      <c r="AH27" s="10" t="str">
        <f>IF(ISNUMBER(Balancing!AJ27),IF(LOWER(Balancing!$D27)="pa",$C27*SQRT(Balancing!AJ27),Balancing!AJ27*$C27)/$D27,"-")</f>
        <v>-</v>
      </c>
      <c r="AI27" s="10" t="str">
        <f>IF(ISNUMBER(Balancing!AK27),IF(LOWER(Balancing!$D27)="pa",$C27*SQRT(Balancing!AK27),Balancing!AK27*$C27)/$D27,"-")</f>
        <v>-</v>
      </c>
      <c r="AJ27" s="15" t="str">
        <f>IF(ISNUMBER(Balancing!AL27),IF(LOWER(Balancing!$D27)="pa",$C27*SQRT(Balancing!AL27),Balancing!AL27*$C27)/$D27,"-")</f>
        <v>-</v>
      </c>
      <c r="AL27" s="10" t="b">
        <f>COUNTA(Balancing!D27:AM27)=0</f>
        <v>1</v>
      </c>
      <c r="AM27" s="10" t="b">
        <f>AND(OR(Balancing!D27="",ISERROR(C27)),OR(Balancing!D27&lt;&gt;"",Balancing!E27&lt;&gt;"",Balancing!H27&lt;&gt;""))</f>
        <v>0</v>
      </c>
      <c r="AN27" s="10" t="str">
        <f>IF(ISNUMBER(INDEX(Balancing!$H$2:$AM$51,$B27,$E$65-1)),$B27,"-")</f>
        <v>-</v>
      </c>
      <c r="AO27" s="10" t="str">
        <f>IF(ISNUMBER(INDEX(Balancing!$H$2:$AM$51,$B27,$E$65)),$B27,"-")</f>
        <v>-</v>
      </c>
      <c r="AP27" s="10" t="str">
        <f t="shared" si="7"/>
        <v>-</v>
      </c>
      <c r="AQ27" t="str">
        <f>IF(ISNUMBER(AO27),IF(ABS(INDEX($F$2:$AJ$51,$B27,$E$65)-INDEX($F$2:$AJ$51,E$66,$E$65))/INDEX($F$2:$AJ$51,E$66,$E$65)&gt;General!B$9,B27,"ok"),"-")</f>
        <v>-</v>
      </c>
      <c r="AR27" t="str">
        <f t="shared" si="0"/>
        <v>-</v>
      </c>
      <c r="AS27" t="str">
        <f t="shared" si="1"/>
        <v>-</v>
      </c>
      <c r="AT27" s="10" t="str">
        <f>IF(ISNUMBER(Balancing!H27),B27,"-")</f>
        <v>-</v>
      </c>
      <c r="AU27" t="e">
        <f t="shared" si="2"/>
        <v>#VALUE!</v>
      </c>
      <c r="AV27" s="10" t="e">
        <f>IF(E$97,"OK!",IF(LOWER(Balancing!$D27)="pa",(AU27/C27)^2,AU27/$C27))</f>
        <v>#VALUE!</v>
      </c>
      <c r="AW27" s="19" t="str">
        <f>IF(AL27,".",IF(AM27,BV$24,IF(AND(Balancing!F27="",OR(General!B$8="pa",Balancing!D27="pa")),BV$25,IF(Balancing!E27="",BV$26,IF(E$65=0,BV$27,IF(B27=E$94,BV$28,IF(AND(B27=E$94-1,B27=E$91,AO27&lt;&gt;B27),BV$31,"")))))))</f>
        <v>.</v>
      </c>
      <c r="AX27" s="8" t="str">
        <f t="shared" si="3"/>
        <v>.</v>
      </c>
      <c r="AY27" s="7" t="str">
        <f t="shared" si="4"/>
        <v>.</v>
      </c>
      <c r="BA27" s="21">
        <f t="shared" si="8"/>
        <v>0</v>
      </c>
      <c r="BB27" s="21" t="e">
        <f t="shared" si="9"/>
        <v>#VALUE!</v>
      </c>
      <c r="BC27" t="str">
        <f t="shared" si="5"/>
        <v>-</v>
      </c>
      <c r="BD27" t="str">
        <f t="shared" si="6"/>
        <v>-</v>
      </c>
      <c r="BU27" s="26">
        <v>27</v>
      </c>
      <c r="BV27" t="str">
        <f>INDEX(BW$1:CF$32,BU27,General!$B$10)</f>
        <v>Initial?</v>
      </c>
      <c r="BW27" s="30" t="s">
        <v>101</v>
      </c>
      <c r="BX27" s="31" t="s">
        <v>182</v>
      </c>
      <c r="BY27" s="31" t="s">
        <v>85</v>
      </c>
      <c r="BZ27" s="31" t="s">
        <v>183</v>
      </c>
      <c r="CA27" s="31" t="s">
        <v>211</v>
      </c>
      <c r="CB27" s="31" t="s">
        <v>270</v>
      </c>
      <c r="CC27" s="31" t="s">
        <v>229</v>
      </c>
      <c r="CD27" s="31" t="s">
        <v>85</v>
      </c>
      <c r="CE27" s="31" t="s">
        <v>249</v>
      </c>
      <c r="CF27" s="32"/>
    </row>
    <row r="28" spans="2:84" x14ac:dyDescent="0.25">
      <c r="B28">
        <v>27</v>
      </c>
      <c r="C28" t="e">
        <f>IF(LOWER(Balancing!D28)="pa",Balancing!F28/1000,INDEX($E$98:$E$103,MATCH(LOWER(Balancing!D28),$D$98:$D$103,0)))</f>
        <v>#N/A</v>
      </c>
      <c r="D28" s="10">
        <f>IF(LOWER(General!$B$8)="pa",Balancing!$F28*SQRT(Balancing!E28)/1000,Balancing!E28*E$104)</f>
        <v>0</v>
      </c>
      <c r="E28" s="10" t="str">
        <f>IF(ISNUMBER(Balancing!H28),IF(LOWER(Balancing!$D28)="pa",$C28*SQRT(Balancing!H28),Balancing!H28*$C28),"-")</f>
        <v>-</v>
      </c>
      <c r="F28" s="14" t="str">
        <f>IF(ISNUMBER(Balancing!H28),IF(LOWER(Balancing!$D28)="pa",$C28*SQRT(Balancing!H28),Balancing!H28*$C28)/$D28,"-")</f>
        <v>-</v>
      </c>
      <c r="G28" s="10" t="str">
        <f>IF(ISNUMBER(Balancing!I28),IF(LOWER(Balancing!$D28)="pa",$C28*SQRT(Balancing!I28),Balancing!I28*$C28)/$D28,"-")</f>
        <v>-</v>
      </c>
      <c r="H28" s="10" t="str">
        <f>IF(ISNUMBER(Balancing!J28),IF(LOWER(Balancing!$D28)="pa",$C28*SQRT(Balancing!J28),Balancing!J28*$C28)/$D28,"-")</f>
        <v>-</v>
      </c>
      <c r="I28" s="10" t="str">
        <f>IF(ISNUMBER(Balancing!K28),IF(LOWER(Balancing!$D28)="pa",$C28*SQRT(Balancing!K28),Balancing!K28*$C28)/$D28,"-")</f>
        <v>-</v>
      </c>
      <c r="J28" s="10" t="str">
        <f>IF(ISNUMBER(Balancing!L28),IF(LOWER(Balancing!$D28)="pa",$C28*SQRT(Balancing!L28),Balancing!L28*$C28)/$D28,"-")</f>
        <v>-</v>
      </c>
      <c r="K28" s="10" t="str">
        <f>IF(ISNUMBER(Balancing!M28),IF(LOWER(Balancing!$D28)="pa",$C28*SQRT(Balancing!M28),Balancing!M28*$C28)/$D28,"-")</f>
        <v>-</v>
      </c>
      <c r="L28" s="10" t="str">
        <f>IF(ISNUMBER(Balancing!N28),IF(LOWER(Balancing!$D28)="pa",$C28*SQRT(Balancing!N28),Balancing!N28*$C28)/$D28,"-")</f>
        <v>-</v>
      </c>
      <c r="M28" s="10" t="str">
        <f>IF(ISNUMBER(Balancing!O28),IF(LOWER(Balancing!$D28)="pa",$C28*SQRT(Balancing!O28),Balancing!O28*$C28)/$D28,"-")</f>
        <v>-</v>
      </c>
      <c r="N28" s="10" t="str">
        <f>IF(ISNUMBER(Balancing!P28),IF(LOWER(Balancing!$D28)="pa",$C28*SQRT(Balancing!P28),Balancing!P28*$C28)/$D28,"-")</f>
        <v>-</v>
      </c>
      <c r="O28" s="10" t="str">
        <f>IF(ISNUMBER(Balancing!Q28),IF(LOWER(Balancing!$D28)="pa",$C28*SQRT(Balancing!Q28),Balancing!Q28*$C28)/$D28,"-")</f>
        <v>-</v>
      </c>
      <c r="P28" s="10" t="str">
        <f>IF(ISNUMBER(Balancing!R28),IF(LOWER(Balancing!$D28)="pa",$C28*SQRT(Balancing!R28),Balancing!R28*$C28)/$D28,"-")</f>
        <v>-</v>
      </c>
      <c r="Q28" s="10" t="str">
        <f>IF(ISNUMBER(Balancing!S28),IF(LOWER(Balancing!$D28)="pa",$C28*SQRT(Balancing!S28),Balancing!S28*$C28)/$D28,"-")</f>
        <v>-</v>
      </c>
      <c r="R28" s="10" t="str">
        <f>IF(ISNUMBER(Balancing!T28),IF(LOWER(Balancing!$D28)="pa",$C28*SQRT(Balancing!T28),Balancing!T28*$C28)/$D28,"-")</f>
        <v>-</v>
      </c>
      <c r="S28" s="10" t="str">
        <f>IF(ISNUMBER(Balancing!U28),IF(LOWER(Balancing!$D28)="pa",$C28*SQRT(Balancing!U28),Balancing!U28*$C28)/$D28,"-")</f>
        <v>-</v>
      </c>
      <c r="T28" s="10" t="str">
        <f>IF(ISNUMBER(Balancing!V28),IF(LOWER(Balancing!$D28)="pa",$C28*SQRT(Balancing!V28),Balancing!V28*$C28)/$D28,"-")</f>
        <v>-</v>
      </c>
      <c r="U28" s="10" t="str">
        <f>IF(ISNUMBER(Balancing!W28),IF(LOWER(Balancing!$D28)="pa",$C28*SQRT(Balancing!W28),Balancing!W28*$C28)/$D28,"-")</f>
        <v>-</v>
      </c>
      <c r="V28" s="10" t="str">
        <f>IF(ISNUMBER(Balancing!X28),IF(LOWER(Balancing!$D28)="pa",$C28*SQRT(Balancing!X28),Balancing!X28*$C28)/$D28,"-")</f>
        <v>-</v>
      </c>
      <c r="W28" s="10" t="str">
        <f>IF(ISNUMBER(Balancing!Y28),IF(LOWER(Balancing!$D28)="pa",$C28*SQRT(Balancing!Y28),Balancing!Y28*$C28)/$D28,"-")</f>
        <v>-</v>
      </c>
      <c r="X28" s="10" t="str">
        <f>IF(ISNUMBER(Balancing!Z28),IF(LOWER(Balancing!$D28)="pa",$C28*SQRT(Balancing!Z28),Balancing!Z28*$C28)/$D28,"-")</f>
        <v>-</v>
      </c>
      <c r="Y28" s="10" t="str">
        <f>IF(ISNUMBER(Balancing!AA28),IF(LOWER(Balancing!$D28)="pa",$C28*SQRT(Balancing!AA28),Balancing!AA28*$C28)/$D28,"-")</f>
        <v>-</v>
      </c>
      <c r="Z28" s="10" t="str">
        <f>IF(ISNUMBER(Balancing!AB28),IF(LOWER(Balancing!$D28)="pa",$C28*SQRT(Balancing!AB28),Balancing!AB28*$C28)/$D28,"-")</f>
        <v>-</v>
      </c>
      <c r="AA28" s="10" t="str">
        <f>IF(ISNUMBER(Balancing!AC28),IF(LOWER(Balancing!$D28)="pa",$C28*SQRT(Balancing!AC28),Balancing!AC28*$C28)/$D28,"-")</f>
        <v>-</v>
      </c>
      <c r="AB28" s="10" t="str">
        <f>IF(ISNUMBER(Balancing!AD28),IF(LOWER(Balancing!$D28)="pa",$C28*SQRT(Balancing!AD28),Balancing!AD28*$C28)/$D28,"-")</f>
        <v>-</v>
      </c>
      <c r="AC28" s="10" t="str">
        <f>IF(ISNUMBER(Balancing!AE28),IF(LOWER(Balancing!$D28)="pa",$C28*SQRT(Balancing!AE28),Balancing!AE28*$C28)/$D28,"-")</f>
        <v>-</v>
      </c>
      <c r="AD28" s="10" t="str">
        <f>IF(ISNUMBER(Balancing!AF28),IF(LOWER(Balancing!$D28)="pa",$C28*SQRT(Balancing!AF28),Balancing!AF28*$C28)/$D28,"-")</f>
        <v>-</v>
      </c>
      <c r="AE28" s="10" t="str">
        <f>IF(ISNUMBER(Balancing!AG28),IF(LOWER(Balancing!$D28)="pa",$C28*SQRT(Balancing!AG28),Balancing!AG28*$C28)/$D28,"-")</f>
        <v>-</v>
      </c>
      <c r="AF28" s="10" t="str">
        <f>IF(ISNUMBER(Balancing!AH28),IF(LOWER(Balancing!$D28)="pa",$C28*SQRT(Balancing!AH28),Balancing!AH28*$C28)/$D28,"-")</f>
        <v>-</v>
      </c>
      <c r="AG28" s="10" t="str">
        <f>IF(ISNUMBER(Balancing!AI28),IF(LOWER(Balancing!$D28)="pa",$C28*SQRT(Balancing!AI28),Balancing!AI28*$C28)/$D28,"-")</f>
        <v>-</v>
      </c>
      <c r="AH28" s="10" t="str">
        <f>IF(ISNUMBER(Balancing!AJ28),IF(LOWER(Balancing!$D28)="pa",$C28*SQRT(Balancing!AJ28),Balancing!AJ28*$C28)/$D28,"-")</f>
        <v>-</v>
      </c>
      <c r="AI28" s="10" t="str">
        <f>IF(ISNUMBER(Balancing!AK28),IF(LOWER(Balancing!$D28)="pa",$C28*SQRT(Balancing!AK28),Balancing!AK28*$C28)/$D28,"-")</f>
        <v>-</v>
      </c>
      <c r="AJ28" s="15" t="str">
        <f>IF(ISNUMBER(Balancing!AL28),IF(LOWER(Balancing!$D28)="pa",$C28*SQRT(Balancing!AL28),Balancing!AL28*$C28)/$D28,"-")</f>
        <v>-</v>
      </c>
      <c r="AL28" s="10" t="b">
        <f>COUNTA(Balancing!D28:AM28)=0</f>
        <v>1</v>
      </c>
      <c r="AM28" s="10" t="b">
        <f>AND(OR(Balancing!D28="",ISERROR(C28)),OR(Balancing!D28&lt;&gt;"",Balancing!E28&lt;&gt;"",Balancing!H28&lt;&gt;""))</f>
        <v>0</v>
      </c>
      <c r="AN28" s="10" t="str">
        <f>IF(ISNUMBER(INDEX(Balancing!$H$2:$AM$51,$B28,$E$65-1)),$B28,"-")</f>
        <v>-</v>
      </c>
      <c r="AO28" s="10" t="str">
        <f>IF(ISNUMBER(INDEX(Balancing!$H$2:$AM$51,$B28,$E$65)),$B28,"-")</f>
        <v>-</v>
      </c>
      <c r="AP28" s="10" t="str">
        <f t="shared" si="7"/>
        <v>-</v>
      </c>
      <c r="AQ28" t="str">
        <f>IF(ISNUMBER(AO28),IF(ABS(INDEX($F$2:$AJ$51,$B28,$E$65)-INDEX($F$2:$AJ$51,E$66,$E$65))/INDEX($F$2:$AJ$51,E$66,$E$65)&gt;General!B$9,B28,"ok"),"-")</f>
        <v>-</v>
      </c>
      <c r="AR28" t="str">
        <f t="shared" si="0"/>
        <v>-</v>
      </c>
      <c r="AS28" t="str">
        <f t="shared" si="1"/>
        <v>-</v>
      </c>
      <c r="AT28" s="10" t="str">
        <f>IF(ISNUMBER(Balancing!H28),B28,"-")</f>
        <v>-</v>
      </c>
      <c r="AU28" t="e">
        <f t="shared" si="2"/>
        <v>#VALUE!</v>
      </c>
      <c r="AV28" s="10" t="e">
        <f>IF(E$97,"OK!",IF(LOWER(Balancing!$D28)="pa",(AU28/C28)^2,AU28/$C28))</f>
        <v>#VALUE!</v>
      </c>
      <c r="AW28" s="19" t="str">
        <f>IF(AL28,".",IF(AM28,BV$24,IF(AND(Balancing!F28="",OR(General!B$8="pa",Balancing!D28="pa")),BV$25,IF(Balancing!E28="",BV$26,IF(E$65=0,BV$27,IF(B28=E$94,BV$28,IF(AND(B28=E$94-1,B28=E$91,AO28&lt;&gt;B28),BV$31,"")))))))</f>
        <v>.</v>
      </c>
      <c r="AX28" s="8" t="str">
        <f t="shared" si="3"/>
        <v>.</v>
      </c>
      <c r="AY28" s="7" t="str">
        <f t="shared" si="4"/>
        <v>.</v>
      </c>
      <c r="BA28" s="21">
        <f t="shared" si="8"/>
        <v>0</v>
      </c>
      <c r="BB28" s="21" t="e">
        <f t="shared" si="9"/>
        <v>#VALUE!</v>
      </c>
      <c r="BC28" t="str">
        <f t="shared" si="5"/>
        <v>-</v>
      </c>
      <c r="BD28" t="str">
        <f t="shared" si="6"/>
        <v>-</v>
      </c>
      <c r="BU28">
        <v>28</v>
      </c>
      <c r="BV28" t="str">
        <f>INDEX(BW$1:CF$32,BU28,General!$B$10)</f>
        <v>Next&gt;</v>
      </c>
      <c r="BW28" s="30" t="s">
        <v>102</v>
      </c>
      <c r="BX28" s="31" t="s">
        <v>184</v>
      </c>
      <c r="BY28" s="31" t="s">
        <v>86</v>
      </c>
      <c r="BZ28" s="31" t="s">
        <v>185</v>
      </c>
      <c r="CA28" s="31" t="s">
        <v>212</v>
      </c>
      <c r="CB28" s="31" t="s">
        <v>271</v>
      </c>
      <c r="CC28" s="31" t="s">
        <v>230</v>
      </c>
      <c r="CD28" s="31" t="s">
        <v>86</v>
      </c>
      <c r="CE28" s="31" t="s">
        <v>250</v>
      </c>
      <c r="CF28" s="32"/>
    </row>
    <row r="29" spans="2:84" x14ac:dyDescent="0.25">
      <c r="B29">
        <v>28</v>
      </c>
      <c r="C29" t="e">
        <f>IF(LOWER(Balancing!D29)="pa",Balancing!F29/1000,INDEX($E$98:$E$103,MATCH(LOWER(Balancing!D29),$D$98:$D$103,0)))</f>
        <v>#N/A</v>
      </c>
      <c r="D29" s="10">
        <f>IF(LOWER(General!$B$8)="pa",Balancing!$F29*SQRT(Balancing!E29)/1000,Balancing!E29*E$104)</f>
        <v>0</v>
      </c>
      <c r="E29" s="10" t="str">
        <f>IF(ISNUMBER(Balancing!H29),IF(LOWER(Balancing!$D29)="pa",$C29*SQRT(Balancing!H29),Balancing!H29*$C29),"-")</f>
        <v>-</v>
      </c>
      <c r="F29" s="14" t="str">
        <f>IF(ISNUMBER(Balancing!H29),IF(LOWER(Balancing!$D29)="pa",$C29*SQRT(Balancing!H29),Balancing!H29*$C29)/$D29,"-")</f>
        <v>-</v>
      </c>
      <c r="G29" s="10" t="str">
        <f>IF(ISNUMBER(Balancing!I29),IF(LOWER(Balancing!$D29)="pa",$C29*SQRT(Balancing!I29),Balancing!I29*$C29)/$D29,"-")</f>
        <v>-</v>
      </c>
      <c r="H29" s="10" t="str">
        <f>IF(ISNUMBER(Balancing!J29),IF(LOWER(Balancing!$D29)="pa",$C29*SQRT(Balancing!J29),Balancing!J29*$C29)/$D29,"-")</f>
        <v>-</v>
      </c>
      <c r="I29" s="10" t="str">
        <f>IF(ISNUMBER(Balancing!K29),IF(LOWER(Balancing!$D29)="pa",$C29*SQRT(Balancing!K29),Balancing!K29*$C29)/$D29,"-")</f>
        <v>-</v>
      </c>
      <c r="J29" s="10" t="str">
        <f>IF(ISNUMBER(Balancing!L29),IF(LOWER(Balancing!$D29)="pa",$C29*SQRT(Balancing!L29),Balancing!L29*$C29)/$D29,"-")</f>
        <v>-</v>
      </c>
      <c r="K29" s="10" t="str">
        <f>IF(ISNUMBER(Balancing!M29),IF(LOWER(Balancing!$D29)="pa",$C29*SQRT(Balancing!M29),Balancing!M29*$C29)/$D29,"-")</f>
        <v>-</v>
      </c>
      <c r="L29" s="10" t="str">
        <f>IF(ISNUMBER(Balancing!N29),IF(LOWER(Balancing!$D29)="pa",$C29*SQRT(Balancing!N29),Balancing!N29*$C29)/$D29,"-")</f>
        <v>-</v>
      </c>
      <c r="M29" s="10" t="str">
        <f>IF(ISNUMBER(Balancing!O29),IF(LOWER(Balancing!$D29)="pa",$C29*SQRT(Balancing!O29),Balancing!O29*$C29)/$D29,"-")</f>
        <v>-</v>
      </c>
      <c r="N29" s="10" t="str">
        <f>IF(ISNUMBER(Balancing!P29),IF(LOWER(Balancing!$D29)="pa",$C29*SQRT(Balancing!P29),Balancing!P29*$C29)/$D29,"-")</f>
        <v>-</v>
      </c>
      <c r="O29" s="10" t="str">
        <f>IF(ISNUMBER(Balancing!Q29),IF(LOWER(Balancing!$D29)="pa",$C29*SQRT(Balancing!Q29),Balancing!Q29*$C29)/$D29,"-")</f>
        <v>-</v>
      </c>
      <c r="P29" s="10" t="str">
        <f>IF(ISNUMBER(Balancing!R29),IF(LOWER(Balancing!$D29)="pa",$C29*SQRT(Balancing!R29),Balancing!R29*$C29)/$D29,"-")</f>
        <v>-</v>
      </c>
      <c r="Q29" s="10" t="str">
        <f>IF(ISNUMBER(Balancing!S29),IF(LOWER(Balancing!$D29)="pa",$C29*SQRT(Balancing!S29),Balancing!S29*$C29)/$D29,"-")</f>
        <v>-</v>
      </c>
      <c r="R29" s="10" t="str">
        <f>IF(ISNUMBER(Balancing!T29),IF(LOWER(Balancing!$D29)="pa",$C29*SQRT(Balancing!T29),Balancing!T29*$C29)/$D29,"-")</f>
        <v>-</v>
      </c>
      <c r="S29" s="10" t="str">
        <f>IF(ISNUMBER(Balancing!U29),IF(LOWER(Balancing!$D29)="pa",$C29*SQRT(Balancing!U29),Balancing!U29*$C29)/$D29,"-")</f>
        <v>-</v>
      </c>
      <c r="T29" s="10" t="str">
        <f>IF(ISNUMBER(Balancing!V29),IF(LOWER(Balancing!$D29)="pa",$C29*SQRT(Balancing!V29),Balancing!V29*$C29)/$D29,"-")</f>
        <v>-</v>
      </c>
      <c r="U29" s="10" t="str">
        <f>IF(ISNUMBER(Balancing!W29),IF(LOWER(Balancing!$D29)="pa",$C29*SQRT(Balancing!W29),Balancing!W29*$C29)/$D29,"-")</f>
        <v>-</v>
      </c>
      <c r="V29" s="10" t="str">
        <f>IF(ISNUMBER(Balancing!X29),IF(LOWER(Balancing!$D29)="pa",$C29*SQRT(Balancing!X29),Balancing!X29*$C29)/$D29,"-")</f>
        <v>-</v>
      </c>
      <c r="W29" s="10" t="str">
        <f>IF(ISNUMBER(Balancing!Y29),IF(LOWER(Balancing!$D29)="pa",$C29*SQRT(Balancing!Y29),Balancing!Y29*$C29)/$D29,"-")</f>
        <v>-</v>
      </c>
      <c r="X29" s="10" t="str">
        <f>IF(ISNUMBER(Balancing!Z29),IF(LOWER(Balancing!$D29)="pa",$C29*SQRT(Balancing!Z29),Balancing!Z29*$C29)/$D29,"-")</f>
        <v>-</v>
      </c>
      <c r="Y29" s="10" t="str">
        <f>IF(ISNUMBER(Balancing!AA29),IF(LOWER(Balancing!$D29)="pa",$C29*SQRT(Balancing!AA29),Balancing!AA29*$C29)/$D29,"-")</f>
        <v>-</v>
      </c>
      <c r="Z29" s="10" t="str">
        <f>IF(ISNUMBER(Balancing!AB29),IF(LOWER(Balancing!$D29)="pa",$C29*SQRT(Balancing!AB29),Balancing!AB29*$C29)/$D29,"-")</f>
        <v>-</v>
      </c>
      <c r="AA29" s="10" t="str">
        <f>IF(ISNUMBER(Balancing!AC29),IF(LOWER(Balancing!$D29)="pa",$C29*SQRT(Balancing!AC29),Balancing!AC29*$C29)/$D29,"-")</f>
        <v>-</v>
      </c>
      <c r="AB29" s="10" t="str">
        <f>IF(ISNUMBER(Balancing!AD29),IF(LOWER(Balancing!$D29)="pa",$C29*SQRT(Balancing!AD29),Balancing!AD29*$C29)/$D29,"-")</f>
        <v>-</v>
      </c>
      <c r="AC29" s="10" t="str">
        <f>IF(ISNUMBER(Balancing!AE29),IF(LOWER(Balancing!$D29)="pa",$C29*SQRT(Balancing!AE29),Balancing!AE29*$C29)/$D29,"-")</f>
        <v>-</v>
      </c>
      <c r="AD29" s="10" t="str">
        <f>IF(ISNUMBER(Balancing!AF29),IF(LOWER(Balancing!$D29)="pa",$C29*SQRT(Balancing!AF29),Balancing!AF29*$C29)/$D29,"-")</f>
        <v>-</v>
      </c>
      <c r="AE29" s="10" t="str">
        <f>IF(ISNUMBER(Balancing!AG29),IF(LOWER(Balancing!$D29)="pa",$C29*SQRT(Balancing!AG29),Balancing!AG29*$C29)/$D29,"-")</f>
        <v>-</v>
      </c>
      <c r="AF29" s="10" t="str">
        <f>IF(ISNUMBER(Balancing!AH29),IF(LOWER(Balancing!$D29)="pa",$C29*SQRT(Balancing!AH29),Balancing!AH29*$C29)/$D29,"-")</f>
        <v>-</v>
      </c>
      <c r="AG29" s="10" t="str">
        <f>IF(ISNUMBER(Balancing!AI29),IF(LOWER(Balancing!$D29)="pa",$C29*SQRT(Balancing!AI29),Balancing!AI29*$C29)/$D29,"-")</f>
        <v>-</v>
      </c>
      <c r="AH29" s="10" t="str">
        <f>IF(ISNUMBER(Balancing!AJ29),IF(LOWER(Balancing!$D29)="pa",$C29*SQRT(Balancing!AJ29),Balancing!AJ29*$C29)/$D29,"-")</f>
        <v>-</v>
      </c>
      <c r="AI29" s="10" t="str">
        <f>IF(ISNUMBER(Balancing!AK29),IF(LOWER(Balancing!$D29)="pa",$C29*SQRT(Balancing!AK29),Balancing!AK29*$C29)/$D29,"-")</f>
        <v>-</v>
      </c>
      <c r="AJ29" s="15" t="str">
        <f>IF(ISNUMBER(Balancing!AL29),IF(LOWER(Balancing!$D29)="pa",$C29*SQRT(Balancing!AL29),Balancing!AL29*$C29)/$D29,"-")</f>
        <v>-</v>
      </c>
      <c r="AL29" s="10" t="b">
        <f>COUNTA(Balancing!D29:AM29)=0</f>
        <v>1</v>
      </c>
      <c r="AM29" s="10" t="b">
        <f>AND(OR(Balancing!D29="",ISERROR(C29)),OR(Balancing!D29&lt;&gt;"",Balancing!E29&lt;&gt;"",Balancing!H29&lt;&gt;""))</f>
        <v>0</v>
      </c>
      <c r="AN29" s="10" t="str">
        <f>IF(ISNUMBER(INDEX(Balancing!$H$2:$AM$51,$B29,$E$65-1)),$B29,"-")</f>
        <v>-</v>
      </c>
      <c r="AO29" s="10" t="str">
        <f>IF(ISNUMBER(INDEX(Balancing!$H$2:$AM$51,$B29,$E$65)),$B29,"-")</f>
        <v>-</v>
      </c>
      <c r="AP29" s="10" t="str">
        <f t="shared" si="7"/>
        <v>-</v>
      </c>
      <c r="AQ29" t="str">
        <f>IF(ISNUMBER(AO29),IF(ABS(INDEX($F$2:$AJ$51,$B29,$E$65)-INDEX($F$2:$AJ$51,E$66,$E$65))/INDEX($F$2:$AJ$51,E$66,$E$65)&gt;General!B$9,B29,"ok"),"-")</f>
        <v>-</v>
      </c>
      <c r="AR29" t="str">
        <f t="shared" si="0"/>
        <v>-</v>
      </c>
      <c r="AS29" t="str">
        <f t="shared" si="1"/>
        <v>-</v>
      </c>
      <c r="AT29" s="10" t="str">
        <f>IF(ISNUMBER(Balancing!H29),B29,"-")</f>
        <v>-</v>
      </c>
      <c r="AU29" t="e">
        <f t="shared" si="2"/>
        <v>#VALUE!</v>
      </c>
      <c r="AV29" s="10" t="e">
        <f>IF(E$97,"OK!",IF(LOWER(Balancing!$D29)="pa",(AU29/C29)^2,AU29/$C29))</f>
        <v>#VALUE!</v>
      </c>
      <c r="AW29" s="19" t="str">
        <f>IF(AL29,".",IF(AM29,BV$24,IF(AND(Balancing!F29="",OR(General!B$8="pa",Balancing!D29="pa")),BV$25,IF(Balancing!E29="",BV$26,IF(E$65=0,BV$27,IF(B29=E$94,BV$28,IF(AND(B29=E$94-1,B29=E$91,AO29&lt;&gt;B29),BV$31,"")))))))</f>
        <v>.</v>
      </c>
      <c r="AX29" s="8" t="str">
        <f t="shared" si="3"/>
        <v>.</v>
      </c>
      <c r="AY29" s="7" t="str">
        <f t="shared" si="4"/>
        <v>.</v>
      </c>
      <c r="BA29" s="21">
        <f t="shared" si="8"/>
        <v>0</v>
      </c>
      <c r="BB29" s="21" t="e">
        <f t="shared" si="9"/>
        <v>#VALUE!</v>
      </c>
      <c r="BC29" t="str">
        <f t="shared" si="5"/>
        <v>-</v>
      </c>
      <c r="BD29" t="str">
        <f t="shared" si="6"/>
        <v>-</v>
      </c>
      <c r="BU29" s="26">
        <v>29</v>
      </c>
      <c r="BV29" t="str">
        <f>INDEX(BW$1:CF$32,BU29,General!$B$10)</f>
        <v>(no more rows)</v>
      </c>
      <c r="BW29" s="30" t="s">
        <v>103</v>
      </c>
      <c r="BX29" s="31" t="s">
        <v>186</v>
      </c>
      <c r="BY29" s="31" t="s">
        <v>2</v>
      </c>
      <c r="BZ29" s="31" t="s">
        <v>187</v>
      </c>
      <c r="CA29" s="31" t="s">
        <v>188</v>
      </c>
      <c r="CB29" s="31" t="s">
        <v>189</v>
      </c>
      <c r="CC29" s="31" t="s">
        <v>231</v>
      </c>
      <c r="CD29" s="31" t="s">
        <v>2</v>
      </c>
      <c r="CE29" s="31" t="s">
        <v>190</v>
      </c>
      <c r="CF29" s="32"/>
    </row>
    <row r="30" spans="2:84" x14ac:dyDescent="0.25">
      <c r="B30">
        <v>29</v>
      </c>
      <c r="C30" t="e">
        <f>IF(LOWER(Balancing!D30)="pa",Balancing!F30/1000,INDEX($E$98:$E$103,MATCH(LOWER(Balancing!D30),$D$98:$D$103,0)))</f>
        <v>#N/A</v>
      </c>
      <c r="D30" s="10">
        <f>IF(LOWER(General!$B$8)="pa",Balancing!$F30*SQRT(Balancing!E30)/1000,Balancing!E30*E$104)</f>
        <v>0</v>
      </c>
      <c r="E30" s="10" t="str">
        <f>IF(ISNUMBER(Balancing!H30),IF(LOWER(Balancing!$D30)="pa",$C30*SQRT(Balancing!H30),Balancing!H30*$C30),"-")</f>
        <v>-</v>
      </c>
      <c r="F30" s="14" t="str">
        <f>IF(ISNUMBER(Balancing!H30),IF(LOWER(Balancing!$D30)="pa",$C30*SQRT(Balancing!H30),Balancing!H30*$C30)/$D30,"-")</f>
        <v>-</v>
      </c>
      <c r="G30" s="10" t="str">
        <f>IF(ISNUMBER(Balancing!I30),IF(LOWER(Balancing!$D30)="pa",$C30*SQRT(Balancing!I30),Balancing!I30*$C30)/$D30,"-")</f>
        <v>-</v>
      </c>
      <c r="H30" s="10" t="str">
        <f>IF(ISNUMBER(Balancing!J30),IF(LOWER(Balancing!$D30)="pa",$C30*SQRT(Balancing!J30),Balancing!J30*$C30)/$D30,"-")</f>
        <v>-</v>
      </c>
      <c r="I30" s="10" t="str">
        <f>IF(ISNUMBER(Balancing!K30),IF(LOWER(Balancing!$D30)="pa",$C30*SQRT(Balancing!K30),Balancing!K30*$C30)/$D30,"-")</f>
        <v>-</v>
      </c>
      <c r="J30" s="10" t="str">
        <f>IF(ISNUMBER(Balancing!L30),IF(LOWER(Balancing!$D30)="pa",$C30*SQRT(Balancing!L30),Balancing!L30*$C30)/$D30,"-")</f>
        <v>-</v>
      </c>
      <c r="K30" s="10" t="str">
        <f>IF(ISNUMBER(Balancing!M30),IF(LOWER(Balancing!$D30)="pa",$C30*SQRT(Balancing!M30),Balancing!M30*$C30)/$D30,"-")</f>
        <v>-</v>
      </c>
      <c r="L30" s="10" t="str">
        <f>IF(ISNUMBER(Balancing!N30),IF(LOWER(Balancing!$D30)="pa",$C30*SQRT(Balancing!N30),Balancing!N30*$C30)/$D30,"-")</f>
        <v>-</v>
      </c>
      <c r="M30" s="10" t="str">
        <f>IF(ISNUMBER(Balancing!O30),IF(LOWER(Balancing!$D30)="pa",$C30*SQRT(Balancing!O30),Balancing!O30*$C30)/$D30,"-")</f>
        <v>-</v>
      </c>
      <c r="N30" s="10" t="str">
        <f>IF(ISNUMBER(Balancing!P30),IF(LOWER(Balancing!$D30)="pa",$C30*SQRT(Balancing!P30),Balancing!P30*$C30)/$D30,"-")</f>
        <v>-</v>
      </c>
      <c r="O30" s="10" t="str">
        <f>IF(ISNUMBER(Balancing!Q30),IF(LOWER(Balancing!$D30)="pa",$C30*SQRT(Balancing!Q30),Balancing!Q30*$C30)/$D30,"-")</f>
        <v>-</v>
      </c>
      <c r="P30" s="10" t="str">
        <f>IF(ISNUMBER(Balancing!R30),IF(LOWER(Balancing!$D30)="pa",$C30*SQRT(Balancing!R30),Balancing!R30*$C30)/$D30,"-")</f>
        <v>-</v>
      </c>
      <c r="Q30" s="10" t="str">
        <f>IF(ISNUMBER(Balancing!S30),IF(LOWER(Balancing!$D30)="pa",$C30*SQRT(Balancing!S30),Balancing!S30*$C30)/$D30,"-")</f>
        <v>-</v>
      </c>
      <c r="R30" s="10" t="str">
        <f>IF(ISNUMBER(Balancing!T30),IF(LOWER(Balancing!$D30)="pa",$C30*SQRT(Balancing!T30),Balancing!T30*$C30)/$D30,"-")</f>
        <v>-</v>
      </c>
      <c r="S30" s="10" t="str">
        <f>IF(ISNUMBER(Balancing!U30),IF(LOWER(Balancing!$D30)="pa",$C30*SQRT(Balancing!U30),Balancing!U30*$C30)/$D30,"-")</f>
        <v>-</v>
      </c>
      <c r="T30" s="10" t="str">
        <f>IF(ISNUMBER(Balancing!V30),IF(LOWER(Balancing!$D30)="pa",$C30*SQRT(Balancing!V30),Balancing!V30*$C30)/$D30,"-")</f>
        <v>-</v>
      </c>
      <c r="U30" s="10" t="str">
        <f>IF(ISNUMBER(Balancing!W30),IF(LOWER(Balancing!$D30)="pa",$C30*SQRT(Balancing!W30),Balancing!W30*$C30)/$D30,"-")</f>
        <v>-</v>
      </c>
      <c r="V30" s="10" t="str">
        <f>IF(ISNUMBER(Balancing!X30),IF(LOWER(Balancing!$D30)="pa",$C30*SQRT(Balancing!X30),Balancing!X30*$C30)/$D30,"-")</f>
        <v>-</v>
      </c>
      <c r="W30" s="10" t="str">
        <f>IF(ISNUMBER(Balancing!Y30),IF(LOWER(Balancing!$D30)="pa",$C30*SQRT(Balancing!Y30),Balancing!Y30*$C30)/$D30,"-")</f>
        <v>-</v>
      </c>
      <c r="X30" s="10" t="str">
        <f>IF(ISNUMBER(Balancing!Z30),IF(LOWER(Balancing!$D30)="pa",$C30*SQRT(Balancing!Z30),Balancing!Z30*$C30)/$D30,"-")</f>
        <v>-</v>
      </c>
      <c r="Y30" s="10" t="str">
        <f>IF(ISNUMBER(Balancing!AA30),IF(LOWER(Balancing!$D30)="pa",$C30*SQRT(Balancing!AA30),Balancing!AA30*$C30)/$D30,"-")</f>
        <v>-</v>
      </c>
      <c r="Z30" s="10" t="str">
        <f>IF(ISNUMBER(Balancing!AB30),IF(LOWER(Balancing!$D30)="pa",$C30*SQRT(Balancing!AB30),Balancing!AB30*$C30)/$D30,"-")</f>
        <v>-</v>
      </c>
      <c r="AA30" s="10" t="str">
        <f>IF(ISNUMBER(Balancing!AC30),IF(LOWER(Balancing!$D30)="pa",$C30*SQRT(Balancing!AC30),Balancing!AC30*$C30)/$D30,"-")</f>
        <v>-</v>
      </c>
      <c r="AB30" s="10" t="str">
        <f>IF(ISNUMBER(Balancing!AD30),IF(LOWER(Balancing!$D30)="pa",$C30*SQRT(Balancing!AD30),Balancing!AD30*$C30)/$D30,"-")</f>
        <v>-</v>
      </c>
      <c r="AC30" s="10" t="str">
        <f>IF(ISNUMBER(Balancing!AE30),IF(LOWER(Balancing!$D30)="pa",$C30*SQRT(Balancing!AE30),Balancing!AE30*$C30)/$D30,"-")</f>
        <v>-</v>
      </c>
      <c r="AD30" s="10" t="str">
        <f>IF(ISNUMBER(Balancing!AF30),IF(LOWER(Balancing!$D30)="pa",$C30*SQRT(Balancing!AF30),Balancing!AF30*$C30)/$D30,"-")</f>
        <v>-</v>
      </c>
      <c r="AE30" s="10" t="str">
        <f>IF(ISNUMBER(Balancing!AG30),IF(LOWER(Balancing!$D30)="pa",$C30*SQRT(Balancing!AG30),Balancing!AG30*$C30)/$D30,"-")</f>
        <v>-</v>
      </c>
      <c r="AF30" s="10" t="str">
        <f>IF(ISNUMBER(Balancing!AH30),IF(LOWER(Balancing!$D30)="pa",$C30*SQRT(Balancing!AH30),Balancing!AH30*$C30)/$D30,"-")</f>
        <v>-</v>
      </c>
      <c r="AG30" s="10" t="str">
        <f>IF(ISNUMBER(Balancing!AI30),IF(LOWER(Balancing!$D30)="pa",$C30*SQRT(Balancing!AI30),Balancing!AI30*$C30)/$D30,"-")</f>
        <v>-</v>
      </c>
      <c r="AH30" s="10" t="str">
        <f>IF(ISNUMBER(Balancing!AJ30),IF(LOWER(Balancing!$D30)="pa",$C30*SQRT(Balancing!AJ30),Balancing!AJ30*$C30)/$D30,"-")</f>
        <v>-</v>
      </c>
      <c r="AI30" s="10" t="str">
        <f>IF(ISNUMBER(Balancing!AK30),IF(LOWER(Balancing!$D30)="pa",$C30*SQRT(Balancing!AK30),Balancing!AK30*$C30)/$D30,"-")</f>
        <v>-</v>
      </c>
      <c r="AJ30" s="15" t="str">
        <f>IF(ISNUMBER(Balancing!AL30),IF(LOWER(Balancing!$D30)="pa",$C30*SQRT(Balancing!AL30),Balancing!AL30*$C30)/$D30,"-")</f>
        <v>-</v>
      </c>
      <c r="AL30" s="10" t="b">
        <f>COUNTA(Balancing!D30:AM30)=0</f>
        <v>1</v>
      </c>
      <c r="AM30" s="10" t="b">
        <f>AND(OR(Balancing!D30="",ISERROR(C30)),OR(Balancing!D30&lt;&gt;"",Balancing!E30&lt;&gt;"",Balancing!H30&lt;&gt;""))</f>
        <v>0</v>
      </c>
      <c r="AN30" s="10" t="str">
        <f>IF(ISNUMBER(INDEX(Balancing!$H$2:$AM$51,$B30,$E$65-1)),$B30,"-")</f>
        <v>-</v>
      </c>
      <c r="AO30" s="10" t="str">
        <f>IF(ISNUMBER(INDEX(Balancing!$H$2:$AM$51,$B30,$E$65)),$B30,"-")</f>
        <v>-</v>
      </c>
      <c r="AP30" s="10" t="str">
        <f t="shared" si="7"/>
        <v>-</v>
      </c>
      <c r="AQ30" t="str">
        <f>IF(ISNUMBER(AO30),IF(ABS(INDEX($F$2:$AJ$51,$B30,$E$65)-INDEX($F$2:$AJ$51,E$66,$E$65))/INDEX($F$2:$AJ$51,E$66,$E$65)&gt;General!B$9,B30,"ok"),"-")</f>
        <v>-</v>
      </c>
      <c r="AR30" t="str">
        <f t="shared" si="0"/>
        <v>-</v>
      </c>
      <c r="AS30" t="str">
        <f t="shared" si="1"/>
        <v>-</v>
      </c>
      <c r="AT30" s="10" t="str">
        <f>IF(ISNUMBER(Balancing!H30),B30,"-")</f>
        <v>-</v>
      </c>
      <c r="AU30" t="e">
        <f t="shared" si="2"/>
        <v>#VALUE!</v>
      </c>
      <c r="AV30" s="10" t="e">
        <f>IF(E$97,"OK!",IF(LOWER(Balancing!$D30)="pa",(AU30/C30)^2,AU30/$C30))</f>
        <v>#VALUE!</v>
      </c>
      <c r="AW30" s="19" t="str">
        <f>IF(AL30,".",IF(AM30,BV$24,IF(AND(Balancing!F30="",OR(General!B$8="pa",Balancing!D30="pa")),BV$25,IF(Balancing!E30="",BV$26,IF(E$65=0,BV$27,IF(B30=E$94,BV$28,IF(AND(B30=E$94-1,B30=E$91,AO30&lt;&gt;B30),BV$31,"")))))))</f>
        <v>.</v>
      </c>
      <c r="AX30" s="8" t="str">
        <f t="shared" si="3"/>
        <v>.</v>
      </c>
      <c r="AY30" s="7" t="str">
        <f t="shared" si="4"/>
        <v>.</v>
      </c>
      <c r="BA30" s="21">
        <f t="shared" si="8"/>
        <v>0</v>
      </c>
      <c r="BB30" s="21" t="e">
        <f t="shared" si="9"/>
        <v>#VALUE!</v>
      </c>
      <c r="BC30" t="str">
        <f t="shared" si="5"/>
        <v>-</v>
      </c>
      <c r="BD30" t="str">
        <f t="shared" si="6"/>
        <v>-</v>
      </c>
      <c r="BU30">
        <v>30</v>
      </c>
      <c r="BV30" t="str">
        <f>INDEX(BW$1:CF$32,BU30,General!$B$10)</f>
        <v>(no more columns)</v>
      </c>
      <c r="BW30" s="30" t="s">
        <v>104</v>
      </c>
      <c r="BX30" s="31" t="s">
        <v>191</v>
      </c>
      <c r="BY30" s="31" t="s">
        <v>87</v>
      </c>
      <c r="BZ30" s="31" t="s">
        <v>192</v>
      </c>
      <c r="CA30" s="31" t="s">
        <v>193</v>
      </c>
      <c r="CB30" s="31" t="s">
        <v>194</v>
      </c>
      <c r="CC30" s="31" t="s">
        <v>232</v>
      </c>
      <c r="CD30" s="31" t="s">
        <v>87</v>
      </c>
      <c r="CE30" s="31" t="s">
        <v>195</v>
      </c>
      <c r="CF30" s="32"/>
    </row>
    <row r="31" spans="2:84" x14ac:dyDescent="0.25">
      <c r="B31">
        <v>30</v>
      </c>
      <c r="C31" t="e">
        <f>IF(LOWER(Balancing!D31)="pa",Balancing!F31/1000,INDEX($E$98:$E$103,MATCH(LOWER(Balancing!D31),$D$98:$D$103,0)))</f>
        <v>#N/A</v>
      </c>
      <c r="D31" s="10">
        <f>IF(LOWER(General!$B$8)="pa",Balancing!$F31*SQRT(Balancing!E31)/1000,Balancing!E31*E$104)</f>
        <v>0</v>
      </c>
      <c r="E31" s="10" t="str">
        <f>IF(ISNUMBER(Balancing!H31),IF(LOWER(Balancing!$D31)="pa",$C31*SQRT(Balancing!H31),Balancing!H31*$C31),"-")</f>
        <v>-</v>
      </c>
      <c r="F31" s="14" t="str">
        <f>IF(ISNUMBER(Balancing!H31),IF(LOWER(Balancing!$D31)="pa",$C31*SQRT(Balancing!H31),Balancing!H31*$C31)/$D31,"-")</f>
        <v>-</v>
      </c>
      <c r="G31" s="10" t="str">
        <f>IF(ISNUMBER(Balancing!I31),IF(LOWER(Balancing!$D31)="pa",$C31*SQRT(Balancing!I31),Balancing!I31*$C31)/$D31,"-")</f>
        <v>-</v>
      </c>
      <c r="H31" s="10" t="str">
        <f>IF(ISNUMBER(Balancing!J31),IF(LOWER(Balancing!$D31)="pa",$C31*SQRT(Balancing!J31),Balancing!J31*$C31)/$D31,"-")</f>
        <v>-</v>
      </c>
      <c r="I31" s="10" t="str">
        <f>IF(ISNUMBER(Balancing!K31),IF(LOWER(Balancing!$D31)="pa",$C31*SQRT(Balancing!K31),Balancing!K31*$C31)/$D31,"-")</f>
        <v>-</v>
      </c>
      <c r="J31" s="10" t="str">
        <f>IF(ISNUMBER(Balancing!L31),IF(LOWER(Balancing!$D31)="pa",$C31*SQRT(Balancing!L31),Balancing!L31*$C31)/$D31,"-")</f>
        <v>-</v>
      </c>
      <c r="K31" s="10" t="str">
        <f>IF(ISNUMBER(Balancing!M31),IF(LOWER(Balancing!$D31)="pa",$C31*SQRT(Balancing!M31),Balancing!M31*$C31)/$D31,"-")</f>
        <v>-</v>
      </c>
      <c r="L31" s="10" t="str">
        <f>IF(ISNUMBER(Balancing!N31),IF(LOWER(Balancing!$D31)="pa",$C31*SQRT(Balancing!N31),Balancing!N31*$C31)/$D31,"-")</f>
        <v>-</v>
      </c>
      <c r="M31" s="10" t="str">
        <f>IF(ISNUMBER(Balancing!O31),IF(LOWER(Balancing!$D31)="pa",$C31*SQRT(Balancing!O31),Balancing!O31*$C31)/$D31,"-")</f>
        <v>-</v>
      </c>
      <c r="N31" s="10" t="str">
        <f>IF(ISNUMBER(Balancing!P31),IF(LOWER(Balancing!$D31)="pa",$C31*SQRT(Balancing!P31),Balancing!P31*$C31)/$D31,"-")</f>
        <v>-</v>
      </c>
      <c r="O31" s="10" t="str">
        <f>IF(ISNUMBER(Balancing!Q31),IF(LOWER(Balancing!$D31)="pa",$C31*SQRT(Balancing!Q31),Balancing!Q31*$C31)/$D31,"-")</f>
        <v>-</v>
      </c>
      <c r="P31" s="10" t="str">
        <f>IF(ISNUMBER(Balancing!R31),IF(LOWER(Balancing!$D31)="pa",$C31*SQRT(Balancing!R31),Balancing!R31*$C31)/$D31,"-")</f>
        <v>-</v>
      </c>
      <c r="Q31" s="10" t="str">
        <f>IF(ISNUMBER(Balancing!S31),IF(LOWER(Balancing!$D31)="pa",$C31*SQRT(Balancing!S31),Balancing!S31*$C31)/$D31,"-")</f>
        <v>-</v>
      </c>
      <c r="R31" s="10" t="str">
        <f>IF(ISNUMBER(Balancing!T31),IF(LOWER(Balancing!$D31)="pa",$C31*SQRT(Balancing!T31),Balancing!T31*$C31)/$D31,"-")</f>
        <v>-</v>
      </c>
      <c r="S31" s="10" t="str">
        <f>IF(ISNUMBER(Balancing!U31),IF(LOWER(Balancing!$D31)="pa",$C31*SQRT(Balancing!U31),Balancing!U31*$C31)/$D31,"-")</f>
        <v>-</v>
      </c>
      <c r="T31" s="10" t="str">
        <f>IF(ISNUMBER(Balancing!V31),IF(LOWER(Balancing!$D31)="pa",$C31*SQRT(Balancing!V31),Balancing!V31*$C31)/$D31,"-")</f>
        <v>-</v>
      </c>
      <c r="U31" s="10" t="str">
        <f>IF(ISNUMBER(Balancing!W31),IF(LOWER(Balancing!$D31)="pa",$C31*SQRT(Balancing!W31),Balancing!W31*$C31)/$D31,"-")</f>
        <v>-</v>
      </c>
      <c r="V31" s="10" t="str">
        <f>IF(ISNUMBER(Balancing!X31),IF(LOWER(Balancing!$D31)="pa",$C31*SQRT(Balancing!X31),Balancing!X31*$C31)/$D31,"-")</f>
        <v>-</v>
      </c>
      <c r="W31" s="10" t="str">
        <f>IF(ISNUMBER(Balancing!Y31),IF(LOWER(Balancing!$D31)="pa",$C31*SQRT(Balancing!Y31),Balancing!Y31*$C31)/$D31,"-")</f>
        <v>-</v>
      </c>
      <c r="X31" s="10" t="str">
        <f>IF(ISNUMBER(Balancing!Z31),IF(LOWER(Balancing!$D31)="pa",$C31*SQRT(Balancing!Z31),Balancing!Z31*$C31)/$D31,"-")</f>
        <v>-</v>
      </c>
      <c r="Y31" s="10" t="str">
        <f>IF(ISNUMBER(Balancing!AA31),IF(LOWER(Balancing!$D31)="pa",$C31*SQRT(Balancing!AA31),Balancing!AA31*$C31)/$D31,"-")</f>
        <v>-</v>
      </c>
      <c r="Z31" s="10" t="str">
        <f>IF(ISNUMBER(Balancing!AB31),IF(LOWER(Balancing!$D31)="pa",$C31*SQRT(Balancing!AB31),Balancing!AB31*$C31)/$D31,"-")</f>
        <v>-</v>
      </c>
      <c r="AA31" s="10" t="str">
        <f>IF(ISNUMBER(Balancing!AC31),IF(LOWER(Balancing!$D31)="pa",$C31*SQRT(Balancing!AC31),Balancing!AC31*$C31)/$D31,"-")</f>
        <v>-</v>
      </c>
      <c r="AB31" s="10" t="str">
        <f>IF(ISNUMBER(Balancing!AD31),IF(LOWER(Balancing!$D31)="pa",$C31*SQRT(Balancing!AD31),Balancing!AD31*$C31)/$D31,"-")</f>
        <v>-</v>
      </c>
      <c r="AC31" s="10" t="str">
        <f>IF(ISNUMBER(Balancing!AE31),IF(LOWER(Balancing!$D31)="pa",$C31*SQRT(Balancing!AE31),Balancing!AE31*$C31)/$D31,"-")</f>
        <v>-</v>
      </c>
      <c r="AD31" s="10" t="str">
        <f>IF(ISNUMBER(Balancing!AF31),IF(LOWER(Balancing!$D31)="pa",$C31*SQRT(Balancing!AF31),Balancing!AF31*$C31)/$D31,"-")</f>
        <v>-</v>
      </c>
      <c r="AE31" s="10" t="str">
        <f>IF(ISNUMBER(Balancing!AG31),IF(LOWER(Balancing!$D31)="pa",$C31*SQRT(Balancing!AG31),Balancing!AG31*$C31)/$D31,"-")</f>
        <v>-</v>
      </c>
      <c r="AF31" s="10" t="str">
        <f>IF(ISNUMBER(Balancing!AH31),IF(LOWER(Balancing!$D31)="pa",$C31*SQRT(Balancing!AH31),Balancing!AH31*$C31)/$D31,"-")</f>
        <v>-</v>
      </c>
      <c r="AG31" s="10" t="str">
        <f>IF(ISNUMBER(Balancing!AI31),IF(LOWER(Balancing!$D31)="pa",$C31*SQRT(Balancing!AI31),Balancing!AI31*$C31)/$D31,"-")</f>
        <v>-</v>
      </c>
      <c r="AH31" s="10" t="str">
        <f>IF(ISNUMBER(Balancing!AJ31),IF(LOWER(Balancing!$D31)="pa",$C31*SQRT(Balancing!AJ31),Balancing!AJ31*$C31)/$D31,"-")</f>
        <v>-</v>
      </c>
      <c r="AI31" s="10" t="str">
        <f>IF(ISNUMBER(Balancing!AK31),IF(LOWER(Balancing!$D31)="pa",$C31*SQRT(Balancing!AK31),Balancing!AK31*$C31)/$D31,"-")</f>
        <v>-</v>
      </c>
      <c r="AJ31" s="15" t="str">
        <f>IF(ISNUMBER(Balancing!AL31),IF(LOWER(Balancing!$D31)="pa",$C31*SQRT(Balancing!AL31),Balancing!AL31*$C31)/$D31,"-")</f>
        <v>-</v>
      </c>
      <c r="AL31" s="10" t="b">
        <f>COUNTA(Balancing!D31:AM31)=0</f>
        <v>1</v>
      </c>
      <c r="AM31" s="10" t="b">
        <f>AND(OR(Balancing!D31="",ISERROR(C31)),OR(Balancing!D31&lt;&gt;"",Balancing!E31&lt;&gt;"",Balancing!H31&lt;&gt;""))</f>
        <v>0</v>
      </c>
      <c r="AN31" s="10" t="str">
        <f>IF(ISNUMBER(INDEX(Balancing!$H$2:$AM$51,$B31,$E$65-1)),$B31,"-")</f>
        <v>-</v>
      </c>
      <c r="AO31" s="10" t="str">
        <f>IF(ISNUMBER(INDEX(Balancing!$H$2:$AM$51,$B31,$E$65)),$B31,"-")</f>
        <v>-</v>
      </c>
      <c r="AP31" s="10" t="str">
        <f t="shared" si="7"/>
        <v>-</v>
      </c>
      <c r="AQ31" t="str">
        <f>IF(ISNUMBER(AO31),IF(ABS(INDEX($F$2:$AJ$51,$B31,$E$65)-INDEX($F$2:$AJ$51,E$66,$E$65))/INDEX($F$2:$AJ$51,E$66,$E$65)&gt;General!B$9,B31,"ok"),"-")</f>
        <v>-</v>
      </c>
      <c r="AR31" t="str">
        <f t="shared" si="0"/>
        <v>-</v>
      </c>
      <c r="AS31" t="str">
        <f t="shared" si="1"/>
        <v>-</v>
      </c>
      <c r="AT31" s="10" t="str">
        <f>IF(ISNUMBER(Balancing!H31),B31,"-")</f>
        <v>-</v>
      </c>
      <c r="AU31" t="e">
        <f t="shared" si="2"/>
        <v>#VALUE!</v>
      </c>
      <c r="AV31" s="10" t="e">
        <f>IF(E$97,"OK!",IF(LOWER(Balancing!$D31)="pa",(AU31/C31)^2,AU31/$C31))</f>
        <v>#VALUE!</v>
      </c>
      <c r="AW31" s="19" t="str">
        <f>IF(AL31,".",IF(AM31,BV$24,IF(AND(Balancing!F31="",OR(General!B$8="pa",Balancing!D31="pa")),BV$25,IF(Balancing!E31="",BV$26,IF(E$65=0,BV$27,IF(B31=E$94,BV$28,IF(AND(B31=E$94-1,B31=E$91,AO31&lt;&gt;B31),BV$31,"")))))))</f>
        <v>.</v>
      </c>
      <c r="AX31" s="8" t="str">
        <f t="shared" si="3"/>
        <v>.</v>
      </c>
      <c r="AY31" s="7" t="str">
        <f t="shared" si="4"/>
        <v>.</v>
      </c>
      <c r="BA31" s="21">
        <f t="shared" si="8"/>
        <v>0</v>
      </c>
      <c r="BB31" s="21" t="e">
        <f t="shared" si="9"/>
        <v>#VALUE!</v>
      </c>
      <c r="BC31" t="str">
        <f t="shared" si="5"/>
        <v>-</v>
      </c>
      <c r="BD31" t="str">
        <f t="shared" si="6"/>
        <v>-</v>
      </c>
      <c r="BU31">
        <v>31</v>
      </c>
      <c r="BV31" t="str">
        <f>INDEX(BW$1:CF$32,BU31,General!$B$10)</f>
        <v>Check&gt;</v>
      </c>
      <c r="BW31" s="30" t="s">
        <v>121</v>
      </c>
      <c r="BX31" s="31" t="s">
        <v>196</v>
      </c>
      <c r="BY31" s="31" t="s">
        <v>122</v>
      </c>
      <c r="BZ31" s="31" t="s">
        <v>197</v>
      </c>
      <c r="CA31" s="31" t="s">
        <v>213</v>
      </c>
      <c r="CB31" s="31" t="s">
        <v>272</v>
      </c>
      <c r="CC31" s="31" t="s">
        <v>233</v>
      </c>
      <c r="CD31" s="31" t="s">
        <v>122</v>
      </c>
      <c r="CE31" s="31" t="s">
        <v>251</v>
      </c>
      <c r="CF31" s="32"/>
    </row>
    <row r="32" spans="2:84" ht="15.75" thickBot="1" x14ac:dyDescent="0.3">
      <c r="B32">
        <v>31</v>
      </c>
      <c r="C32" t="e">
        <f>IF(LOWER(Balancing!D32)="pa",Balancing!F32/1000,INDEX($E$98:$E$103,MATCH(LOWER(Balancing!D32),$D$98:$D$103,0)))</f>
        <v>#N/A</v>
      </c>
      <c r="D32" s="10">
        <f>IF(LOWER(General!$B$8)="pa",Balancing!$F32*SQRT(Balancing!E32)/1000,Balancing!E32*E$104)</f>
        <v>0</v>
      </c>
      <c r="E32" s="10" t="str">
        <f>IF(ISNUMBER(Balancing!H32),IF(LOWER(Balancing!$D32)="pa",$C32*SQRT(Balancing!H32),Balancing!H32*$C32),"-")</f>
        <v>-</v>
      </c>
      <c r="F32" s="14" t="str">
        <f>IF(ISNUMBER(Balancing!H32),IF(LOWER(Balancing!$D32)="pa",$C32*SQRT(Balancing!H32),Balancing!H32*$C32)/$D32,"-")</f>
        <v>-</v>
      </c>
      <c r="G32" s="10" t="str">
        <f>IF(ISNUMBER(Balancing!I32),IF(LOWER(Balancing!$D32)="pa",$C32*SQRT(Balancing!I32),Balancing!I32*$C32)/$D32,"-")</f>
        <v>-</v>
      </c>
      <c r="H32" s="10" t="str">
        <f>IF(ISNUMBER(Balancing!J32),IF(LOWER(Balancing!$D32)="pa",$C32*SQRT(Balancing!J32),Balancing!J32*$C32)/$D32,"-")</f>
        <v>-</v>
      </c>
      <c r="I32" s="10" t="str">
        <f>IF(ISNUMBER(Balancing!K32),IF(LOWER(Balancing!$D32)="pa",$C32*SQRT(Balancing!K32),Balancing!K32*$C32)/$D32,"-")</f>
        <v>-</v>
      </c>
      <c r="J32" s="10" t="str">
        <f>IF(ISNUMBER(Balancing!L32),IF(LOWER(Balancing!$D32)="pa",$C32*SQRT(Balancing!L32),Balancing!L32*$C32)/$D32,"-")</f>
        <v>-</v>
      </c>
      <c r="K32" s="10" t="str">
        <f>IF(ISNUMBER(Balancing!M32),IF(LOWER(Balancing!$D32)="pa",$C32*SQRT(Balancing!M32),Balancing!M32*$C32)/$D32,"-")</f>
        <v>-</v>
      </c>
      <c r="L32" s="10" t="str">
        <f>IF(ISNUMBER(Balancing!N32),IF(LOWER(Balancing!$D32)="pa",$C32*SQRT(Balancing!N32),Balancing!N32*$C32)/$D32,"-")</f>
        <v>-</v>
      </c>
      <c r="M32" s="10" t="str">
        <f>IF(ISNUMBER(Balancing!O32),IF(LOWER(Balancing!$D32)="pa",$C32*SQRT(Balancing!O32),Balancing!O32*$C32)/$D32,"-")</f>
        <v>-</v>
      </c>
      <c r="N32" s="10" t="str">
        <f>IF(ISNUMBER(Balancing!P32),IF(LOWER(Balancing!$D32)="pa",$C32*SQRT(Balancing!P32),Balancing!P32*$C32)/$D32,"-")</f>
        <v>-</v>
      </c>
      <c r="O32" s="10" t="str">
        <f>IF(ISNUMBER(Balancing!Q32),IF(LOWER(Balancing!$D32)="pa",$C32*SQRT(Balancing!Q32),Balancing!Q32*$C32)/$D32,"-")</f>
        <v>-</v>
      </c>
      <c r="P32" s="10" t="str">
        <f>IF(ISNUMBER(Balancing!R32),IF(LOWER(Balancing!$D32)="pa",$C32*SQRT(Balancing!R32),Balancing!R32*$C32)/$D32,"-")</f>
        <v>-</v>
      </c>
      <c r="Q32" s="10" t="str">
        <f>IF(ISNUMBER(Balancing!S32),IF(LOWER(Balancing!$D32)="pa",$C32*SQRT(Balancing!S32),Balancing!S32*$C32)/$D32,"-")</f>
        <v>-</v>
      </c>
      <c r="R32" s="10" t="str">
        <f>IF(ISNUMBER(Balancing!T32),IF(LOWER(Balancing!$D32)="pa",$C32*SQRT(Balancing!T32),Balancing!T32*$C32)/$D32,"-")</f>
        <v>-</v>
      </c>
      <c r="S32" s="10" t="str">
        <f>IF(ISNUMBER(Balancing!U32),IF(LOWER(Balancing!$D32)="pa",$C32*SQRT(Balancing!U32),Balancing!U32*$C32)/$D32,"-")</f>
        <v>-</v>
      </c>
      <c r="T32" s="10" t="str">
        <f>IF(ISNUMBER(Balancing!V32),IF(LOWER(Balancing!$D32)="pa",$C32*SQRT(Balancing!V32),Balancing!V32*$C32)/$D32,"-")</f>
        <v>-</v>
      </c>
      <c r="U32" s="10" t="str">
        <f>IF(ISNUMBER(Balancing!W32),IF(LOWER(Balancing!$D32)="pa",$C32*SQRT(Balancing!W32),Balancing!W32*$C32)/$D32,"-")</f>
        <v>-</v>
      </c>
      <c r="V32" s="10" t="str">
        <f>IF(ISNUMBER(Balancing!X32),IF(LOWER(Balancing!$D32)="pa",$C32*SQRT(Balancing!X32),Balancing!X32*$C32)/$D32,"-")</f>
        <v>-</v>
      </c>
      <c r="W32" s="10" t="str">
        <f>IF(ISNUMBER(Balancing!Y32),IF(LOWER(Balancing!$D32)="pa",$C32*SQRT(Balancing!Y32),Balancing!Y32*$C32)/$D32,"-")</f>
        <v>-</v>
      </c>
      <c r="X32" s="10" t="str">
        <f>IF(ISNUMBER(Balancing!Z32),IF(LOWER(Balancing!$D32)="pa",$C32*SQRT(Balancing!Z32),Balancing!Z32*$C32)/$D32,"-")</f>
        <v>-</v>
      </c>
      <c r="Y32" s="10" t="str">
        <f>IF(ISNUMBER(Balancing!AA32),IF(LOWER(Balancing!$D32)="pa",$C32*SQRT(Balancing!AA32),Balancing!AA32*$C32)/$D32,"-")</f>
        <v>-</v>
      </c>
      <c r="Z32" s="10" t="str">
        <f>IF(ISNUMBER(Balancing!AB32),IF(LOWER(Balancing!$D32)="pa",$C32*SQRT(Balancing!AB32),Balancing!AB32*$C32)/$D32,"-")</f>
        <v>-</v>
      </c>
      <c r="AA32" s="10" t="str">
        <f>IF(ISNUMBER(Balancing!AC32),IF(LOWER(Balancing!$D32)="pa",$C32*SQRT(Balancing!AC32),Balancing!AC32*$C32)/$D32,"-")</f>
        <v>-</v>
      </c>
      <c r="AB32" s="10" t="str">
        <f>IF(ISNUMBER(Balancing!AD32),IF(LOWER(Balancing!$D32)="pa",$C32*SQRT(Balancing!AD32),Balancing!AD32*$C32)/$D32,"-")</f>
        <v>-</v>
      </c>
      <c r="AC32" s="10" t="str">
        <f>IF(ISNUMBER(Balancing!AE32),IF(LOWER(Balancing!$D32)="pa",$C32*SQRT(Balancing!AE32),Balancing!AE32*$C32)/$D32,"-")</f>
        <v>-</v>
      </c>
      <c r="AD32" s="10" t="str">
        <f>IF(ISNUMBER(Balancing!AF32),IF(LOWER(Balancing!$D32)="pa",$C32*SQRT(Balancing!AF32),Balancing!AF32*$C32)/$D32,"-")</f>
        <v>-</v>
      </c>
      <c r="AE32" s="10" t="str">
        <f>IF(ISNUMBER(Balancing!AG32),IF(LOWER(Balancing!$D32)="pa",$C32*SQRT(Balancing!AG32),Balancing!AG32*$C32)/$D32,"-")</f>
        <v>-</v>
      </c>
      <c r="AF32" s="10" t="str">
        <f>IF(ISNUMBER(Balancing!AH32),IF(LOWER(Balancing!$D32)="pa",$C32*SQRT(Balancing!AH32),Balancing!AH32*$C32)/$D32,"-")</f>
        <v>-</v>
      </c>
      <c r="AG32" s="10" t="str">
        <f>IF(ISNUMBER(Balancing!AI32),IF(LOWER(Balancing!$D32)="pa",$C32*SQRT(Balancing!AI32),Balancing!AI32*$C32)/$D32,"-")</f>
        <v>-</v>
      </c>
      <c r="AH32" s="10" t="str">
        <f>IF(ISNUMBER(Balancing!AJ32),IF(LOWER(Balancing!$D32)="pa",$C32*SQRT(Balancing!AJ32),Balancing!AJ32*$C32)/$D32,"-")</f>
        <v>-</v>
      </c>
      <c r="AI32" s="10" t="str">
        <f>IF(ISNUMBER(Balancing!AK32),IF(LOWER(Balancing!$D32)="pa",$C32*SQRT(Balancing!AK32),Balancing!AK32*$C32)/$D32,"-")</f>
        <v>-</v>
      </c>
      <c r="AJ32" s="15" t="str">
        <f>IF(ISNUMBER(Balancing!AL32),IF(LOWER(Balancing!$D32)="pa",$C32*SQRT(Balancing!AL32),Balancing!AL32*$C32)/$D32,"-")</f>
        <v>-</v>
      </c>
      <c r="AL32" s="10" t="b">
        <f>COUNTA(Balancing!D32:AM32)=0</f>
        <v>1</v>
      </c>
      <c r="AM32" s="10" t="b">
        <f>AND(OR(Balancing!D32="",ISERROR(C32)),OR(Balancing!D32&lt;&gt;"",Balancing!E32&lt;&gt;"",Balancing!H32&lt;&gt;""))</f>
        <v>0</v>
      </c>
      <c r="AN32" s="10" t="str">
        <f>IF(ISNUMBER(INDEX(Balancing!$H$2:$AM$51,$B32,$E$65-1)),$B32,"-")</f>
        <v>-</v>
      </c>
      <c r="AO32" s="10" t="str">
        <f>IF(ISNUMBER(INDEX(Balancing!$H$2:$AM$51,$B32,$E$65)),$B32,"-")</f>
        <v>-</v>
      </c>
      <c r="AP32" s="10" t="str">
        <f t="shared" si="7"/>
        <v>-</v>
      </c>
      <c r="AQ32" t="str">
        <f>IF(ISNUMBER(AO32),IF(ABS(INDEX($F$2:$AJ$51,$B32,$E$65)-INDEX($F$2:$AJ$51,E$66,$E$65))/INDEX($F$2:$AJ$51,E$66,$E$65)&gt;General!B$9,B32,"ok"),"-")</f>
        <v>-</v>
      </c>
      <c r="AR32" t="str">
        <f t="shared" si="0"/>
        <v>-</v>
      </c>
      <c r="AS32" t="str">
        <f t="shared" si="1"/>
        <v>-</v>
      </c>
      <c r="AT32" s="10" t="str">
        <f>IF(ISNUMBER(Balancing!H32),B32,"-")</f>
        <v>-</v>
      </c>
      <c r="AU32" t="e">
        <f t="shared" si="2"/>
        <v>#VALUE!</v>
      </c>
      <c r="AV32" s="10" t="e">
        <f>IF(E$97,"OK!",IF(LOWER(Balancing!$D32)="pa",(AU32/C32)^2,AU32/$C32))</f>
        <v>#VALUE!</v>
      </c>
      <c r="AW32" s="19" t="str">
        <f>IF(AL32,".",IF(AM32,BV$24,IF(AND(Balancing!F32="",OR(General!B$8="pa",Balancing!D32="pa")),BV$25,IF(Balancing!E32="",BV$26,IF(E$65=0,BV$27,IF(B32=E$94,BV$28,IF(AND(B32=E$94-1,B32=E$91,AO32&lt;&gt;B32),BV$31,"")))))))</f>
        <v>.</v>
      </c>
      <c r="AX32" s="8" t="str">
        <f t="shared" si="3"/>
        <v>.</v>
      </c>
      <c r="AY32" s="7" t="str">
        <f t="shared" si="4"/>
        <v>.</v>
      </c>
      <c r="BA32" s="21">
        <f t="shared" si="8"/>
        <v>0</v>
      </c>
      <c r="BB32" s="21" t="e">
        <f t="shared" si="9"/>
        <v>#VALUE!</v>
      </c>
      <c r="BC32" t="str">
        <f t="shared" si="5"/>
        <v>-</v>
      </c>
      <c r="BD32" t="str">
        <f t="shared" si="6"/>
        <v>-</v>
      </c>
      <c r="BW32" s="40" t="s">
        <v>120</v>
      </c>
      <c r="BX32" s="33"/>
      <c r="BY32" s="33"/>
      <c r="BZ32" s="33"/>
      <c r="CA32" s="33"/>
      <c r="CB32" s="33"/>
      <c r="CC32" s="33"/>
      <c r="CD32" s="33"/>
      <c r="CE32" s="33"/>
      <c r="CF32" s="34"/>
    </row>
    <row r="33" spans="2:83" x14ac:dyDescent="0.25">
      <c r="B33">
        <v>32</v>
      </c>
      <c r="C33" t="e">
        <f>IF(LOWER(Balancing!D33)="pa",Balancing!F33/1000,INDEX($E$98:$E$103,MATCH(LOWER(Balancing!D33),$D$98:$D$103,0)))</f>
        <v>#N/A</v>
      </c>
      <c r="D33" s="10">
        <f>IF(LOWER(General!$B$8)="pa",Balancing!$F33*SQRT(Balancing!E33)/1000,Balancing!E33*E$104)</f>
        <v>0</v>
      </c>
      <c r="E33" s="10" t="str">
        <f>IF(ISNUMBER(Balancing!H33),IF(LOWER(Balancing!$D33)="pa",$C33*SQRT(Balancing!H33),Balancing!H33*$C33),"-")</f>
        <v>-</v>
      </c>
      <c r="F33" s="14" t="str">
        <f>IF(ISNUMBER(Balancing!H33),IF(LOWER(Balancing!$D33)="pa",$C33*SQRT(Balancing!H33),Balancing!H33*$C33)/$D33,"-")</f>
        <v>-</v>
      </c>
      <c r="G33" s="10" t="str">
        <f>IF(ISNUMBER(Balancing!I33),IF(LOWER(Balancing!$D33)="pa",$C33*SQRT(Balancing!I33),Balancing!I33*$C33)/$D33,"-")</f>
        <v>-</v>
      </c>
      <c r="H33" s="10" t="str">
        <f>IF(ISNUMBER(Balancing!J33),IF(LOWER(Balancing!$D33)="pa",$C33*SQRT(Balancing!J33),Balancing!J33*$C33)/$D33,"-")</f>
        <v>-</v>
      </c>
      <c r="I33" s="10" t="str">
        <f>IF(ISNUMBER(Balancing!K33),IF(LOWER(Balancing!$D33)="pa",$C33*SQRT(Balancing!K33),Balancing!K33*$C33)/$D33,"-")</f>
        <v>-</v>
      </c>
      <c r="J33" s="10" t="str">
        <f>IF(ISNUMBER(Balancing!L33),IF(LOWER(Balancing!$D33)="pa",$C33*SQRT(Balancing!L33),Balancing!L33*$C33)/$D33,"-")</f>
        <v>-</v>
      </c>
      <c r="K33" s="10" t="str">
        <f>IF(ISNUMBER(Balancing!M33),IF(LOWER(Balancing!$D33)="pa",$C33*SQRT(Balancing!M33),Balancing!M33*$C33)/$D33,"-")</f>
        <v>-</v>
      </c>
      <c r="L33" s="10" t="str">
        <f>IF(ISNUMBER(Balancing!N33),IF(LOWER(Balancing!$D33)="pa",$C33*SQRT(Balancing!N33),Balancing!N33*$C33)/$D33,"-")</f>
        <v>-</v>
      </c>
      <c r="M33" s="10" t="str">
        <f>IF(ISNUMBER(Balancing!O33),IF(LOWER(Balancing!$D33)="pa",$C33*SQRT(Balancing!O33),Balancing!O33*$C33)/$D33,"-")</f>
        <v>-</v>
      </c>
      <c r="N33" s="10" t="str">
        <f>IF(ISNUMBER(Balancing!P33),IF(LOWER(Balancing!$D33)="pa",$C33*SQRT(Balancing!P33),Balancing!P33*$C33)/$D33,"-")</f>
        <v>-</v>
      </c>
      <c r="O33" s="10" t="str">
        <f>IF(ISNUMBER(Balancing!Q33),IF(LOWER(Balancing!$D33)="pa",$C33*SQRT(Balancing!Q33),Balancing!Q33*$C33)/$D33,"-")</f>
        <v>-</v>
      </c>
      <c r="P33" s="10" t="str">
        <f>IF(ISNUMBER(Balancing!R33),IF(LOWER(Balancing!$D33)="pa",$C33*SQRT(Balancing!R33),Balancing!R33*$C33)/$D33,"-")</f>
        <v>-</v>
      </c>
      <c r="Q33" s="10" t="str">
        <f>IF(ISNUMBER(Balancing!S33),IF(LOWER(Balancing!$D33)="pa",$C33*SQRT(Balancing!S33),Balancing!S33*$C33)/$D33,"-")</f>
        <v>-</v>
      </c>
      <c r="R33" s="10" t="str">
        <f>IF(ISNUMBER(Balancing!T33),IF(LOWER(Balancing!$D33)="pa",$C33*SQRT(Balancing!T33),Balancing!T33*$C33)/$D33,"-")</f>
        <v>-</v>
      </c>
      <c r="S33" s="10" t="str">
        <f>IF(ISNUMBER(Balancing!U33),IF(LOWER(Balancing!$D33)="pa",$C33*SQRT(Balancing!U33),Balancing!U33*$C33)/$D33,"-")</f>
        <v>-</v>
      </c>
      <c r="T33" s="10" t="str">
        <f>IF(ISNUMBER(Balancing!V33),IF(LOWER(Balancing!$D33)="pa",$C33*SQRT(Balancing!V33),Balancing!V33*$C33)/$D33,"-")</f>
        <v>-</v>
      </c>
      <c r="U33" s="10" t="str">
        <f>IF(ISNUMBER(Balancing!W33),IF(LOWER(Balancing!$D33)="pa",$C33*SQRT(Balancing!W33),Balancing!W33*$C33)/$D33,"-")</f>
        <v>-</v>
      </c>
      <c r="V33" s="10" t="str">
        <f>IF(ISNUMBER(Balancing!X33),IF(LOWER(Balancing!$D33)="pa",$C33*SQRT(Balancing!X33),Balancing!X33*$C33)/$D33,"-")</f>
        <v>-</v>
      </c>
      <c r="W33" s="10" t="str">
        <f>IF(ISNUMBER(Balancing!Y33),IF(LOWER(Balancing!$D33)="pa",$C33*SQRT(Balancing!Y33),Balancing!Y33*$C33)/$D33,"-")</f>
        <v>-</v>
      </c>
      <c r="X33" s="10" t="str">
        <f>IF(ISNUMBER(Balancing!Z33),IF(LOWER(Balancing!$D33)="pa",$C33*SQRT(Balancing!Z33),Balancing!Z33*$C33)/$D33,"-")</f>
        <v>-</v>
      </c>
      <c r="Y33" s="10" t="str">
        <f>IF(ISNUMBER(Balancing!AA33),IF(LOWER(Balancing!$D33)="pa",$C33*SQRT(Balancing!AA33),Balancing!AA33*$C33)/$D33,"-")</f>
        <v>-</v>
      </c>
      <c r="Z33" s="10" t="str">
        <f>IF(ISNUMBER(Balancing!AB33),IF(LOWER(Balancing!$D33)="pa",$C33*SQRT(Balancing!AB33),Balancing!AB33*$C33)/$D33,"-")</f>
        <v>-</v>
      </c>
      <c r="AA33" s="10" t="str">
        <f>IF(ISNUMBER(Balancing!AC33),IF(LOWER(Balancing!$D33)="pa",$C33*SQRT(Balancing!AC33),Balancing!AC33*$C33)/$D33,"-")</f>
        <v>-</v>
      </c>
      <c r="AB33" s="10" t="str">
        <f>IF(ISNUMBER(Balancing!AD33),IF(LOWER(Balancing!$D33)="pa",$C33*SQRT(Balancing!AD33),Balancing!AD33*$C33)/$D33,"-")</f>
        <v>-</v>
      </c>
      <c r="AC33" s="10" t="str">
        <f>IF(ISNUMBER(Balancing!AE33),IF(LOWER(Balancing!$D33)="pa",$C33*SQRT(Balancing!AE33),Balancing!AE33*$C33)/$D33,"-")</f>
        <v>-</v>
      </c>
      <c r="AD33" s="10" t="str">
        <f>IF(ISNUMBER(Balancing!AF33),IF(LOWER(Balancing!$D33)="pa",$C33*SQRT(Balancing!AF33),Balancing!AF33*$C33)/$D33,"-")</f>
        <v>-</v>
      </c>
      <c r="AE33" s="10" t="str">
        <f>IF(ISNUMBER(Balancing!AG33),IF(LOWER(Balancing!$D33)="pa",$C33*SQRT(Balancing!AG33),Balancing!AG33*$C33)/$D33,"-")</f>
        <v>-</v>
      </c>
      <c r="AF33" s="10" t="str">
        <f>IF(ISNUMBER(Balancing!AH33),IF(LOWER(Balancing!$D33)="pa",$C33*SQRT(Balancing!AH33),Balancing!AH33*$C33)/$D33,"-")</f>
        <v>-</v>
      </c>
      <c r="AG33" s="10" t="str">
        <f>IF(ISNUMBER(Balancing!AI33),IF(LOWER(Balancing!$D33)="pa",$C33*SQRT(Balancing!AI33),Balancing!AI33*$C33)/$D33,"-")</f>
        <v>-</v>
      </c>
      <c r="AH33" s="10" t="str">
        <f>IF(ISNUMBER(Balancing!AJ33),IF(LOWER(Balancing!$D33)="pa",$C33*SQRT(Balancing!AJ33),Balancing!AJ33*$C33)/$D33,"-")</f>
        <v>-</v>
      </c>
      <c r="AI33" s="10" t="str">
        <f>IF(ISNUMBER(Balancing!AK33),IF(LOWER(Balancing!$D33)="pa",$C33*SQRT(Balancing!AK33),Balancing!AK33*$C33)/$D33,"-")</f>
        <v>-</v>
      </c>
      <c r="AJ33" s="15" t="str">
        <f>IF(ISNUMBER(Balancing!AL33),IF(LOWER(Balancing!$D33)="pa",$C33*SQRT(Balancing!AL33),Balancing!AL33*$C33)/$D33,"-")</f>
        <v>-</v>
      </c>
      <c r="AL33" s="10" t="b">
        <f>COUNTA(Balancing!D33:AM33)=0</f>
        <v>1</v>
      </c>
      <c r="AM33" s="10" t="b">
        <f>AND(OR(Balancing!D33="",ISERROR(C33)),OR(Balancing!D33&lt;&gt;"",Balancing!E33&lt;&gt;"",Balancing!H33&lt;&gt;""))</f>
        <v>0</v>
      </c>
      <c r="AN33" s="10" t="str">
        <f>IF(ISNUMBER(INDEX(Balancing!$H$2:$AM$51,$B33,$E$65-1)),$B33,"-")</f>
        <v>-</v>
      </c>
      <c r="AO33" s="10" t="str">
        <f>IF(ISNUMBER(INDEX(Balancing!$H$2:$AM$51,$B33,$E$65)),$B33,"-")</f>
        <v>-</v>
      </c>
      <c r="AP33" s="10" t="str">
        <f t="shared" si="7"/>
        <v>-</v>
      </c>
      <c r="AQ33" t="str">
        <f>IF(ISNUMBER(AO33),IF(ABS(INDEX($F$2:$AJ$51,$B33,$E$65)-INDEX($F$2:$AJ$51,E$66,$E$65))/INDEX($F$2:$AJ$51,E$66,$E$65)&gt;General!B$9,B33,"ok"),"-")</f>
        <v>-</v>
      </c>
      <c r="AR33" t="str">
        <f t="shared" si="0"/>
        <v>-</v>
      </c>
      <c r="AS33" t="str">
        <f t="shared" si="1"/>
        <v>-</v>
      </c>
      <c r="AT33" s="10" t="str">
        <f>IF(ISNUMBER(Balancing!H33),B33,"-")</f>
        <v>-</v>
      </c>
      <c r="AU33" t="e">
        <f t="shared" si="2"/>
        <v>#VALUE!</v>
      </c>
      <c r="AV33" s="10" t="e">
        <f>IF(E$97,"OK!",IF(LOWER(Balancing!$D33)="pa",(AU33/C33)^2,AU33/$C33))</f>
        <v>#VALUE!</v>
      </c>
      <c r="AW33" s="19" t="str">
        <f>IF(AL33,".",IF(AM33,BV$24,IF(AND(Balancing!F33="",OR(General!B$8="pa",Balancing!D33="pa")),BV$25,IF(Balancing!E33="",BV$26,IF(E$65=0,BV$27,IF(B33=E$94,BV$28,IF(AND(B33=E$94-1,B33=E$91,AO33&lt;&gt;B33),BV$31,"")))))))</f>
        <v>.</v>
      </c>
      <c r="AX33" s="8" t="str">
        <f t="shared" si="3"/>
        <v>.</v>
      </c>
      <c r="AY33" s="7" t="str">
        <f t="shared" si="4"/>
        <v>.</v>
      </c>
      <c r="BA33" s="21">
        <f t="shared" si="8"/>
        <v>0</v>
      </c>
      <c r="BB33" s="21" t="e">
        <f t="shared" si="9"/>
        <v>#VALUE!</v>
      </c>
      <c r="BC33" t="str">
        <f t="shared" si="5"/>
        <v>-</v>
      </c>
      <c r="BD33" t="str">
        <f t="shared" si="6"/>
        <v>-</v>
      </c>
      <c r="BV33" t="s">
        <v>296</v>
      </c>
      <c r="BW33" s="28" t="s">
        <v>74</v>
      </c>
      <c r="BX33" s="31" t="s">
        <v>273</v>
      </c>
      <c r="BY33" s="31" t="s">
        <v>274</v>
      </c>
      <c r="BZ33" s="31" t="s">
        <v>275</v>
      </c>
      <c r="CA33" s="31" t="s">
        <v>276</v>
      </c>
      <c r="CB33" s="31" t="s">
        <v>277</v>
      </c>
      <c r="CC33" t="s">
        <v>234</v>
      </c>
      <c r="CD33" s="31" t="s">
        <v>278</v>
      </c>
      <c r="CE33" s="31" t="s">
        <v>279</v>
      </c>
    </row>
    <row r="34" spans="2:83" x14ac:dyDescent="0.25">
      <c r="B34">
        <v>33</v>
      </c>
      <c r="C34" t="e">
        <f>IF(LOWER(Balancing!D34)="pa",Balancing!F34/1000,INDEX($E$98:$E$103,MATCH(LOWER(Balancing!D34),$D$98:$D$103,0)))</f>
        <v>#N/A</v>
      </c>
      <c r="D34" s="10">
        <f>IF(LOWER(General!$B$8)="pa",Balancing!$F34*SQRT(Balancing!E34)/1000,Balancing!E34*E$104)</f>
        <v>0</v>
      </c>
      <c r="E34" s="10" t="str">
        <f>IF(ISNUMBER(Balancing!H34),IF(LOWER(Balancing!$D34)="pa",$C34*SQRT(Balancing!H34),Balancing!H34*$C34),"-")</f>
        <v>-</v>
      </c>
      <c r="F34" s="14" t="str">
        <f>IF(ISNUMBER(Balancing!H34),IF(LOWER(Balancing!$D34)="pa",$C34*SQRT(Balancing!H34),Balancing!H34*$C34)/$D34,"-")</f>
        <v>-</v>
      </c>
      <c r="G34" s="10" t="str">
        <f>IF(ISNUMBER(Balancing!I34),IF(LOWER(Balancing!$D34)="pa",$C34*SQRT(Balancing!I34),Balancing!I34*$C34)/$D34,"-")</f>
        <v>-</v>
      </c>
      <c r="H34" s="10" t="str">
        <f>IF(ISNUMBER(Balancing!J34),IF(LOWER(Balancing!$D34)="pa",$C34*SQRT(Balancing!J34),Balancing!J34*$C34)/$D34,"-")</f>
        <v>-</v>
      </c>
      <c r="I34" s="10" t="str">
        <f>IF(ISNUMBER(Balancing!K34),IF(LOWER(Balancing!$D34)="pa",$C34*SQRT(Balancing!K34),Balancing!K34*$C34)/$D34,"-")</f>
        <v>-</v>
      </c>
      <c r="J34" s="10" t="str">
        <f>IF(ISNUMBER(Balancing!L34),IF(LOWER(Balancing!$D34)="pa",$C34*SQRT(Balancing!L34),Balancing!L34*$C34)/$D34,"-")</f>
        <v>-</v>
      </c>
      <c r="K34" s="10" t="str">
        <f>IF(ISNUMBER(Balancing!M34),IF(LOWER(Balancing!$D34)="pa",$C34*SQRT(Balancing!M34),Balancing!M34*$C34)/$D34,"-")</f>
        <v>-</v>
      </c>
      <c r="L34" s="10" t="str">
        <f>IF(ISNUMBER(Balancing!N34),IF(LOWER(Balancing!$D34)="pa",$C34*SQRT(Balancing!N34),Balancing!N34*$C34)/$D34,"-")</f>
        <v>-</v>
      </c>
      <c r="M34" s="10" t="str">
        <f>IF(ISNUMBER(Balancing!O34),IF(LOWER(Balancing!$D34)="pa",$C34*SQRT(Balancing!O34),Balancing!O34*$C34)/$D34,"-")</f>
        <v>-</v>
      </c>
      <c r="N34" s="10" t="str">
        <f>IF(ISNUMBER(Balancing!P34),IF(LOWER(Balancing!$D34)="pa",$C34*SQRT(Balancing!P34),Balancing!P34*$C34)/$D34,"-")</f>
        <v>-</v>
      </c>
      <c r="O34" s="10" t="str">
        <f>IF(ISNUMBER(Balancing!Q34),IF(LOWER(Balancing!$D34)="pa",$C34*SQRT(Balancing!Q34),Balancing!Q34*$C34)/$D34,"-")</f>
        <v>-</v>
      </c>
      <c r="P34" s="10" t="str">
        <f>IF(ISNUMBER(Balancing!R34),IF(LOWER(Balancing!$D34)="pa",$C34*SQRT(Balancing!R34),Balancing!R34*$C34)/$D34,"-")</f>
        <v>-</v>
      </c>
      <c r="Q34" s="10" t="str">
        <f>IF(ISNUMBER(Balancing!S34),IF(LOWER(Balancing!$D34)="pa",$C34*SQRT(Balancing!S34),Balancing!S34*$C34)/$D34,"-")</f>
        <v>-</v>
      </c>
      <c r="R34" s="10" t="str">
        <f>IF(ISNUMBER(Balancing!T34),IF(LOWER(Balancing!$D34)="pa",$C34*SQRT(Balancing!T34),Balancing!T34*$C34)/$D34,"-")</f>
        <v>-</v>
      </c>
      <c r="S34" s="10" t="str">
        <f>IF(ISNUMBER(Balancing!U34),IF(LOWER(Balancing!$D34)="pa",$C34*SQRT(Balancing!U34),Balancing!U34*$C34)/$D34,"-")</f>
        <v>-</v>
      </c>
      <c r="T34" s="10" t="str">
        <f>IF(ISNUMBER(Balancing!V34),IF(LOWER(Balancing!$D34)="pa",$C34*SQRT(Balancing!V34),Balancing!V34*$C34)/$D34,"-")</f>
        <v>-</v>
      </c>
      <c r="U34" s="10" t="str">
        <f>IF(ISNUMBER(Balancing!W34),IF(LOWER(Balancing!$D34)="pa",$C34*SQRT(Balancing!W34),Balancing!W34*$C34)/$D34,"-")</f>
        <v>-</v>
      </c>
      <c r="V34" s="10" t="str">
        <f>IF(ISNUMBER(Balancing!X34),IF(LOWER(Balancing!$D34)="pa",$C34*SQRT(Balancing!X34),Balancing!X34*$C34)/$D34,"-")</f>
        <v>-</v>
      </c>
      <c r="W34" s="10" t="str">
        <f>IF(ISNUMBER(Balancing!Y34),IF(LOWER(Balancing!$D34)="pa",$C34*SQRT(Balancing!Y34),Balancing!Y34*$C34)/$D34,"-")</f>
        <v>-</v>
      </c>
      <c r="X34" s="10" t="str">
        <f>IF(ISNUMBER(Balancing!Z34),IF(LOWER(Balancing!$D34)="pa",$C34*SQRT(Balancing!Z34),Balancing!Z34*$C34)/$D34,"-")</f>
        <v>-</v>
      </c>
      <c r="Y34" s="10" t="str">
        <f>IF(ISNUMBER(Balancing!AA34),IF(LOWER(Balancing!$D34)="pa",$C34*SQRT(Balancing!AA34),Balancing!AA34*$C34)/$D34,"-")</f>
        <v>-</v>
      </c>
      <c r="Z34" s="10" t="str">
        <f>IF(ISNUMBER(Balancing!AB34),IF(LOWER(Balancing!$D34)="pa",$C34*SQRT(Balancing!AB34),Balancing!AB34*$C34)/$D34,"-")</f>
        <v>-</v>
      </c>
      <c r="AA34" s="10" t="str">
        <f>IF(ISNUMBER(Balancing!AC34),IF(LOWER(Balancing!$D34)="pa",$C34*SQRT(Balancing!AC34),Balancing!AC34*$C34)/$D34,"-")</f>
        <v>-</v>
      </c>
      <c r="AB34" s="10" t="str">
        <f>IF(ISNUMBER(Balancing!AD34),IF(LOWER(Balancing!$D34)="pa",$C34*SQRT(Balancing!AD34),Balancing!AD34*$C34)/$D34,"-")</f>
        <v>-</v>
      </c>
      <c r="AC34" s="10" t="str">
        <f>IF(ISNUMBER(Balancing!AE34),IF(LOWER(Balancing!$D34)="pa",$C34*SQRT(Balancing!AE34),Balancing!AE34*$C34)/$D34,"-")</f>
        <v>-</v>
      </c>
      <c r="AD34" s="10" t="str">
        <f>IF(ISNUMBER(Balancing!AF34),IF(LOWER(Balancing!$D34)="pa",$C34*SQRT(Balancing!AF34),Balancing!AF34*$C34)/$D34,"-")</f>
        <v>-</v>
      </c>
      <c r="AE34" s="10" t="str">
        <f>IF(ISNUMBER(Balancing!AG34),IF(LOWER(Balancing!$D34)="pa",$C34*SQRT(Balancing!AG34),Balancing!AG34*$C34)/$D34,"-")</f>
        <v>-</v>
      </c>
      <c r="AF34" s="10" t="str">
        <f>IF(ISNUMBER(Balancing!AH34),IF(LOWER(Balancing!$D34)="pa",$C34*SQRT(Balancing!AH34),Balancing!AH34*$C34)/$D34,"-")</f>
        <v>-</v>
      </c>
      <c r="AG34" s="10" t="str">
        <f>IF(ISNUMBER(Balancing!AI34),IF(LOWER(Balancing!$D34)="pa",$C34*SQRT(Balancing!AI34),Balancing!AI34*$C34)/$D34,"-")</f>
        <v>-</v>
      </c>
      <c r="AH34" s="10" t="str">
        <f>IF(ISNUMBER(Balancing!AJ34),IF(LOWER(Balancing!$D34)="pa",$C34*SQRT(Balancing!AJ34),Balancing!AJ34*$C34)/$D34,"-")</f>
        <v>-</v>
      </c>
      <c r="AI34" s="10" t="str">
        <f>IF(ISNUMBER(Balancing!AK34),IF(LOWER(Balancing!$D34)="pa",$C34*SQRT(Balancing!AK34),Balancing!AK34*$C34)/$D34,"-")</f>
        <v>-</v>
      </c>
      <c r="AJ34" s="15" t="str">
        <f>IF(ISNUMBER(Balancing!AL34),IF(LOWER(Balancing!$D34)="pa",$C34*SQRT(Balancing!AL34),Balancing!AL34*$C34)/$D34,"-")</f>
        <v>-</v>
      </c>
      <c r="AL34" s="10" t="b">
        <f>COUNTA(Balancing!D34:AM34)=0</f>
        <v>1</v>
      </c>
      <c r="AM34" s="10" t="b">
        <f>AND(OR(Balancing!D34="",ISERROR(C34)),OR(Balancing!D34&lt;&gt;"",Balancing!E34&lt;&gt;"",Balancing!H34&lt;&gt;""))</f>
        <v>0</v>
      </c>
      <c r="AN34" s="10" t="str">
        <f>IF(ISNUMBER(INDEX(Balancing!$H$2:$AM$51,$B34,$E$65-1)),$B34,"-")</f>
        <v>-</v>
      </c>
      <c r="AO34" s="10" t="str">
        <f>IF(ISNUMBER(INDEX(Balancing!$H$2:$AM$51,$B34,$E$65)),$B34,"-")</f>
        <v>-</v>
      </c>
      <c r="AP34" s="10" t="str">
        <f t="shared" si="7"/>
        <v>-</v>
      </c>
      <c r="AQ34" t="str">
        <f>IF(ISNUMBER(AO34),IF(ABS(INDEX($F$2:$AJ$51,$B34,$E$65)-INDEX($F$2:$AJ$51,E$66,$E$65))/INDEX($F$2:$AJ$51,E$66,$E$65)&gt;General!B$9,B34,"ok"),"-")</f>
        <v>-</v>
      </c>
      <c r="AR34" t="str">
        <f t="shared" ref="AR34:AR51" si="10">IF(B34=E$91,"index",AO34)</f>
        <v>-</v>
      </c>
      <c r="AS34" t="str">
        <f t="shared" ref="AS34:AS51" si="11">IF($F34=$E$89,B34,"-")</f>
        <v>-</v>
      </c>
      <c r="AT34" s="10" t="str">
        <f>IF(ISNUMBER(Balancing!H34),B34,"-")</f>
        <v>-</v>
      </c>
      <c r="AU34" t="e">
        <f t="shared" ref="AU34:AU51" si="12">D34*BR$6</f>
        <v>#VALUE!</v>
      </c>
      <c r="AV34" s="10" t="e">
        <f>IF(E$97,"OK!",IF(LOWER(Balancing!$D34)="pa",(AU34/C34)^2,AU34/$C34))</f>
        <v>#VALUE!</v>
      </c>
      <c r="AW34" s="19" t="str">
        <f>IF(AL34,".",IF(AM34,BV$24,IF(AND(Balancing!F34="",OR(General!B$8="pa",Balancing!D34="pa")),BV$25,IF(Balancing!E34="",BV$26,IF(E$65=0,BV$27,IF(B34=E$94,BV$28,IF(AND(B34=E$94-1,B34=E$91,AO34&lt;&gt;B34),BV$31,"")))))))</f>
        <v>.</v>
      </c>
      <c r="AX34" s="8" t="str">
        <f t="shared" ref="AX34:AX51" si="13">IF(AL34,".",INDEX($F$2:$AJ$51,B34,E$65))</f>
        <v>.</v>
      </c>
      <c r="AY34" s="7" t="str">
        <f t="shared" ref="AY34:AY51" si="14">IF(AW34="",IF(B34=E$90,IF(E$91=E$90,BV$21,IF(OR(E$91=E$69,E$65=1),AV34,BV$22)),IF(B34=E$91,BV$23,IF(AND(B34=E$69),AV34,"-"))),AW34)</f>
        <v>.</v>
      </c>
      <c r="BA34" s="21">
        <f t="shared" si="8"/>
        <v>0</v>
      </c>
      <c r="BB34" s="21" t="e">
        <f t="shared" si="9"/>
        <v>#VALUE!</v>
      </c>
      <c r="BC34" t="str">
        <f t="shared" ref="BC34:BC51" si="15">IF($B34&lt;$E$69,INDEX($F$2:$AJ$51,$B34,BG$4),"-")</f>
        <v>-</v>
      </c>
      <c r="BD34" t="str">
        <f t="shared" ref="BD34:BD51" si="16">IF($B34&lt;=$E$69,INDEX($F$2:$AJ$51,$B34,BG$4),"-")</f>
        <v>-</v>
      </c>
    </row>
    <row r="35" spans="2:83" x14ac:dyDescent="0.25">
      <c r="B35">
        <v>34</v>
      </c>
      <c r="C35" t="e">
        <f>IF(LOWER(Balancing!D35)="pa",Balancing!F35/1000,INDEX($E$98:$E$103,MATCH(LOWER(Balancing!D35),$D$98:$D$103,0)))</f>
        <v>#N/A</v>
      </c>
      <c r="D35" s="10">
        <f>IF(LOWER(General!$B$8)="pa",Balancing!$F35*SQRT(Balancing!E35)/1000,Balancing!E35*E$104)</f>
        <v>0</v>
      </c>
      <c r="E35" s="10" t="str">
        <f>IF(ISNUMBER(Balancing!H35),IF(LOWER(Balancing!$D35)="pa",$C35*SQRT(Balancing!H35),Balancing!H35*$C35),"-")</f>
        <v>-</v>
      </c>
      <c r="F35" s="14" t="str">
        <f>IF(ISNUMBER(Balancing!H35),IF(LOWER(Balancing!$D35)="pa",$C35*SQRT(Balancing!H35),Balancing!H35*$C35)/$D35,"-")</f>
        <v>-</v>
      </c>
      <c r="G35" s="10" t="str">
        <f>IF(ISNUMBER(Balancing!I35),IF(LOWER(Balancing!$D35)="pa",$C35*SQRT(Balancing!I35),Balancing!I35*$C35)/$D35,"-")</f>
        <v>-</v>
      </c>
      <c r="H35" s="10" t="str">
        <f>IF(ISNUMBER(Balancing!J35),IF(LOWER(Balancing!$D35)="pa",$C35*SQRT(Balancing!J35),Balancing!J35*$C35)/$D35,"-")</f>
        <v>-</v>
      </c>
      <c r="I35" s="10" t="str">
        <f>IF(ISNUMBER(Balancing!K35),IF(LOWER(Balancing!$D35)="pa",$C35*SQRT(Balancing!K35),Balancing!K35*$C35)/$D35,"-")</f>
        <v>-</v>
      </c>
      <c r="J35" s="10" t="str">
        <f>IF(ISNUMBER(Balancing!L35),IF(LOWER(Balancing!$D35)="pa",$C35*SQRT(Balancing!L35),Balancing!L35*$C35)/$D35,"-")</f>
        <v>-</v>
      </c>
      <c r="K35" s="10" t="str">
        <f>IF(ISNUMBER(Balancing!M35),IF(LOWER(Balancing!$D35)="pa",$C35*SQRT(Balancing!M35),Balancing!M35*$C35)/$D35,"-")</f>
        <v>-</v>
      </c>
      <c r="L35" s="10" t="str">
        <f>IF(ISNUMBER(Balancing!N35),IF(LOWER(Balancing!$D35)="pa",$C35*SQRT(Balancing!N35),Balancing!N35*$C35)/$D35,"-")</f>
        <v>-</v>
      </c>
      <c r="M35" s="10" t="str">
        <f>IF(ISNUMBER(Balancing!O35),IF(LOWER(Balancing!$D35)="pa",$C35*SQRT(Balancing!O35),Balancing!O35*$C35)/$D35,"-")</f>
        <v>-</v>
      </c>
      <c r="N35" s="10" t="str">
        <f>IF(ISNUMBER(Balancing!P35),IF(LOWER(Balancing!$D35)="pa",$C35*SQRT(Balancing!P35),Balancing!P35*$C35)/$D35,"-")</f>
        <v>-</v>
      </c>
      <c r="O35" s="10" t="str">
        <f>IF(ISNUMBER(Balancing!Q35),IF(LOWER(Balancing!$D35)="pa",$C35*SQRT(Balancing!Q35),Balancing!Q35*$C35)/$D35,"-")</f>
        <v>-</v>
      </c>
      <c r="P35" s="10" t="str">
        <f>IF(ISNUMBER(Balancing!R35),IF(LOWER(Balancing!$D35)="pa",$C35*SQRT(Balancing!R35),Balancing!R35*$C35)/$D35,"-")</f>
        <v>-</v>
      </c>
      <c r="Q35" s="10" t="str">
        <f>IF(ISNUMBER(Balancing!S35),IF(LOWER(Balancing!$D35)="pa",$C35*SQRT(Balancing!S35),Balancing!S35*$C35)/$D35,"-")</f>
        <v>-</v>
      </c>
      <c r="R35" s="10" t="str">
        <f>IF(ISNUMBER(Balancing!T35),IF(LOWER(Balancing!$D35)="pa",$C35*SQRT(Balancing!T35),Balancing!T35*$C35)/$D35,"-")</f>
        <v>-</v>
      </c>
      <c r="S35" s="10" t="str">
        <f>IF(ISNUMBER(Balancing!U35),IF(LOWER(Balancing!$D35)="pa",$C35*SQRT(Balancing!U35),Balancing!U35*$C35)/$D35,"-")</f>
        <v>-</v>
      </c>
      <c r="T35" s="10" t="str">
        <f>IF(ISNUMBER(Balancing!V35),IF(LOWER(Balancing!$D35)="pa",$C35*SQRT(Balancing!V35),Balancing!V35*$C35)/$D35,"-")</f>
        <v>-</v>
      </c>
      <c r="U35" s="10" t="str">
        <f>IF(ISNUMBER(Balancing!W35),IF(LOWER(Balancing!$D35)="pa",$C35*SQRT(Balancing!W35),Balancing!W35*$C35)/$D35,"-")</f>
        <v>-</v>
      </c>
      <c r="V35" s="10" t="str">
        <f>IF(ISNUMBER(Balancing!X35),IF(LOWER(Balancing!$D35)="pa",$C35*SQRT(Balancing!X35),Balancing!X35*$C35)/$D35,"-")</f>
        <v>-</v>
      </c>
      <c r="W35" s="10" t="str">
        <f>IF(ISNUMBER(Balancing!Y35),IF(LOWER(Balancing!$D35)="pa",$C35*SQRT(Balancing!Y35),Balancing!Y35*$C35)/$D35,"-")</f>
        <v>-</v>
      </c>
      <c r="X35" s="10" t="str">
        <f>IF(ISNUMBER(Balancing!Z35),IF(LOWER(Balancing!$D35)="pa",$C35*SQRT(Balancing!Z35),Balancing!Z35*$C35)/$D35,"-")</f>
        <v>-</v>
      </c>
      <c r="Y35" s="10" t="str">
        <f>IF(ISNUMBER(Balancing!AA35),IF(LOWER(Balancing!$D35)="pa",$C35*SQRT(Balancing!AA35),Balancing!AA35*$C35)/$D35,"-")</f>
        <v>-</v>
      </c>
      <c r="Z35" s="10" t="str">
        <f>IF(ISNUMBER(Balancing!AB35),IF(LOWER(Balancing!$D35)="pa",$C35*SQRT(Balancing!AB35),Balancing!AB35*$C35)/$D35,"-")</f>
        <v>-</v>
      </c>
      <c r="AA35" s="10" t="str">
        <f>IF(ISNUMBER(Balancing!AC35),IF(LOWER(Balancing!$D35)="pa",$C35*SQRT(Balancing!AC35),Balancing!AC35*$C35)/$D35,"-")</f>
        <v>-</v>
      </c>
      <c r="AB35" s="10" t="str">
        <f>IF(ISNUMBER(Balancing!AD35),IF(LOWER(Balancing!$D35)="pa",$C35*SQRT(Balancing!AD35),Balancing!AD35*$C35)/$D35,"-")</f>
        <v>-</v>
      </c>
      <c r="AC35" s="10" t="str">
        <f>IF(ISNUMBER(Balancing!AE35),IF(LOWER(Balancing!$D35)="pa",$C35*SQRT(Balancing!AE35),Balancing!AE35*$C35)/$D35,"-")</f>
        <v>-</v>
      </c>
      <c r="AD35" s="10" t="str">
        <f>IF(ISNUMBER(Balancing!AF35),IF(LOWER(Balancing!$D35)="pa",$C35*SQRT(Balancing!AF35),Balancing!AF35*$C35)/$D35,"-")</f>
        <v>-</v>
      </c>
      <c r="AE35" s="10" t="str">
        <f>IF(ISNUMBER(Balancing!AG35),IF(LOWER(Balancing!$D35)="pa",$C35*SQRT(Balancing!AG35),Balancing!AG35*$C35)/$D35,"-")</f>
        <v>-</v>
      </c>
      <c r="AF35" s="10" t="str">
        <f>IF(ISNUMBER(Balancing!AH35),IF(LOWER(Balancing!$D35)="pa",$C35*SQRT(Balancing!AH35),Balancing!AH35*$C35)/$D35,"-")</f>
        <v>-</v>
      </c>
      <c r="AG35" s="10" t="str">
        <f>IF(ISNUMBER(Balancing!AI35),IF(LOWER(Balancing!$D35)="pa",$C35*SQRT(Balancing!AI35),Balancing!AI35*$C35)/$D35,"-")</f>
        <v>-</v>
      </c>
      <c r="AH35" s="10" t="str">
        <f>IF(ISNUMBER(Balancing!AJ35),IF(LOWER(Balancing!$D35)="pa",$C35*SQRT(Balancing!AJ35),Balancing!AJ35*$C35)/$D35,"-")</f>
        <v>-</v>
      </c>
      <c r="AI35" s="10" t="str">
        <f>IF(ISNUMBER(Balancing!AK35),IF(LOWER(Balancing!$D35)="pa",$C35*SQRT(Balancing!AK35),Balancing!AK35*$C35)/$D35,"-")</f>
        <v>-</v>
      </c>
      <c r="AJ35" s="15" t="str">
        <f>IF(ISNUMBER(Balancing!AL35),IF(LOWER(Balancing!$D35)="pa",$C35*SQRT(Balancing!AL35),Balancing!AL35*$C35)/$D35,"-")</f>
        <v>-</v>
      </c>
      <c r="AL35" s="10" t="b">
        <f>COUNTA(Balancing!D35:AM35)=0</f>
        <v>1</v>
      </c>
      <c r="AM35" s="10" t="b">
        <f>AND(OR(Balancing!D35="",ISERROR(C35)),OR(Balancing!D35&lt;&gt;"",Balancing!E35&lt;&gt;"",Balancing!H35&lt;&gt;""))</f>
        <v>0</v>
      </c>
      <c r="AN35" s="10" t="str">
        <f>IF(ISNUMBER(INDEX(Balancing!$H$2:$AM$51,$B35,$E$65-1)),$B35,"-")</f>
        <v>-</v>
      </c>
      <c r="AO35" s="10" t="str">
        <f>IF(ISNUMBER(INDEX(Balancing!$H$2:$AM$51,$B35,$E$65)),$B35,"-")</f>
        <v>-</v>
      </c>
      <c r="AP35" s="10" t="str">
        <f t="shared" si="7"/>
        <v>-</v>
      </c>
      <c r="AQ35" t="str">
        <f>IF(ISNUMBER(AO35),IF(ABS(INDEX($F$2:$AJ$51,$B35,$E$65)-INDEX($F$2:$AJ$51,E$66,$E$65))/INDEX($F$2:$AJ$51,E$66,$E$65)&gt;General!B$9,B35,"ok"),"-")</f>
        <v>-</v>
      </c>
      <c r="AR35" t="str">
        <f t="shared" si="10"/>
        <v>-</v>
      </c>
      <c r="AS35" t="str">
        <f t="shared" si="11"/>
        <v>-</v>
      </c>
      <c r="AT35" s="10" t="str">
        <f>IF(ISNUMBER(Balancing!H35),B35,"-")</f>
        <v>-</v>
      </c>
      <c r="AU35" t="e">
        <f t="shared" si="12"/>
        <v>#VALUE!</v>
      </c>
      <c r="AV35" s="10" t="e">
        <f>IF(E$97,"OK!",IF(LOWER(Balancing!$D35)="pa",(AU35/C35)^2,AU35/$C35))</f>
        <v>#VALUE!</v>
      </c>
      <c r="AW35" s="19" t="str">
        <f>IF(AL35,".",IF(AM35,BV$24,IF(AND(Balancing!F35="",OR(General!B$8="pa",Balancing!D35="pa")),BV$25,IF(Balancing!E35="",BV$26,IF(E$65=0,BV$27,IF(B35=E$94,BV$28,IF(AND(B35=E$94-1,B35=E$91,AO35&lt;&gt;B35),BV$31,"")))))))</f>
        <v>.</v>
      </c>
      <c r="AX35" s="8" t="str">
        <f t="shared" si="13"/>
        <v>.</v>
      </c>
      <c r="AY35" s="7" t="str">
        <f t="shared" si="14"/>
        <v>.</v>
      </c>
      <c r="BA35" s="21">
        <f t="shared" si="8"/>
        <v>0</v>
      </c>
      <c r="BB35" s="21" t="e">
        <f t="shared" si="9"/>
        <v>#VALUE!</v>
      </c>
      <c r="BC35" t="str">
        <f t="shared" si="15"/>
        <v>-</v>
      </c>
      <c r="BD35" t="str">
        <f t="shared" si="16"/>
        <v>-</v>
      </c>
    </row>
    <row r="36" spans="2:83" x14ac:dyDescent="0.25">
      <c r="B36">
        <v>35</v>
      </c>
      <c r="C36" t="e">
        <f>IF(LOWER(Balancing!D36)="pa",Balancing!F36/1000,INDEX($E$98:$E$103,MATCH(LOWER(Balancing!D36),$D$98:$D$103,0)))</f>
        <v>#N/A</v>
      </c>
      <c r="D36" s="10">
        <f>IF(LOWER(General!$B$8)="pa",Balancing!$F36*SQRT(Balancing!E36)/1000,Balancing!E36*E$104)</f>
        <v>0</v>
      </c>
      <c r="E36" s="10" t="str">
        <f>IF(ISNUMBER(Balancing!H36),IF(LOWER(Balancing!$D36)="pa",$C36*SQRT(Balancing!H36),Balancing!H36*$C36),"-")</f>
        <v>-</v>
      </c>
      <c r="F36" s="14" t="str">
        <f>IF(ISNUMBER(Balancing!H36),IF(LOWER(Balancing!$D36)="pa",$C36*SQRT(Balancing!H36),Balancing!H36*$C36)/$D36,"-")</f>
        <v>-</v>
      </c>
      <c r="G36" s="10" t="str">
        <f>IF(ISNUMBER(Balancing!I36),IF(LOWER(Balancing!$D36)="pa",$C36*SQRT(Balancing!I36),Balancing!I36*$C36)/$D36,"-")</f>
        <v>-</v>
      </c>
      <c r="H36" s="10" t="str">
        <f>IF(ISNUMBER(Balancing!J36),IF(LOWER(Balancing!$D36)="pa",$C36*SQRT(Balancing!J36),Balancing!J36*$C36)/$D36,"-")</f>
        <v>-</v>
      </c>
      <c r="I36" s="10" t="str">
        <f>IF(ISNUMBER(Balancing!K36),IF(LOWER(Balancing!$D36)="pa",$C36*SQRT(Balancing!K36),Balancing!K36*$C36)/$D36,"-")</f>
        <v>-</v>
      </c>
      <c r="J36" s="10" t="str">
        <f>IF(ISNUMBER(Balancing!L36),IF(LOWER(Balancing!$D36)="pa",$C36*SQRT(Balancing!L36),Balancing!L36*$C36)/$D36,"-")</f>
        <v>-</v>
      </c>
      <c r="K36" s="10" t="str">
        <f>IF(ISNUMBER(Balancing!M36),IF(LOWER(Balancing!$D36)="pa",$C36*SQRT(Balancing!M36),Balancing!M36*$C36)/$D36,"-")</f>
        <v>-</v>
      </c>
      <c r="L36" s="10" t="str">
        <f>IF(ISNUMBER(Balancing!N36),IF(LOWER(Balancing!$D36)="pa",$C36*SQRT(Balancing!N36),Balancing!N36*$C36)/$D36,"-")</f>
        <v>-</v>
      </c>
      <c r="M36" s="10" t="str">
        <f>IF(ISNUMBER(Balancing!O36),IF(LOWER(Balancing!$D36)="pa",$C36*SQRT(Balancing!O36),Balancing!O36*$C36)/$D36,"-")</f>
        <v>-</v>
      </c>
      <c r="N36" s="10" t="str">
        <f>IF(ISNUMBER(Balancing!P36),IF(LOWER(Balancing!$D36)="pa",$C36*SQRT(Balancing!P36),Balancing!P36*$C36)/$D36,"-")</f>
        <v>-</v>
      </c>
      <c r="O36" s="10" t="str">
        <f>IF(ISNUMBER(Balancing!Q36),IF(LOWER(Balancing!$D36)="pa",$C36*SQRT(Balancing!Q36),Balancing!Q36*$C36)/$D36,"-")</f>
        <v>-</v>
      </c>
      <c r="P36" s="10" t="str">
        <f>IF(ISNUMBER(Balancing!R36),IF(LOWER(Balancing!$D36)="pa",$C36*SQRT(Balancing!R36),Balancing!R36*$C36)/$D36,"-")</f>
        <v>-</v>
      </c>
      <c r="Q36" s="10" t="str">
        <f>IF(ISNUMBER(Balancing!S36),IF(LOWER(Balancing!$D36)="pa",$C36*SQRT(Balancing!S36),Balancing!S36*$C36)/$D36,"-")</f>
        <v>-</v>
      </c>
      <c r="R36" s="10" t="str">
        <f>IF(ISNUMBER(Balancing!T36),IF(LOWER(Balancing!$D36)="pa",$C36*SQRT(Balancing!T36),Balancing!T36*$C36)/$D36,"-")</f>
        <v>-</v>
      </c>
      <c r="S36" s="10" t="str">
        <f>IF(ISNUMBER(Balancing!U36),IF(LOWER(Balancing!$D36)="pa",$C36*SQRT(Balancing!U36),Balancing!U36*$C36)/$D36,"-")</f>
        <v>-</v>
      </c>
      <c r="T36" s="10" t="str">
        <f>IF(ISNUMBER(Balancing!V36),IF(LOWER(Balancing!$D36)="pa",$C36*SQRT(Balancing!V36),Balancing!V36*$C36)/$D36,"-")</f>
        <v>-</v>
      </c>
      <c r="U36" s="10" t="str">
        <f>IF(ISNUMBER(Balancing!W36),IF(LOWER(Balancing!$D36)="pa",$C36*SQRT(Balancing!W36),Balancing!W36*$C36)/$D36,"-")</f>
        <v>-</v>
      </c>
      <c r="V36" s="10" t="str">
        <f>IF(ISNUMBER(Balancing!X36),IF(LOWER(Balancing!$D36)="pa",$C36*SQRT(Balancing!X36),Balancing!X36*$C36)/$D36,"-")</f>
        <v>-</v>
      </c>
      <c r="W36" s="10" t="str">
        <f>IF(ISNUMBER(Balancing!Y36),IF(LOWER(Balancing!$D36)="pa",$C36*SQRT(Balancing!Y36),Balancing!Y36*$C36)/$D36,"-")</f>
        <v>-</v>
      </c>
      <c r="X36" s="10" t="str">
        <f>IF(ISNUMBER(Balancing!Z36),IF(LOWER(Balancing!$D36)="pa",$C36*SQRT(Balancing!Z36),Balancing!Z36*$C36)/$D36,"-")</f>
        <v>-</v>
      </c>
      <c r="Y36" s="10" t="str">
        <f>IF(ISNUMBER(Balancing!AA36),IF(LOWER(Balancing!$D36)="pa",$C36*SQRT(Balancing!AA36),Balancing!AA36*$C36)/$D36,"-")</f>
        <v>-</v>
      </c>
      <c r="Z36" s="10" t="str">
        <f>IF(ISNUMBER(Balancing!AB36),IF(LOWER(Balancing!$D36)="pa",$C36*SQRT(Balancing!AB36),Balancing!AB36*$C36)/$D36,"-")</f>
        <v>-</v>
      </c>
      <c r="AA36" s="10" t="str">
        <f>IF(ISNUMBER(Balancing!AC36),IF(LOWER(Balancing!$D36)="pa",$C36*SQRT(Balancing!AC36),Balancing!AC36*$C36)/$D36,"-")</f>
        <v>-</v>
      </c>
      <c r="AB36" s="10" t="str">
        <f>IF(ISNUMBER(Balancing!AD36),IF(LOWER(Balancing!$D36)="pa",$C36*SQRT(Balancing!AD36),Balancing!AD36*$C36)/$D36,"-")</f>
        <v>-</v>
      </c>
      <c r="AC36" s="10" t="str">
        <f>IF(ISNUMBER(Balancing!AE36),IF(LOWER(Balancing!$D36)="pa",$C36*SQRT(Balancing!AE36),Balancing!AE36*$C36)/$D36,"-")</f>
        <v>-</v>
      </c>
      <c r="AD36" s="10" t="str">
        <f>IF(ISNUMBER(Balancing!AF36),IF(LOWER(Balancing!$D36)="pa",$C36*SQRT(Balancing!AF36),Balancing!AF36*$C36)/$D36,"-")</f>
        <v>-</v>
      </c>
      <c r="AE36" s="10" t="str">
        <f>IF(ISNUMBER(Balancing!AG36),IF(LOWER(Balancing!$D36)="pa",$C36*SQRT(Balancing!AG36),Balancing!AG36*$C36)/$D36,"-")</f>
        <v>-</v>
      </c>
      <c r="AF36" s="10" t="str">
        <f>IF(ISNUMBER(Balancing!AH36),IF(LOWER(Balancing!$D36)="pa",$C36*SQRT(Balancing!AH36),Balancing!AH36*$C36)/$D36,"-")</f>
        <v>-</v>
      </c>
      <c r="AG36" s="10" t="str">
        <f>IF(ISNUMBER(Balancing!AI36),IF(LOWER(Balancing!$D36)="pa",$C36*SQRT(Balancing!AI36),Balancing!AI36*$C36)/$D36,"-")</f>
        <v>-</v>
      </c>
      <c r="AH36" s="10" t="str">
        <f>IF(ISNUMBER(Balancing!AJ36),IF(LOWER(Balancing!$D36)="pa",$C36*SQRT(Balancing!AJ36),Balancing!AJ36*$C36)/$D36,"-")</f>
        <v>-</v>
      </c>
      <c r="AI36" s="10" t="str">
        <f>IF(ISNUMBER(Balancing!AK36),IF(LOWER(Balancing!$D36)="pa",$C36*SQRT(Balancing!AK36),Balancing!AK36*$C36)/$D36,"-")</f>
        <v>-</v>
      </c>
      <c r="AJ36" s="15" t="str">
        <f>IF(ISNUMBER(Balancing!AL36),IF(LOWER(Balancing!$D36)="pa",$C36*SQRT(Balancing!AL36),Balancing!AL36*$C36)/$D36,"-")</f>
        <v>-</v>
      </c>
      <c r="AL36" s="10" t="b">
        <f>COUNTA(Balancing!D36:AM36)=0</f>
        <v>1</v>
      </c>
      <c r="AM36" s="10" t="b">
        <f>AND(OR(Balancing!D36="",ISERROR(C36)),OR(Balancing!D36&lt;&gt;"",Balancing!E36&lt;&gt;"",Balancing!H36&lt;&gt;""))</f>
        <v>0</v>
      </c>
      <c r="AN36" s="10" t="str">
        <f>IF(ISNUMBER(INDEX(Balancing!$H$2:$AM$51,$B36,$E$65-1)),$B36,"-")</f>
        <v>-</v>
      </c>
      <c r="AO36" s="10" t="str">
        <f>IF(ISNUMBER(INDEX(Balancing!$H$2:$AM$51,$B36,$E$65)),$B36,"-")</f>
        <v>-</v>
      </c>
      <c r="AP36" s="10" t="str">
        <f t="shared" si="7"/>
        <v>-</v>
      </c>
      <c r="AQ36" t="str">
        <f>IF(ISNUMBER(AO36),IF(ABS(INDEX($F$2:$AJ$51,$B36,$E$65)-INDEX($F$2:$AJ$51,E$66,$E$65))/INDEX($F$2:$AJ$51,E$66,$E$65)&gt;General!B$9,B36,"ok"),"-")</f>
        <v>-</v>
      </c>
      <c r="AR36" t="str">
        <f t="shared" si="10"/>
        <v>-</v>
      </c>
      <c r="AS36" t="str">
        <f t="shared" si="11"/>
        <v>-</v>
      </c>
      <c r="AT36" s="10" t="str">
        <f>IF(ISNUMBER(Balancing!H36),B36,"-")</f>
        <v>-</v>
      </c>
      <c r="AU36" t="e">
        <f t="shared" si="12"/>
        <v>#VALUE!</v>
      </c>
      <c r="AV36" s="10" t="e">
        <f>IF(E$97,"OK!",IF(LOWER(Balancing!$D36)="pa",(AU36/C36)^2,AU36/$C36))</f>
        <v>#VALUE!</v>
      </c>
      <c r="AW36" s="19" t="str">
        <f>IF(AL36,".",IF(AM36,BV$24,IF(AND(Balancing!F36="",OR(General!B$8="pa",Balancing!D36="pa")),BV$25,IF(Balancing!E36="",BV$26,IF(E$65=0,BV$27,IF(B36=E$94,BV$28,IF(AND(B36=E$94-1,B36=E$91,AO36&lt;&gt;B36),BV$31,"")))))))</f>
        <v>.</v>
      </c>
      <c r="AX36" s="8" t="str">
        <f t="shared" si="13"/>
        <v>.</v>
      </c>
      <c r="AY36" s="7" t="str">
        <f t="shared" si="14"/>
        <v>.</v>
      </c>
      <c r="BA36" s="21">
        <f t="shared" si="8"/>
        <v>0</v>
      </c>
      <c r="BB36" s="21" t="e">
        <f t="shared" si="9"/>
        <v>#VALUE!</v>
      </c>
      <c r="BC36" t="str">
        <f t="shared" si="15"/>
        <v>-</v>
      </c>
      <c r="BD36" t="str">
        <f t="shared" si="16"/>
        <v>-</v>
      </c>
    </row>
    <row r="37" spans="2:83" x14ac:dyDescent="0.25">
      <c r="B37">
        <v>36</v>
      </c>
      <c r="C37" t="e">
        <f>IF(LOWER(Balancing!D37)="pa",Balancing!F37/1000,INDEX($E$98:$E$103,MATCH(LOWER(Balancing!D37),$D$98:$D$103,0)))</f>
        <v>#N/A</v>
      </c>
      <c r="D37" s="10">
        <f>IF(LOWER(General!$B$8)="pa",Balancing!$F37*SQRT(Balancing!E37)/1000,Balancing!E37*E$104)</f>
        <v>0</v>
      </c>
      <c r="E37" s="10" t="str">
        <f>IF(ISNUMBER(Balancing!H37),IF(LOWER(Balancing!$D37)="pa",$C37*SQRT(Balancing!H37),Balancing!H37*$C37),"-")</f>
        <v>-</v>
      </c>
      <c r="F37" s="14" t="str">
        <f>IF(ISNUMBER(Balancing!H37),IF(LOWER(Balancing!$D37)="pa",$C37*SQRT(Balancing!H37),Balancing!H37*$C37)/$D37,"-")</f>
        <v>-</v>
      </c>
      <c r="G37" s="10" t="str">
        <f>IF(ISNUMBER(Balancing!I37),IF(LOWER(Balancing!$D37)="pa",$C37*SQRT(Balancing!I37),Balancing!I37*$C37)/$D37,"-")</f>
        <v>-</v>
      </c>
      <c r="H37" s="10" t="str">
        <f>IF(ISNUMBER(Balancing!J37),IF(LOWER(Balancing!$D37)="pa",$C37*SQRT(Balancing!J37),Balancing!J37*$C37)/$D37,"-")</f>
        <v>-</v>
      </c>
      <c r="I37" s="10" t="str">
        <f>IF(ISNUMBER(Balancing!K37),IF(LOWER(Balancing!$D37)="pa",$C37*SQRT(Balancing!K37),Balancing!K37*$C37)/$D37,"-")</f>
        <v>-</v>
      </c>
      <c r="J37" s="10" t="str">
        <f>IF(ISNUMBER(Balancing!L37),IF(LOWER(Balancing!$D37)="pa",$C37*SQRT(Balancing!L37),Balancing!L37*$C37)/$D37,"-")</f>
        <v>-</v>
      </c>
      <c r="K37" s="10" t="str">
        <f>IF(ISNUMBER(Balancing!M37),IF(LOWER(Balancing!$D37)="pa",$C37*SQRT(Balancing!M37),Balancing!M37*$C37)/$D37,"-")</f>
        <v>-</v>
      </c>
      <c r="L37" s="10" t="str">
        <f>IF(ISNUMBER(Balancing!N37),IF(LOWER(Balancing!$D37)="pa",$C37*SQRT(Balancing!N37),Balancing!N37*$C37)/$D37,"-")</f>
        <v>-</v>
      </c>
      <c r="M37" s="10" t="str">
        <f>IF(ISNUMBER(Balancing!O37),IF(LOWER(Balancing!$D37)="pa",$C37*SQRT(Balancing!O37),Balancing!O37*$C37)/$D37,"-")</f>
        <v>-</v>
      </c>
      <c r="N37" s="10" t="str">
        <f>IF(ISNUMBER(Balancing!P37),IF(LOWER(Balancing!$D37)="pa",$C37*SQRT(Balancing!P37),Balancing!P37*$C37)/$D37,"-")</f>
        <v>-</v>
      </c>
      <c r="O37" s="10" t="str">
        <f>IF(ISNUMBER(Balancing!Q37),IF(LOWER(Balancing!$D37)="pa",$C37*SQRT(Balancing!Q37),Balancing!Q37*$C37)/$D37,"-")</f>
        <v>-</v>
      </c>
      <c r="P37" s="10" t="str">
        <f>IF(ISNUMBER(Balancing!R37),IF(LOWER(Balancing!$D37)="pa",$C37*SQRT(Balancing!R37),Balancing!R37*$C37)/$D37,"-")</f>
        <v>-</v>
      </c>
      <c r="Q37" s="10" t="str">
        <f>IF(ISNUMBER(Balancing!S37),IF(LOWER(Balancing!$D37)="pa",$C37*SQRT(Balancing!S37),Balancing!S37*$C37)/$D37,"-")</f>
        <v>-</v>
      </c>
      <c r="R37" s="10" t="str">
        <f>IF(ISNUMBER(Balancing!T37),IF(LOWER(Balancing!$D37)="pa",$C37*SQRT(Balancing!T37),Balancing!T37*$C37)/$D37,"-")</f>
        <v>-</v>
      </c>
      <c r="S37" s="10" t="str">
        <f>IF(ISNUMBER(Balancing!U37),IF(LOWER(Balancing!$D37)="pa",$C37*SQRT(Balancing!U37),Balancing!U37*$C37)/$D37,"-")</f>
        <v>-</v>
      </c>
      <c r="T37" s="10" t="str">
        <f>IF(ISNUMBER(Balancing!V37),IF(LOWER(Balancing!$D37)="pa",$C37*SQRT(Balancing!V37),Balancing!V37*$C37)/$D37,"-")</f>
        <v>-</v>
      </c>
      <c r="U37" s="10" t="str">
        <f>IF(ISNUMBER(Balancing!W37),IF(LOWER(Balancing!$D37)="pa",$C37*SQRT(Balancing!W37),Balancing!W37*$C37)/$D37,"-")</f>
        <v>-</v>
      </c>
      <c r="V37" s="10" t="str">
        <f>IF(ISNUMBER(Balancing!X37),IF(LOWER(Balancing!$D37)="pa",$C37*SQRT(Balancing!X37),Balancing!X37*$C37)/$D37,"-")</f>
        <v>-</v>
      </c>
      <c r="W37" s="10" t="str">
        <f>IF(ISNUMBER(Balancing!Y37),IF(LOWER(Balancing!$D37)="pa",$C37*SQRT(Balancing!Y37),Balancing!Y37*$C37)/$D37,"-")</f>
        <v>-</v>
      </c>
      <c r="X37" s="10" t="str">
        <f>IF(ISNUMBER(Balancing!Z37),IF(LOWER(Balancing!$D37)="pa",$C37*SQRT(Balancing!Z37),Balancing!Z37*$C37)/$D37,"-")</f>
        <v>-</v>
      </c>
      <c r="Y37" s="10" t="str">
        <f>IF(ISNUMBER(Balancing!AA37),IF(LOWER(Balancing!$D37)="pa",$C37*SQRT(Balancing!AA37),Balancing!AA37*$C37)/$D37,"-")</f>
        <v>-</v>
      </c>
      <c r="Z37" s="10" t="str">
        <f>IF(ISNUMBER(Balancing!AB37),IF(LOWER(Balancing!$D37)="pa",$C37*SQRT(Balancing!AB37),Balancing!AB37*$C37)/$D37,"-")</f>
        <v>-</v>
      </c>
      <c r="AA37" s="10" t="str">
        <f>IF(ISNUMBER(Balancing!AC37),IF(LOWER(Balancing!$D37)="pa",$C37*SQRT(Balancing!AC37),Balancing!AC37*$C37)/$D37,"-")</f>
        <v>-</v>
      </c>
      <c r="AB37" s="10" t="str">
        <f>IF(ISNUMBER(Balancing!AD37),IF(LOWER(Balancing!$D37)="pa",$C37*SQRT(Balancing!AD37),Balancing!AD37*$C37)/$D37,"-")</f>
        <v>-</v>
      </c>
      <c r="AC37" s="10" t="str">
        <f>IF(ISNUMBER(Balancing!AE37),IF(LOWER(Balancing!$D37)="pa",$C37*SQRT(Balancing!AE37),Balancing!AE37*$C37)/$D37,"-")</f>
        <v>-</v>
      </c>
      <c r="AD37" s="10" t="str">
        <f>IF(ISNUMBER(Balancing!AF37),IF(LOWER(Balancing!$D37)="pa",$C37*SQRT(Balancing!AF37),Balancing!AF37*$C37)/$D37,"-")</f>
        <v>-</v>
      </c>
      <c r="AE37" s="10" t="str">
        <f>IF(ISNUMBER(Balancing!AG37),IF(LOWER(Balancing!$D37)="pa",$C37*SQRT(Balancing!AG37),Balancing!AG37*$C37)/$D37,"-")</f>
        <v>-</v>
      </c>
      <c r="AF37" s="10" t="str">
        <f>IF(ISNUMBER(Balancing!AH37),IF(LOWER(Balancing!$D37)="pa",$C37*SQRT(Balancing!AH37),Balancing!AH37*$C37)/$D37,"-")</f>
        <v>-</v>
      </c>
      <c r="AG37" s="10" t="str">
        <f>IF(ISNUMBER(Balancing!AI37),IF(LOWER(Balancing!$D37)="pa",$C37*SQRT(Balancing!AI37),Balancing!AI37*$C37)/$D37,"-")</f>
        <v>-</v>
      </c>
      <c r="AH37" s="10" t="str">
        <f>IF(ISNUMBER(Balancing!AJ37),IF(LOWER(Balancing!$D37)="pa",$C37*SQRT(Balancing!AJ37),Balancing!AJ37*$C37)/$D37,"-")</f>
        <v>-</v>
      </c>
      <c r="AI37" s="10" t="str">
        <f>IF(ISNUMBER(Balancing!AK37),IF(LOWER(Balancing!$D37)="pa",$C37*SQRT(Balancing!AK37),Balancing!AK37*$C37)/$D37,"-")</f>
        <v>-</v>
      </c>
      <c r="AJ37" s="15" t="str">
        <f>IF(ISNUMBER(Balancing!AL37),IF(LOWER(Balancing!$D37)="pa",$C37*SQRT(Balancing!AL37),Balancing!AL37*$C37)/$D37,"-")</f>
        <v>-</v>
      </c>
      <c r="AL37" s="10" t="b">
        <f>COUNTA(Balancing!D37:AM37)=0</f>
        <v>1</v>
      </c>
      <c r="AM37" s="10" t="b">
        <f>AND(OR(Balancing!D37="",ISERROR(C37)),OR(Balancing!D37&lt;&gt;"",Balancing!E37&lt;&gt;"",Balancing!H37&lt;&gt;""))</f>
        <v>0</v>
      </c>
      <c r="AN37" s="10" t="str">
        <f>IF(ISNUMBER(INDEX(Balancing!$H$2:$AM$51,$B37,$E$65-1)),$B37,"-")</f>
        <v>-</v>
      </c>
      <c r="AO37" s="10" t="str">
        <f>IF(ISNUMBER(INDEX(Balancing!$H$2:$AM$51,$B37,$E$65)),$B37,"-")</f>
        <v>-</v>
      </c>
      <c r="AP37" s="10" t="str">
        <f t="shared" si="7"/>
        <v>-</v>
      </c>
      <c r="AQ37" t="str">
        <f>IF(ISNUMBER(AO37),IF(ABS(INDEX($F$2:$AJ$51,$B37,$E$65)-INDEX($F$2:$AJ$51,E$66,$E$65))/INDEX($F$2:$AJ$51,E$66,$E$65)&gt;General!B$9,B37,"ok"),"-")</f>
        <v>-</v>
      </c>
      <c r="AR37" t="str">
        <f t="shared" si="10"/>
        <v>-</v>
      </c>
      <c r="AS37" t="str">
        <f t="shared" si="11"/>
        <v>-</v>
      </c>
      <c r="AT37" s="10" t="str">
        <f>IF(ISNUMBER(Balancing!H37),B37,"-")</f>
        <v>-</v>
      </c>
      <c r="AU37" t="e">
        <f t="shared" si="12"/>
        <v>#VALUE!</v>
      </c>
      <c r="AV37" s="10" t="e">
        <f>IF(E$97,"OK!",IF(LOWER(Balancing!$D37)="pa",(AU37/C37)^2,AU37/$C37))</f>
        <v>#VALUE!</v>
      </c>
      <c r="AW37" s="19" t="str">
        <f>IF(AL37,".",IF(AM37,BV$24,IF(AND(Balancing!F37="",OR(General!B$8="pa",Balancing!D37="pa")),BV$25,IF(Balancing!E37="",BV$26,IF(E$65=0,BV$27,IF(B37=E$94,BV$28,IF(AND(B37=E$94-1,B37=E$91,AO37&lt;&gt;B37),BV$31,"")))))))</f>
        <v>.</v>
      </c>
      <c r="AX37" s="8" t="str">
        <f t="shared" si="13"/>
        <v>.</v>
      </c>
      <c r="AY37" s="7" t="str">
        <f t="shared" si="14"/>
        <v>.</v>
      </c>
      <c r="BA37" s="21">
        <f t="shared" si="8"/>
        <v>0</v>
      </c>
      <c r="BB37" s="21" t="e">
        <f t="shared" si="9"/>
        <v>#VALUE!</v>
      </c>
      <c r="BC37" t="str">
        <f t="shared" si="15"/>
        <v>-</v>
      </c>
      <c r="BD37" t="str">
        <f t="shared" si="16"/>
        <v>-</v>
      </c>
    </row>
    <row r="38" spans="2:83" x14ac:dyDescent="0.25">
      <c r="B38">
        <v>37</v>
      </c>
      <c r="C38" t="e">
        <f>IF(LOWER(Balancing!D38)="pa",Balancing!F38/1000,INDEX($E$98:$E$103,MATCH(LOWER(Balancing!D38),$D$98:$D$103,0)))</f>
        <v>#N/A</v>
      </c>
      <c r="D38" s="10">
        <f>IF(LOWER(General!$B$8)="pa",Balancing!$F38*SQRT(Balancing!E38)/1000,Balancing!E38*E$104)</f>
        <v>0</v>
      </c>
      <c r="E38" s="10" t="str">
        <f>IF(ISNUMBER(Balancing!H38),IF(LOWER(Balancing!$D38)="pa",$C38*SQRT(Balancing!H38),Balancing!H38*$C38),"-")</f>
        <v>-</v>
      </c>
      <c r="F38" s="14" t="str">
        <f>IF(ISNUMBER(Balancing!H38),IF(LOWER(Balancing!$D38)="pa",$C38*SQRT(Balancing!H38),Balancing!H38*$C38)/$D38,"-")</f>
        <v>-</v>
      </c>
      <c r="G38" s="10" t="str">
        <f>IF(ISNUMBER(Balancing!I38),IF(LOWER(Balancing!$D38)="pa",$C38*SQRT(Balancing!I38),Balancing!I38*$C38)/$D38,"-")</f>
        <v>-</v>
      </c>
      <c r="H38" s="10" t="str">
        <f>IF(ISNUMBER(Balancing!J38),IF(LOWER(Balancing!$D38)="pa",$C38*SQRT(Balancing!J38),Balancing!J38*$C38)/$D38,"-")</f>
        <v>-</v>
      </c>
      <c r="I38" s="10" t="str">
        <f>IF(ISNUMBER(Balancing!K38),IF(LOWER(Balancing!$D38)="pa",$C38*SQRT(Balancing!K38),Balancing!K38*$C38)/$D38,"-")</f>
        <v>-</v>
      </c>
      <c r="J38" s="10" t="str">
        <f>IF(ISNUMBER(Balancing!L38),IF(LOWER(Balancing!$D38)="pa",$C38*SQRT(Balancing!L38),Balancing!L38*$C38)/$D38,"-")</f>
        <v>-</v>
      </c>
      <c r="K38" s="10" t="str">
        <f>IF(ISNUMBER(Balancing!M38),IF(LOWER(Balancing!$D38)="pa",$C38*SQRT(Balancing!M38),Balancing!M38*$C38)/$D38,"-")</f>
        <v>-</v>
      </c>
      <c r="L38" s="10" t="str">
        <f>IF(ISNUMBER(Balancing!N38),IF(LOWER(Balancing!$D38)="pa",$C38*SQRT(Balancing!N38),Balancing!N38*$C38)/$D38,"-")</f>
        <v>-</v>
      </c>
      <c r="M38" s="10" t="str">
        <f>IF(ISNUMBER(Balancing!O38),IF(LOWER(Balancing!$D38)="pa",$C38*SQRT(Balancing!O38),Balancing!O38*$C38)/$D38,"-")</f>
        <v>-</v>
      </c>
      <c r="N38" s="10" t="str">
        <f>IF(ISNUMBER(Balancing!P38),IF(LOWER(Balancing!$D38)="pa",$C38*SQRT(Balancing!P38),Balancing!P38*$C38)/$D38,"-")</f>
        <v>-</v>
      </c>
      <c r="O38" s="10" t="str">
        <f>IF(ISNUMBER(Balancing!Q38),IF(LOWER(Balancing!$D38)="pa",$C38*SQRT(Balancing!Q38),Balancing!Q38*$C38)/$D38,"-")</f>
        <v>-</v>
      </c>
      <c r="P38" s="10" t="str">
        <f>IF(ISNUMBER(Balancing!R38),IF(LOWER(Balancing!$D38)="pa",$C38*SQRT(Balancing!R38),Balancing!R38*$C38)/$D38,"-")</f>
        <v>-</v>
      </c>
      <c r="Q38" s="10" t="str">
        <f>IF(ISNUMBER(Balancing!S38),IF(LOWER(Balancing!$D38)="pa",$C38*SQRT(Balancing!S38),Balancing!S38*$C38)/$D38,"-")</f>
        <v>-</v>
      </c>
      <c r="R38" s="10" t="str">
        <f>IF(ISNUMBER(Balancing!T38),IF(LOWER(Balancing!$D38)="pa",$C38*SQRT(Balancing!T38),Balancing!T38*$C38)/$D38,"-")</f>
        <v>-</v>
      </c>
      <c r="S38" s="10" t="str">
        <f>IF(ISNUMBER(Balancing!U38),IF(LOWER(Balancing!$D38)="pa",$C38*SQRT(Balancing!U38),Balancing!U38*$C38)/$D38,"-")</f>
        <v>-</v>
      </c>
      <c r="T38" s="10" t="str">
        <f>IF(ISNUMBER(Balancing!V38),IF(LOWER(Balancing!$D38)="pa",$C38*SQRT(Balancing!V38),Balancing!V38*$C38)/$D38,"-")</f>
        <v>-</v>
      </c>
      <c r="U38" s="10" t="str">
        <f>IF(ISNUMBER(Balancing!W38),IF(LOWER(Balancing!$D38)="pa",$C38*SQRT(Balancing!W38),Balancing!W38*$C38)/$D38,"-")</f>
        <v>-</v>
      </c>
      <c r="V38" s="10" t="str">
        <f>IF(ISNUMBER(Balancing!X38),IF(LOWER(Balancing!$D38)="pa",$C38*SQRT(Balancing!X38),Balancing!X38*$C38)/$D38,"-")</f>
        <v>-</v>
      </c>
      <c r="W38" s="10" t="str">
        <f>IF(ISNUMBER(Balancing!Y38),IF(LOWER(Balancing!$D38)="pa",$C38*SQRT(Balancing!Y38),Balancing!Y38*$C38)/$D38,"-")</f>
        <v>-</v>
      </c>
      <c r="X38" s="10" t="str">
        <f>IF(ISNUMBER(Balancing!Z38),IF(LOWER(Balancing!$D38)="pa",$C38*SQRT(Balancing!Z38),Balancing!Z38*$C38)/$D38,"-")</f>
        <v>-</v>
      </c>
      <c r="Y38" s="10" t="str">
        <f>IF(ISNUMBER(Balancing!AA38),IF(LOWER(Balancing!$D38)="pa",$C38*SQRT(Balancing!AA38),Balancing!AA38*$C38)/$D38,"-")</f>
        <v>-</v>
      </c>
      <c r="Z38" s="10" t="str">
        <f>IF(ISNUMBER(Balancing!AB38),IF(LOWER(Balancing!$D38)="pa",$C38*SQRT(Balancing!AB38),Balancing!AB38*$C38)/$D38,"-")</f>
        <v>-</v>
      </c>
      <c r="AA38" s="10" t="str">
        <f>IF(ISNUMBER(Balancing!AC38),IF(LOWER(Balancing!$D38)="pa",$C38*SQRT(Balancing!AC38),Balancing!AC38*$C38)/$D38,"-")</f>
        <v>-</v>
      </c>
      <c r="AB38" s="10" t="str">
        <f>IF(ISNUMBER(Balancing!AD38),IF(LOWER(Balancing!$D38)="pa",$C38*SQRT(Balancing!AD38),Balancing!AD38*$C38)/$D38,"-")</f>
        <v>-</v>
      </c>
      <c r="AC38" s="10" t="str">
        <f>IF(ISNUMBER(Balancing!AE38),IF(LOWER(Balancing!$D38)="pa",$C38*SQRT(Balancing!AE38),Balancing!AE38*$C38)/$D38,"-")</f>
        <v>-</v>
      </c>
      <c r="AD38" s="10" t="str">
        <f>IF(ISNUMBER(Balancing!AF38),IF(LOWER(Balancing!$D38)="pa",$C38*SQRT(Balancing!AF38),Balancing!AF38*$C38)/$D38,"-")</f>
        <v>-</v>
      </c>
      <c r="AE38" s="10" t="str">
        <f>IF(ISNUMBER(Balancing!AG38),IF(LOWER(Balancing!$D38)="pa",$C38*SQRT(Balancing!AG38),Balancing!AG38*$C38)/$D38,"-")</f>
        <v>-</v>
      </c>
      <c r="AF38" s="10" t="str">
        <f>IF(ISNUMBER(Balancing!AH38),IF(LOWER(Balancing!$D38)="pa",$C38*SQRT(Balancing!AH38),Balancing!AH38*$C38)/$D38,"-")</f>
        <v>-</v>
      </c>
      <c r="AG38" s="10" t="str">
        <f>IF(ISNUMBER(Balancing!AI38),IF(LOWER(Balancing!$D38)="pa",$C38*SQRT(Balancing!AI38),Balancing!AI38*$C38)/$D38,"-")</f>
        <v>-</v>
      </c>
      <c r="AH38" s="10" t="str">
        <f>IF(ISNUMBER(Balancing!AJ38),IF(LOWER(Balancing!$D38)="pa",$C38*SQRT(Balancing!AJ38),Balancing!AJ38*$C38)/$D38,"-")</f>
        <v>-</v>
      </c>
      <c r="AI38" s="10" t="str">
        <f>IF(ISNUMBER(Balancing!AK38),IF(LOWER(Balancing!$D38)="pa",$C38*SQRT(Balancing!AK38),Balancing!AK38*$C38)/$D38,"-")</f>
        <v>-</v>
      </c>
      <c r="AJ38" s="15" t="str">
        <f>IF(ISNUMBER(Balancing!AL38),IF(LOWER(Balancing!$D38)="pa",$C38*SQRT(Balancing!AL38),Balancing!AL38*$C38)/$D38,"-")</f>
        <v>-</v>
      </c>
      <c r="AL38" s="10" t="b">
        <f>COUNTA(Balancing!D38:AM38)=0</f>
        <v>1</v>
      </c>
      <c r="AM38" s="10" t="b">
        <f>AND(OR(Balancing!D38="",ISERROR(C38)),OR(Balancing!D38&lt;&gt;"",Balancing!E38&lt;&gt;"",Balancing!H38&lt;&gt;""))</f>
        <v>0</v>
      </c>
      <c r="AN38" s="10" t="str">
        <f>IF(ISNUMBER(INDEX(Balancing!$H$2:$AM$51,$B38,$E$65-1)),$B38,"-")</f>
        <v>-</v>
      </c>
      <c r="AO38" s="10" t="str">
        <f>IF(ISNUMBER(INDEX(Balancing!$H$2:$AM$51,$B38,$E$65)),$B38,"-")</f>
        <v>-</v>
      </c>
      <c r="AP38" s="10" t="str">
        <f t="shared" si="7"/>
        <v>-</v>
      </c>
      <c r="AQ38" t="str">
        <f>IF(ISNUMBER(AO38),IF(ABS(INDEX($F$2:$AJ$51,$B38,$E$65)-INDEX($F$2:$AJ$51,E$66,$E$65))/INDEX($F$2:$AJ$51,E$66,$E$65)&gt;General!B$9,B38,"ok"),"-")</f>
        <v>-</v>
      </c>
      <c r="AR38" t="str">
        <f t="shared" si="10"/>
        <v>-</v>
      </c>
      <c r="AS38" t="str">
        <f t="shared" si="11"/>
        <v>-</v>
      </c>
      <c r="AT38" s="10" t="str">
        <f>IF(ISNUMBER(Balancing!H38),B38,"-")</f>
        <v>-</v>
      </c>
      <c r="AU38" t="e">
        <f t="shared" si="12"/>
        <v>#VALUE!</v>
      </c>
      <c r="AV38" s="10" t="e">
        <f>IF(E$97,"OK!",IF(LOWER(Balancing!$D38)="pa",(AU38/C38)^2,AU38/$C38))</f>
        <v>#VALUE!</v>
      </c>
      <c r="AW38" s="19" t="str">
        <f>IF(AL38,".",IF(AM38,BV$24,IF(AND(Balancing!F38="",OR(General!B$8="pa",Balancing!D38="pa")),BV$25,IF(Balancing!E38="",BV$26,IF(E$65=0,BV$27,IF(B38=E$94,BV$28,IF(AND(B38=E$94-1,B38=E$91,AO38&lt;&gt;B38),BV$31,"")))))))</f>
        <v>.</v>
      </c>
      <c r="AX38" s="8" t="str">
        <f t="shared" si="13"/>
        <v>.</v>
      </c>
      <c r="AY38" s="7" t="str">
        <f t="shared" si="14"/>
        <v>.</v>
      </c>
      <c r="BA38" s="21">
        <f t="shared" si="8"/>
        <v>0</v>
      </c>
      <c r="BB38" s="21" t="e">
        <f t="shared" si="9"/>
        <v>#VALUE!</v>
      </c>
      <c r="BC38" t="str">
        <f t="shared" si="15"/>
        <v>-</v>
      </c>
      <c r="BD38" t="str">
        <f t="shared" si="16"/>
        <v>-</v>
      </c>
    </row>
    <row r="39" spans="2:83" x14ac:dyDescent="0.25">
      <c r="B39">
        <v>38</v>
      </c>
      <c r="C39" t="e">
        <f>IF(LOWER(Balancing!D39)="pa",Balancing!F39/1000,INDEX($E$98:$E$103,MATCH(LOWER(Balancing!D39),$D$98:$D$103,0)))</f>
        <v>#N/A</v>
      </c>
      <c r="D39" s="10">
        <f>IF(LOWER(General!$B$8)="pa",Balancing!$F39*SQRT(Balancing!E39)/1000,Balancing!E39*E$104)</f>
        <v>0</v>
      </c>
      <c r="E39" s="10" t="str">
        <f>IF(ISNUMBER(Balancing!H39),IF(LOWER(Balancing!$D39)="pa",$C39*SQRT(Balancing!H39),Balancing!H39*$C39),"-")</f>
        <v>-</v>
      </c>
      <c r="F39" s="14" t="str">
        <f>IF(ISNUMBER(Balancing!H39),IF(LOWER(Balancing!$D39)="pa",$C39*SQRT(Balancing!H39),Balancing!H39*$C39)/$D39,"-")</f>
        <v>-</v>
      </c>
      <c r="G39" s="10" t="str">
        <f>IF(ISNUMBER(Balancing!I39),IF(LOWER(Balancing!$D39)="pa",$C39*SQRT(Balancing!I39),Balancing!I39*$C39)/$D39,"-")</f>
        <v>-</v>
      </c>
      <c r="H39" s="10" t="str">
        <f>IF(ISNUMBER(Balancing!J39),IF(LOWER(Balancing!$D39)="pa",$C39*SQRT(Balancing!J39),Balancing!J39*$C39)/$D39,"-")</f>
        <v>-</v>
      </c>
      <c r="I39" s="10" t="str">
        <f>IF(ISNUMBER(Balancing!K39),IF(LOWER(Balancing!$D39)="pa",$C39*SQRT(Balancing!K39),Balancing!K39*$C39)/$D39,"-")</f>
        <v>-</v>
      </c>
      <c r="J39" s="10" t="str">
        <f>IF(ISNUMBER(Balancing!L39),IF(LOWER(Balancing!$D39)="pa",$C39*SQRT(Balancing!L39),Balancing!L39*$C39)/$D39,"-")</f>
        <v>-</v>
      </c>
      <c r="K39" s="10" t="str">
        <f>IF(ISNUMBER(Balancing!M39),IF(LOWER(Balancing!$D39)="pa",$C39*SQRT(Balancing!M39),Balancing!M39*$C39)/$D39,"-")</f>
        <v>-</v>
      </c>
      <c r="L39" s="10" t="str">
        <f>IF(ISNUMBER(Balancing!N39),IF(LOWER(Balancing!$D39)="pa",$C39*SQRT(Balancing!N39),Balancing!N39*$C39)/$D39,"-")</f>
        <v>-</v>
      </c>
      <c r="M39" s="10" t="str">
        <f>IF(ISNUMBER(Balancing!O39),IF(LOWER(Balancing!$D39)="pa",$C39*SQRT(Balancing!O39),Balancing!O39*$C39)/$D39,"-")</f>
        <v>-</v>
      </c>
      <c r="N39" s="10" t="str">
        <f>IF(ISNUMBER(Balancing!P39),IF(LOWER(Balancing!$D39)="pa",$C39*SQRT(Balancing!P39),Balancing!P39*$C39)/$D39,"-")</f>
        <v>-</v>
      </c>
      <c r="O39" s="10" t="str">
        <f>IF(ISNUMBER(Balancing!Q39),IF(LOWER(Balancing!$D39)="pa",$C39*SQRT(Balancing!Q39),Balancing!Q39*$C39)/$D39,"-")</f>
        <v>-</v>
      </c>
      <c r="P39" s="10" t="str">
        <f>IF(ISNUMBER(Balancing!R39),IF(LOWER(Balancing!$D39)="pa",$C39*SQRT(Balancing!R39),Balancing!R39*$C39)/$D39,"-")</f>
        <v>-</v>
      </c>
      <c r="Q39" s="10" t="str">
        <f>IF(ISNUMBER(Balancing!S39),IF(LOWER(Balancing!$D39)="pa",$C39*SQRT(Balancing!S39),Balancing!S39*$C39)/$D39,"-")</f>
        <v>-</v>
      </c>
      <c r="R39" s="10" t="str">
        <f>IF(ISNUMBER(Balancing!T39),IF(LOWER(Balancing!$D39)="pa",$C39*SQRT(Balancing!T39),Balancing!T39*$C39)/$D39,"-")</f>
        <v>-</v>
      </c>
      <c r="S39" s="10" t="str">
        <f>IF(ISNUMBER(Balancing!U39),IF(LOWER(Balancing!$D39)="pa",$C39*SQRT(Balancing!U39),Balancing!U39*$C39)/$D39,"-")</f>
        <v>-</v>
      </c>
      <c r="T39" s="10" t="str">
        <f>IF(ISNUMBER(Balancing!V39),IF(LOWER(Balancing!$D39)="pa",$C39*SQRT(Balancing!V39),Balancing!V39*$C39)/$D39,"-")</f>
        <v>-</v>
      </c>
      <c r="U39" s="10" t="str">
        <f>IF(ISNUMBER(Balancing!W39),IF(LOWER(Balancing!$D39)="pa",$C39*SQRT(Balancing!W39),Balancing!W39*$C39)/$D39,"-")</f>
        <v>-</v>
      </c>
      <c r="V39" s="10" t="str">
        <f>IF(ISNUMBER(Balancing!X39),IF(LOWER(Balancing!$D39)="pa",$C39*SQRT(Balancing!X39),Balancing!X39*$C39)/$D39,"-")</f>
        <v>-</v>
      </c>
      <c r="W39" s="10" t="str">
        <f>IF(ISNUMBER(Balancing!Y39),IF(LOWER(Balancing!$D39)="pa",$C39*SQRT(Balancing!Y39),Balancing!Y39*$C39)/$D39,"-")</f>
        <v>-</v>
      </c>
      <c r="X39" s="10" t="str">
        <f>IF(ISNUMBER(Balancing!Z39),IF(LOWER(Balancing!$D39)="pa",$C39*SQRT(Balancing!Z39),Balancing!Z39*$C39)/$D39,"-")</f>
        <v>-</v>
      </c>
      <c r="Y39" s="10" t="str">
        <f>IF(ISNUMBER(Balancing!AA39),IF(LOWER(Balancing!$D39)="pa",$C39*SQRT(Balancing!AA39),Balancing!AA39*$C39)/$D39,"-")</f>
        <v>-</v>
      </c>
      <c r="Z39" s="10" t="str">
        <f>IF(ISNUMBER(Balancing!AB39),IF(LOWER(Balancing!$D39)="pa",$C39*SQRT(Balancing!AB39),Balancing!AB39*$C39)/$D39,"-")</f>
        <v>-</v>
      </c>
      <c r="AA39" s="10" t="str">
        <f>IF(ISNUMBER(Balancing!AC39),IF(LOWER(Balancing!$D39)="pa",$C39*SQRT(Balancing!AC39),Balancing!AC39*$C39)/$D39,"-")</f>
        <v>-</v>
      </c>
      <c r="AB39" s="10" t="str">
        <f>IF(ISNUMBER(Balancing!AD39),IF(LOWER(Balancing!$D39)="pa",$C39*SQRT(Balancing!AD39),Balancing!AD39*$C39)/$D39,"-")</f>
        <v>-</v>
      </c>
      <c r="AC39" s="10" t="str">
        <f>IF(ISNUMBER(Balancing!AE39),IF(LOWER(Balancing!$D39)="pa",$C39*SQRT(Balancing!AE39),Balancing!AE39*$C39)/$D39,"-")</f>
        <v>-</v>
      </c>
      <c r="AD39" s="10" t="str">
        <f>IF(ISNUMBER(Balancing!AF39),IF(LOWER(Balancing!$D39)="pa",$C39*SQRT(Balancing!AF39),Balancing!AF39*$C39)/$D39,"-")</f>
        <v>-</v>
      </c>
      <c r="AE39" s="10" t="str">
        <f>IF(ISNUMBER(Balancing!AG39),IF(LOWER(Balancing!$D39)="pa",$C39*SQRT(Balancing!AG39),Balancing!AG39*$C39)/$D39,"-")</f>
        <v>-</v>
      </c>
      <c r="AF39" s="10" t="str">
        <f>IF(ISNUMBER(Balancing!AH39),IF(LOWER(Balancing!$D39)="pa",$C39*SQRT(Balancing!AH39),Balancing!AH39*$C39)/$D39,"-")</f>
        <v>-</v>
      </c>
      <c r="AG39" s="10" t="str">
        <f>IF(ISNUMBER(Balancing!AI39),IF(LOWER(Balancing!$D39)="pa",$C39*SQRT(Balancing!AI39),Balancing!AI39*$C39)/$D39,"-")</f>
        <v>-</v>
      </c>
      <c r="AH39" s="10" t="str">
        <f>IF(ISNUMBER(Balancing!AJ39),IF(LOWER(Balancing!$D39)="pa",$C39*SQRT(Balancing!AJ39),Balancing!AJ39*$C39)/$D39,"-")</f>
        <v>-</v>
      </c>
      <c r="AI39" s="10" t="str">
        <f>IF(ISNUMBER(Balancing!AK39),IF(LOWER(Balancing!$D39)="pa",$C39*SQRT(Balancing!AK39),Balancing!AK39*$C39)/$D39,"-")</f>
        <v>-</v>
      </c>
      <c r="AJ39" s="15" t="str">
        <f>IF(ISNUMBER(Balancing!AL39),IF(LOWER(Balancing!$D39)="pa",$C39*SQRT(Balancing!AL39),Balancing!AL39*$C39)/$D39,"-")</f>
        <v>-</v>
      </c>
      <c r="AL39" s="10" t="b">
        <f>COUNTA(Balancing!D39:AM39)=0</f>
        <v>1</v>
      </c>
      <c r="AM39" s="10" t="b">
        <f>AND(OR(Balancing!D39="",ISERROR(C39)),OR(Balancing!D39&lt;&gt;"",Balancing!E39&lt;&gt;"",Balancing!H39&lt;&gt;""))</f>
        <v>0</v>
      </c>
      <c r="AN39" s="10" t="str">
        <f>IF(ISNUMBER(INDEX(Balancing!$H$2:$AM$51,$B39,$E$65-1)),$B39,"-")</f>
        <v>-</v>
      </c>
      <c r="AO39" s="10" t="str">
        <f>IF(ISNUMBER(INDEX(Balancing!$H$2:$AM$51,$B39,$E$65)),$B39,"-")</f>
        <v>-</v>
      </c>
      <c r="AP39" s="10" t="str">
        <f t="shared" si="7"/>
        <v>-</v>
      </c>
      <c r="AQ39" t="str">
        <f>IF(ISNUMBER(AO39),IF(ABS(INDEX($F$2:$AJ$51,$B39,$E$65)-INDEX($F$2:$AJ$51,E$66,$E$65))/INDEX($F$2:$AJ$51,E$66,$E$65)&gt;General!B$9,B39,"ok"),"-")</f>
        <v>-</v>
      </c>
      <c r="AR39" t="str">
        <f t="shared" si="10"/>
        <v>-</v>
      </c>
      <c r="AS39" t="str">
        <f t="shared" si="11"/>
        <v>-</v>
      </c>
      <c r="AT39" s="10" t="str">
        <f>IF(ISNUMBER(Balancing!H39),B39,"-")</f>
        <v>-</v>
      </c>
      <c r="AU39" t="e">
        <f t="shared" si="12"/>
        <v>#VALUE!</v>
      </c>
      <c r="AV39" s="10" t="e">
        <f>IF(E$97,"OK!",IF(LOWER(Balancing!$D39)="pa",(AU39/C39)^2,AU39/$C39))</f>
        <v>#VALUE!</v>
      </c>
      <c r="AW39" s="19" t="str">
        <f>IF(AL39,".",IF(AM39,BV$24,IF(AND(Balancing!F39="",OR(General!B$8="pa",Balancing!D39="pa")),BV$25,IF(Balancing!E39="",BV$26,IF(E$65=0,BV$27,IF(B39=E$94,BV$28,IF(AND(B39=E$94-1,B39=E$91,AO39&lt;&gt;B39),BV$31,"")))))))</f>
        <v>.</v>
      </c>
      <c r="AX39" s="8" t="str">
        <f t="shared" si="13"/>
        <v>.</v>
      </c>
      <c r="AY39" s="7" t="str">
        <f t="shared" si="14"/>
        <v>.</v>
      </c>
      <c r="BA39" s="21">
        <f t="shared" si="8"/>
        <v>0</v>
      </c>
      <c r="BB39" s="21" t="e">
        <f t="shared" si="9"/>
        <v>#VALUE!</v>
      </c>
      <c r="BC39" t="str">
        <f t="shared" si="15"/>
        <v>-</v>
      </c>
      <c r="BD39" t="str">
        <f t="shared" si="16"/>
        <v>-</v>
      </c>
    </row>
    <row r="40" spans="2:83" x14ac:dyDescent="0.25">
      <c r="B40">
        <v>39</v>
      </c>
      <c r="C40" t="e">
        <f>IF(LOWER(Balancing!D40)="pa",Balancing!F40/1000,INDEX($E$98:$E$103,MATCH(LOWER(Balancing!D40),$D$98:$D$103,0)))</f>
        <v>#N/A</v>
      </c>
      <c r="D40" s="10">
        <f>IF(LOWER(General!$B$8)="pa",Balancing!$F40*SQRT(Balancing!E40)/1000,Balancing!E40*E$104)</f>
        <v>0</v>
      </c>
      <c r="E40" s="10" t="str">
        <f>IF(ISNUMBER(Balancing!H40),IF(LOWER(Balancing!$D40)="pa",$C40*SQRT(Balancing!H40),Balancing!H40*$C40),"-")</f>
        <v>-</v>
      </c>
      <c r="F40" s="14" t="str">
        <f>IF(ISNUMBER(Balancing!H40),IF(LOWER(Balancing!$D40)="pa",$C40*SQRT(Balancing!H40),Balancing!H40*$C40)/$D40,"-")</f>
        <v>-</v>
      </c>
      <c r="G40" s="10" t="str">
        <f>IF(ISNUMBER(Balancing!I40),IF(LOWER(Balancing!$D40)="pa",$C40*SQRT(Balancing!I40),Balancing!I40*$C40)/$D40,"-")</f>
        <v>-</v>
      </c>
      <c r="H40" s="10" t="str">
        <f>IF(ISNUMBER(Balancing!J40),IF(LOWER(Balancing!$D40)="pa",$C40*SQRT(Balancing!J40),Balancing!J40*$C40)/$D40,"-")</f>
        <v>-</v>
      </c>
      <c r="I40" s="10" t="str">
        <f>IF(ISNUMBER(Balancing!K40),IF(LOWER(Balancing!$D40)="pa",$C40*SQRT(Balancing!K40),Balancing!K40*$C40)/$D40,"-")</f>
        <v>-</v>
      </c>
      <c r="J40" s="10" t="str">
        <f>IF(ISNUMBER(Balancing!L40),IF(LOWER(Balancing!$D40)="pa",$C40*SQRT(Balancing!L40),Balancing!L40*$C40)/$D40,"-")</f>
        <v>-</v>
      </c>
      <c r="K40" s="10" t="str">
        <f>IF(ISNUMBER(Balancing!M40),IF(LOWER(Balancing!$D40)="pa",$C40*SQRT(Balancing!M40),Balancing!M40*$C40)/$D40,"-")</f>
        <v>-</v>
      </c>
      <c r="L40" s="10" t="str">
        <f>IF(ISNUMBER(Balancing!N40),IF(LOWER(Balancing!$D40)="pa",$C40*SQRT(Balancing!N40),Balancing!N40*$C40)/$D40,"-")</f>
        <v>-</v>
      </c>
      <c r="M40" s="10" t="str">
        <f>IF(ISNUMBER(Balancing!O40),IF(LOWER(Balancing!$D40)="pa",$C40*SQRT(Balancing!O40),Balancing!O40*$C40)/$D40,"-")</f>
        <v>-</v>
      </c>
      <c r="N40" s="10" t="str">
        <f>IF(ISNUMBER(Balancing!P40),IF(LOWER(Balancing!$D40)="pa",$C40*SQRT(Balancing!P40),Balancing!P40*$C40)/$D40,"-")</f>
        <v>-</v>
      </c>
      <c r="O40" s="10" t="str">
        <f>IF(ISNUMBER(Balancing!Q40),IF(LOWER(Balancing!$D40)="pa",$C40*SQRT(Balancing!Q40),Balancing!Q40*$C40)/$D40,"-")</f>
        <v>-</v>
      </c>
      <c r="P40" s="10" t="str">
        <f>IF(ISNUMBER(Balancing!R40),IF(LOWER(Balancing!$D40)="pa",$C40*SQRT(Balancing!R40),Balancing!R40*$C40)/$D40,"-")</f>
        <v>-</v>
      </c>
      <c r="Q40" s="10" t="str">
        <f>IF(ISNUMBER(Balancing!S40),IF(LOWER(Balancing!$D40)="pa",$C40*SQRT(Balancing!S40),Balancing!S40*$C40)/$D40,"-")</f>
        <v>-</v>
      </c>
      <c r="R40" s="10" t="str">
        <f>IF(ISNUMBER(Balancing!T40),IF(LOWER(Balancing!$D40)="pa",$C40*SQRT(Balancing!T40),Balancing!T40*$C40)/$D40,"-")</f>
        <v>-</v>
      </c>
      <c r="S40" s="10" t="str">
        <f>IF(ISNUMBER(Balancing!U40),IF(LOWER(Balancing!$D40)="pa",$C40*SQRT(Balancing!U40),Balancing!U40*$C40)/$D40,"-")</f>
        <v>-</v>
      </c>
      <c r="T40" s="10" t="str">
        <f>IF(ISNUMBER(Balancing!V40),IF(LOWER(Balancing!$D40)="pa",$C40*SQRT(Balancing!V40),Balancing!V40*$C40)/$D40,"-")</f>
        <v>-</v>
      </c>
      <c r="U40" s="10" t="str">
        <f>IF(ISNUMBER(Balancing!W40),IF(LOWER(Balancing!$D40)="pa",$C40*SQRT(Balancing!W40),Balancing!W40*$C40)/$D40,"-")</f>
        <v>-</v>
      </c>
      <c r="V40" s="10" t="str">
        <f>IF(ISNUMBER(Balancing!X40),IF(LOWER(Balancing!$D40)="pa",$C40*SQRT(Balancing!X40),Balancing!X40*$C40)/$D40,"-")</f>
        <v>-</v>
      </c>
      <c r="W40" s="10" t="str">
        <f>IF(ISNUMBER(Balancing!Y40),IF(LOWER(Balancing!$D40)="pa",$C40*SQRT(Balancing!Y40),Balancing!Y40*$C40)/$D40,"-")</f>
        <v>-</v>
      </c>
      <c r="X40" s="10" t="str">
        <f>IF(ISNUMBER(Balancing!Z40),IF(LOWER(Balancing!$D40)="pa",$C40*SQRT(Balancing!Z40),Balancing!Z40*$C40)/$D40,"-")</f>
        <v>-</v>
      </c>
      <c r="Y40" s="10" t="str">
        <f>IF(ISNUMBER(Balancing!AA40),IF(LOWER(Balancing!$D40)="pa",$C40*SQRT(Balancing!AA40),Balancing!AA40*$C40)/$D40,"-")</f>
        <v>-</v>
      </c>
      <c r="Z40" s="10" t="str">
        <f>IF(ISNUMBER(Balancing!AB40),IF(LOWER(Balancing!$D40)="pa",$C40*SQRT(Balancing!AB40),Balancing!AB40*$C40)/$D40,"-")</f>
        <v>-</v>
      </c>
      <c r="AA40" s="10" t="str">
        <f>IF(ISNUMBER(Balancing!AC40),IF(LOWER(Balancing!$D40)="pa",$C40*SQRT(Balancing!AC40),Balancing!AC40*$C40)/$D40,"-")</f>
        <v>-</v>
      </c>
      <c r="AB40" s="10" t="str">
        <f>IF(ISNUMBER(Balancing!AD40),IF(LOWER(Balancing!$D40)="pa",$C40*SQRT(Balancing!AD40),Balancing!AD40*$C40)/$D40,"-")</f>
        <v>-</v>
      </c>
      <c r="AC40" s="10" t="str">
        <f>IF(ISNUMBER(Balancing!AE40),IF(LOWER(Balancing!$D40)="pa",$C40*SQRT(Balancing!AE40),Balancing!AE40*$C40)/$D40,"-")</f>
        <v>-</v>
      </c>
      <c r="AD40" s="10" t="str">
        <f>IF(ISNUMBER(Balancing!AF40),IF(LOWER(Balancing!$D40)="pa",$C40*SQRT(Balancing!AF40),Balancing!AF40*$C40)/$D40,"-")</f>
        <v>-</v>
      </c>
      <c r="AE40" s="10" t="str">
        <f>IF(ISNUMBER(Balancing!AG40),IF(LOWER(Balancing!$D40)="pa",$C40*SQRT(Balancing!AG40),Balancing!AG40*$C40)/$D40,"-")</f>
        <v>-</v>
      </c>
      <c r="AF40" s="10" t="str">
        <f>IF(ISNUMBER(Balancing!AH40),IF(LOWER(Balancing!$D40)="pa",$C40*SQRT(Balancing!AH40),Balancing!AH40*$C40)/$D40,"-")</f>
        <v>-</v>
      </c>
      <c r="AG40" s="10" t="str">
        <f>IF(ISNUMBER(Balancing!AI40),IF(LOWER(Balancing!$D40)="pa",$C40*SQRT(Balancing!AI40),Balancing!AI40*$C40)/$D40,"-")</f>
        <v>-</v>
      </c>
      <c r="AH40" s="10" t="str">
        <f>IF(ISNUMBER(Balancing!AJ40),IF(LOWER(Balancing!$D40)="pa",$C40*SQRT(Balancing!AJ40),Balancing!AJ40*$C40)/$D40,"-")</f>
        <v>-</v>
      </c>
      <c r="AI40" s="10" t="str">
        <f>IF(ISNUMBER(Balancing!AK40),IF(LOWER(Balancing!$D40)="pa",$C40*SQRT(Balancing!AK40),Balancing!AK40*$C40)/$D40,"-")</f>
        <v>-</v>
      </c>
      <c r="AJ40" s="15" t="str">
        <f>IF(ISNUMBER(Balancing!AL40),IF(LOWER(Balancing!$D40)="pa",$C40*SQRT(Balancing!AL40),Balancing!AL40*$C40)/$D40,"-")</f>
        <v>-</v>
      </c>
      <c r="AL40" s="10" t="b">
        <f>COUNTA(Balancing!D40:AM40)=0</f>
        <v>1</v>
      </c>
      <c r="AM40" s="10" t="b">
        <f>AND(OR(Balancing!D40="",ISERROR(C40)),OR(Balancing!D40&lt;&gt;"",Balancing!E40&lt;&gt;"",Balancing!H40&lt;&gt;""))</f>
        <v>0</v>
      </c>
      <c r="AN40" s="10" t="str">
        <f>IF(ISNUMBER(INDEX(Balancing!$H$2:$AM$51,$B40,$E$65-1)),$B40,"-")</f>
        <v>-</v>
      </c>
      <c r="AO40" s="10" t="str">
        <f>IF(ISNUMBER(INDEX(Balancing!$H$2:$AM$51,$B40,$E$65)),$B40,"-")</f>
        <v>-</v>
      </c>
      <c r="AP40" s="10" t="str">
        <f t="shared" si="7"/>
        <v>-</v>
      </c>
      <c r="AQ40" t="str">
        <f>IF(ISNUMBER(AO40),IF(ABS(INDEX($F$2:$AJ$51,$B40,$E$65)-INDEX($F$2:$AJ$51,E$66,$E$65))/INDEX($F$2:$AJ$51,E$66,$E$65)&gt;General!B$9,B40,"ok"),"-")</f>
        <v>-</v>
      </c>
      <c r="AR40" t="str">
        <f t="shared" si="10"/>
        <v>-</v>
      </c>
      <c r="AS40" t="str">
        <f t="shared" si="11"/>
        <v>-</v>
      </c>
      <c r="AT40" s="10" t="str">
        <f>IF(ISNUMBER(Balancing!H40),B40,"-")</f>
        <v>-</v>
      </c>
      <c r="AU40" t="e">
        <f t="shared" si="12"/>
        <v>#VALUE!</v>
      </c>
      <c r="AV40" s="10" t="e">
        <f>IF(E$97,"OK!",IF(LOWER(Balancing!$D40)="pa",(AU40/C40)^2,AU40/$C40))</f>
        <v>#VALUE!</v>
      </c>
      <c r="AW40" s="19" t="str">
        <f>IF(AL40,".",IF(AM40,BV$24,IF(AND(Balancing!F40="",OR(General!B$8="pa",Balancing!D40="pa")),BV$25,IF(Balancing!E40="",BV$26,IF(E$65=0,BV$27,IF(B40=E$94,BV$28,IF(AND(B40=E$94-1,B40=E$91,AO40&lt;&gt;B40),BV$31,"")))))))</f>
        <v>.</v>
      </c>
      <c r="AX40" s="8" t="str">
        <f t="shared" si="13"/>
        <v>.</v>
      </c>
      <c r="AY40" s="7" t="str">
        <f t="shared" si="14"/>
        <v>.</v>
      </c>
      <c r="BA40" s="21">
        <f t="shared" si="8"/>
        <v>0</v>
      </c>
      <c r="BB40" s="21" t="e">
        <f t="shared" si="9"/>
        <v>#VALUE!</v>
      </c>
      <c r="BC40" t="str">
        <f t="shared" si="15"/>
        <v>-</v>
      </c>
      <c r="BD40" t="str">
        <f t="shared" si="16"/>
        <v>-</v>
      </c>
    </row>
    <row r="41" spans="2:83" x14ac:dyDescent="0.25">
      <c r="B41">
        <v>40</v>
      </c>
      <c r="C41" t="e">
        <f>IF(LOWER(Balancing!D41)="pa",Balancing!F41/1000,INDEX($E$98:$E$103,MATCH(LOWER(Balancing!D41),$D$98:$D$103,0)))</f>
        <v>#N/A</v>
      </c>
      <c r="D41" s="10">
        <f>IF(LOWER(General!$B$8)="pa",Balancing!$F41*SQRT(Balancing!E41)/1000,Balancing!E41*E$104)</f>
        <v>0</v>
      </c>
      <c r="E41" s="10" t="str">
        <f>IF(ISNUMBER(Balancing!H41),IF(LOWER(Balancing!$D41)="pa",$C41*SQRT(Balancing!H41),Balancing!H41*$C41),"-")</f>
        <v>-</v>
      </c>
      <c r="F41" s="14" t="str">
        <f>IF(ISNUMBER(Balancing!H41),IF(LOWER(Balancing!$D41)="pa",$C41*SQRT(Balancing!H41),Balancing!H41*$C41)/$D41,"-")</f>
        <v>-</v>
      </c>
      <c r="G41" s="10" t="str">
        <f>IF(ISNUMBER(Balancing!I41),IF(LOWER(Balancing!$D41)="pa",$C41*SQRT(Balancing!I41),Balancing!I41*$C41)/$D41,"-")</f>
        <v>-</v>
      </c>
      <c r="H41" s="10" t="str">
        <f>IF(ISNUMBER(Balancing!J41),IF(LOWER(Balancing!$D41)="pa",$C41*SQRT(Balancing!J41),Balancing!J41*$C41)/$D41,"-")</f>
        <v>-</v>
      </c>
      <c r="I41" s="10" t="str">
        <f>IF(ISNUMBER(Balancing!K41),IF(LOWER(Balancing!$D41)="pa",$C41*SQRT(Balancing!K41),Balancing!K41*$C41)/$D41,"-")</f>
        <v>-</v>
      </c>
      <c r="J41" s="10" t="str">
        <f>IF(ISNUMBER(Balancing!L41),IF(LOWER(Balancing!$D41)="pa",$C41*SQRT(Balancing!L41),Balancing!L41*$C41)/$D41,"-")</f>
        <v>-</v>
      </c>
      <c r="K41" s="10" t="str">
        <f>IF(ISNUMBER(Balancing!M41),IF(LOWER(Balancing!$D41)="pa",$C41*SQRT(Balancing!M41),Balancing!M41*$C41)/$D41,"-")</f>
        <v>-</v>
      </c>
      <c r="L41" s="10" t="str">
        <f>IF(ISNUMBER(Balancing!N41),IF(LOWER(Balancing!$D41)="pa",$C41*SQRT(Balancing!N41),Balancing!N41*$C41)/$D41,"-")</f>
        <v>-</v>
      </c>
      <c r="M41" s="10" t="str">
        <f>IF(ISNUMBER(Balancing!O41),IF(LOWER(Balancing!$D41)="pa",$C41*SQRT(Balancing!O41),Balancing!O41*$C41)/$D41,"-")</f>
        <v>-</v>
      </c>
      <c r="N41" s="10" t="str">
        <f>IF(ISNUMBER(Balancing!P41),IF(LOWER(Balancing!$D41)="pa",$C41*SQRT(Balancing!P41),Balancing!P41*$C41)/$D41,"-")</f>
        <v>-</v>
      </c>
      <c r="O41" s="10" t="str">
        <f>IF(ISNUMBER(Balancing!Q41),IF(LOWER(Balancing!$D41)="pa",$C41*SQRT(Balancing!Q41),Balancing!Q41*$C41)/$D41,"-")</f>
        <v>-</v>
      </c>
      <c r="P41" s="10" t="str">
        <f>IF(ISNUMBER(Balancing!R41),IF(LOWER(Balancing!$D41)="pa",$C41*SQRT(Balancing!R41),Balancing!R41*$C41)/$D41,"-")</f>
        <v>-</v>
      </c>
      <c r="Q41" s="10" t="str">
        <f>IF(ISNUMBER(Balancing!S41),IF(LOWER(Balancing!$D41)="pa",$C41*SQRT(Balancing!S41),Balancing!S41*$C41)/$D41,"-")</f>
        <v>-</v>
      </c>
      <c r="R41" s="10" t="str">
        <f>IF(ISNUMBER(Balancing!T41),IF(LOWER(Balancing!$D41)="pa",$C41*SQRT(Balancing!T41),Balancing!T41*$C41)/$D41,"-")</f>
        <v>-</v>
      </c>
      <c r="S41" s="10" t="str">
        <f>IF(ISNUMBER(Balancing!U41),IF(LOWER(Balancing!$D41)="pa",$C41*SQRT(Balancing!U41),Balancing!U41*$C41)/$D41,"-")</f>
        <v>-</v>
      </c>
      <c r="T41" s="10" t="str">
        <f>IF(ISNUMBER(Balancing!V41),IF(LOWER(Balancing!$D41)="pa",$C41*SQRT(Balancing!V41),Balancing!V41*$C41)/$D41,"-")</f>
        <v>-</v>
      </c>
      <c r="U41" s="10" t="str">
        <f>IF(ISNUMBER(Balancing!W41),IF(LOWER(Balancing!$D41)="pa",$C41*SQRT(Balancing!W41),Balancing!W41*$C41)/$D41,"-")</f>
        <v>-</v>
      </c>
      <c r="V41" s="10" t="str">
        <f>IF(ISNUMBER(Balancing!X41),IF(LOWER(Balancing!$D41)="pa",$C41*SQRT(Balancing!X41),Balancing!X41*$C41)/$D41,"-")</f>
        <v>-</v>
      </c>
      <c r="W41" s="10" t="str">
        <f>IF(ISNUMBER(Balancing!Y41),IF(LOWER(Balancing!$D41)="pa",$C41*SQRT(Balancing!Y41),Balancing!Y41*$C41)/$D41,"-")</f>
        <v>-</v>
      </c>
      <c r="X41" s="10" t="str">
        <f>IF(ISNUMBER(Balancing!Z41),IF(LOWER(Balancing!$D41)="pa",$C41*SQRT(Balancing!Z41),Balancing!Z41*$C41)/$D41,"-")</f>
        <v>-</v>
      </c>
      <c r="Y41" s="10" t="str">
        <f>IF(ISNUMBER(Balancing!AA41),IF(LOWER(Balancing!$D41)="pa",$C41*SQRT(Balancing!AA41),Balancing!AA41*$C41)/$D41,"-")</f>
        <v>-</v>
      </c>
      <c r="Z41" s="10" t="str">
        <f>IF(ISNUMBER(Balancing!AB41),IF(LOWER(Balancing!$D41)="pa",$C41*SQRT(Balancing!AB41),Balancing!AB41*$C41)/$D41,"-")</f>
        <v>-</v>
      </c>
      <c r="AA41" s="10" t="str">
        <f>IF(ISNUMBER(Balancing!AC41),IF(LOWER(Balancing!$D41)="pa",$C41*SQRT(Balancing!AC41),Balancing!AC41*$C41)/$D41,"-")</f>
        <v>-</v>
      </c>
      <c r="AB41" s="10" t="str">
        <f>IF(ISNUMBER(Balancing!AD41),IF(LOWER(Balancing!$D41)="pa",$C41*SQRT(Balancing!AD41),Balancing!AD41*$C41)/$D41,"-")</f>
        <v>-</v>
      </c>
      <c r="AC41" s="10" t="str">
        <f>IF(ISNUMBER(Balancing!AE41),IF(LOWER(Balancing!$D41)="pa",$C41*SQRT(Balancing!AE41),Balancing!AE41*$C41)/$D41,"-")</f>
        <v>-</v>
      </c>
      <c r="AD41" s="10" t="str">
        <f>IF(ISNUMBER(Balancing!AF41),IF(LOWER(Balancing!$D41)="pa",$C41*SQRT(Balancing!AF41),Balancing!AF41*$C41)/$D41,"-")</f>
        <v>-</v>
      </c>
      <c r="AE41" s="10" t="str">
        <f>IF(ISNUMBER(Balancing!AG41),IF(LOWER(Balancing!$D41)="pa",$C41*SQRT(Balancing!AG41),Balancing!AG41*$C41)/$D41,"-")</f>
        <v>-</v>
      </c>
      <c r="AF41" s="10" t="str">
        <f>IF(ISNUMBER(Balancing!AH41),IF(LOWER(Balancing!$D41)="pa",$C41*SQRT(Balancing!AH41),Balancing!AH41*$C41)/$D41,"-")</f>
        <v>-</v>
      </c>
      <c r="AG41" s="10" t="str">
        <f>IF(ISNUMBER(Balancing!AI41),IF(LOWER(Balancing!$D41)="pa",$C41*SQRT(Balancing!AI41),Balancing!AI41*$C41)/$D41,"-")</f>
        <v>-</v>
      </c>
      <c r="AH41" s="10" t="str">
        <f>IF(ISNUMBER(Balancing!AJ41),IF(LOWER(Balancing!$D41)="pa",$C41*SQRT(Balancing!AJ41),Balancing!AJ41*$C41)/$D41,"-")</f>
        <v>-</v>
      </c>
      <c r="AI41" s="10" t="str">
        <f>IF(ISNUMBER(Balancing!AK41),IF(LOWER(Balancing!$D41)="pa",$C41*SQRT(Balancing!AK41),Balancing!AK41*$C41)/$D41,"-")</f>
        <v>-</v>
      </c>
      <c r="AJ41" s="15" t="str">
        <f>IF(ISNUMBER(Balancing!AL41),IF(LOWER(Balancing!$D41)="pa",$C41*SQRT(Balancing!AL41),Balancing!AL41*$C41)/$D41,"-")</f>
        <v>-</v>
      </c>
      <c r="AL41" s="10" t="b">
        <f>COUNTA(Balancing!D41:AM41)=0</f>
        <v>1</v>
      </c>
      <c r="AM41" s="10" t="b">
        <f>AND(OR(Balancing!D41="",ISERROR(C41)),OR(Balancing!D41&lt;&gt;"",Balancing!E41&lt;&gt;"",Balancing!H41&lt;&gt;""))</f>
        <v>0</v>
      </c>
      <c r="AN41" s="10" t="str">
        <f>IF(ISNUMBER(INDEX(Balancing!$H$2:$AM$51,$B41,$E$65-1)),$B41,"-")</f>
        <v>-</v>
      </c>
      <c r="AO41" s="10" t="str">
        <f>IF(ISNUMBER(INDEX(Balancing!$H$2:$AM$51,$B41,$E$65)),$B41,"-")</f>
        <v>-</v>
      </c>
      <c r="AP41" s="10" t="str">
        <f t="shared" si="7"/>
        <v>-</v>
      </c>
      <c r="AQ41" t="str">
        <f>IF(ISNUMBER(AO41),IF(ABS(INDEX($F$2:$AJ$51,$B41,$E$65)-INDEX($F$2:$AJ$51,E$66,$E$65))/INDEX($F$2:$AJ$51,E$66,$E$65)&gt;General!B$9,B41,"ok"),"-")</f>
        <v>-</v>
      </c>
      <c r="AR41" t="str">
        <f t="shared" si="10"/>
        <v>-</v>
      </c>
      <c r="AS41" t="str">
        <f t="shared" si="11"/>
        <v>-</v>
      </c>
      <c r="AT41" s="10" t="str">
        <f>IF(ISNUMBER(Balancing!H41),B41,"-")</f>
        <v>-</v>
      </c>
      <c r="AU41" t="e">
        <f t="shared" si="12"/>
        <v>#VALUE!</v>
      </c>
      <c r="AV41" s="10" t="e">
        <f>IF(E$97,"OK!",IF(LOWER(Balancing!$D41)="pa",(AU41/C41)^2,AU41/$C41))</f>
        <v>#VALUE!</v>
      </c>
      <c r="AW41" s="19" t="str">
        <f>IF(AL41,".",IF(AM41,BV$24,IF(AND(Balancing!F41="",OR(General!B$8="pa",Balancing!D41="pa")),BV$25,IF(Balancing!E41="",BV$26,IF(E$65=0,BV$27,IF(B41=E$94,BV$28,IF(AND(B41=E$94-1,B41=E$91,AO41&lt;&gt;B41),BV$31,"")))))))</f>
        <v>.</v>
      </c>
      <c r="AX41" s="8" t="str">
        <f t="shared" si="13"/>
        <v>.</v>
      </c>
      <c r="AY41" s="7" t="str">
        <f t="shared" si="14"/>
        <v>.</v>
      </c>
      <c r="BA41" s="21">
        <f t="shared" si="8"/>
        <v>0</v>
      </c>
      <c r="BB41" s="21" t="e">
        <f t="shared" si="9"/>
        <v>#VALUE!</v>
      </c>
      <c r="BC41" t="str">
        <f t="shared" si="15"/>
        <v>-</v>
      </c>
      <c r="BD41" t="str">
        <f t="shared" si="16"/>
        <v>-</v>
      </c>
    </row>
    <row r="42" spans="2:83" x14ac:dyDescent="0.25">
      <c r="B42">
        <v>41</v>
      </c>
      <c r="C42" t="e">
        <f>IF(LOWER(Balancing!D42)="pa",Balancing!F42/1000,INDEX($E$98:$E$103,MATCH(LOWER(Balancing!D42),$D$98:$D$103,0)))</f>
        <v>#N/A</v>
      </c>
      <c r="D42" s="10">
        <f>IF(LOWER(General!$B$8)="pa",Balancing!$F42*SQRT(Balancing!E42)/1000,Balancing!E42*E$104)</f>
        <v>0</v>
      </c>
      <c r="E42" s="10" t="str">
        <f>IF(ISNUMBER(Balancing!H42),IF(LOWER(Balancing!$D42)="pa",$C42*SQRT(Balancing!H42),Balancing!H42*$C42),"-")</f>
        <v>-</v>
      </c>
      <c r="F42" s="14" t="str">
        <f>IF(ISNUMBER(Balancing!H42),IF(LOWER(Balancing!$D42)="pa",$C42*SQRT(Balancing!H42),Balancing!H42*$C42)/$D42,"-")</f>
        <v>-</v>
      </c>
      <c r="G42" s="10" t="str">
        <f>IF(ISNUMBER(Balancing!I42),IF(LOWER(Balancing!$D42)="pa",$C42*SQRT(Balancing!I42),Balancing!I42*$C42)/$D42,"-")</f>
        <v>-</v>
      </c>
      <c r="H42" s="10" t="str">
        <f>IF(ISNUMBER(Balancing!J42),IF(LOWER(Balancing!$D42)="pa",$C42*SQRT(Balancing!J42),Balancing!J42*$C42)/$D42,"-")</f>
        <v>-</v>
      </c>
      <c r="I42" s="10" t="str">
        <f>IF(ISNUMBER(Balancing!K42),IF(LOWER(Balancing!$D42)="pa",$C42*SQRT(Balancing!K42),Balancing!K42*$C42)/$D42,"-")</f>
        <v>-</v>
      </c>
      <c r="J42" s="10" t="str">
        <f>IF(ISNUMBER(Balancing!L42),IF(LOWER(Balancing!$D42)="pa",$C42*SQRT(Balancing!L42),Balancing!L42*$C42)/$D42,"-")</f>
        <v>-</v>
      </c>
      <c r="K42" s="10" t="str">
        <f>IF(ISNUMBER(Balancing!M42),IF(LOWER(Balancing!$D42)="pa",$C42*SQRT(Balancing!M42),Balancing!M42*$C42)/$D42,"-")</f>
        <v>-</v>
      </c>
      <c r="L42" s="10" t="str">
        <f>IF(ISNUMBER(Balancing!N42),IF(LOWER(Balancing!$D42)="pa",$C42*SQRT(Balancing!N42),Balancing!N42*$C42)/$D42,"-")</f>
        <v>-</v>
      </c>
      <c r="M42" s="10" t="str">
        <f>IF(ISNUMBER(Balancing!O42),IF(LOWER(Balancing!$D42)="pa",$C42*SQRT(Balancing!O42),Balancing!O42*$C42)/$D42,"-")</f>
        <v>-</v>
      </c>
      <c r="N42" s="10" t="str">
        <f>IF(ISNUMBER(Balancing!P42),IF(LOWER(Balancing!$D42)="pa",$C42*SQRT(Balancing!P42),Balancing!P42*$C42)/$D42,"-")</f>
        <v>-</v>
      </c>
      <c r="O42" s="10" t="str">
        <f>IF(ISNUMBER(Balancing!Q42),IF(LOWER(Balancing!$D42)="pa",$C42*SQRT(Balancing!Q42),Balancing!Q42*$C42)/$D42,"-")</f>
        <v>-</v>
      </c>
      <c r="P42" s="10" t="str">
        <f>IF(ISNUMBER(Balancing!R42),IF(LOWER(Balancing!$D42)="pa",$C42*SQRT(Balancing!R42),Balancing!R42*$C42)/$D42,"-")</f>
        <v>-</v>
      </c>
      <c r="Q42" s="10" t="str">
        <f>IF(ISNUMBER(Balancing!S42),IF(LOWER(Balancing!$D42)="pa",$C42*SQRT(Balancing!S42),Balancing!S42*$C42)/$D42,"-")</f>
        <v>-</v>
      </c>
      <c r="R42" s="10" t="str">
        <f>IF(ISNUMBER(Balancing!T42),IF(LOWER(Balancing!$D42)="pa",$C42*SQRT(Balancing!T42),Balancing!T42*$C42)/$D42,"-")</f>
        <v>-</v>
      </c>
      <c r="S42" s="10" t="str">
        <f>IF(ISNUMBER(Balancing!U42),IF(LOWER(Balancing!$D42)="pa",$C42*SQRT(Balancing!U42),Balancing!U42*$C42)/$D42,"-")</f>
        <v>-</v>
      </c>
      <c r="T42" s="10" t="str">
        <f>IF(ISNUMBER(Balancing!V42),IF(LOWER(Balancing!$D42)="pa",$C42*SQRT(Balancing!V42),Balancing!V42*$C42)/$D42,"-")</f>
        <v>-</v>
      </c>
      <c r="U42" s="10" t="str">
        <f>IF(ISNUMBER(Balancing!W42),IF(LOWER(Balancing!$D42)="pa",$C42*SQRT(Balancing!W42),Balancing!W42*$C42)/$D42,"-")</f>
        <v>-</v>
      </c>
      <c r="V42" s="10" t="str">
        <f>IF(ISNUMBER(Balancing!X42),IF(LOWER(Balancing!$D42)="pa",$C42*SQRT(Balancing!X42),Balancing!X42*$C42)/$D42,"-")</f>
        <v>-</v>
      </c>
      <c r="W42" s="10" t="str">
        <f>IF(ISNUMBER(Balancing!Y42),IF(LOWER(Balancing!$D42)="pa",$C42*SQRT(Balancing!Y42),Balancing!Y42*$C42)/$D42,"-")</f>
        <v>-</v>
      </c>
      <c r="X42" s="10" t="str">
        <f>IF(ISNUMBER(Balancing!Z42),IF(LOWER(Balancing!$D42)="pa",$C42*SQRT(Balancing!Z42),Balancing!Z42*$C42)/$D42,"-")</f>
        <v>-</v>
      </c>
      <c r="Y42" s="10" t="str">
        <f>IF(ISNUMBER(Balancing!AA42),IF(LOWER(Balancing!$D42)="pa",$C42*SQRT(Balancing!AA42),Balancing!AA42*$C42)/$D42,"-")</f>
        <v>-</v>
      </c>
      <c r="Z42" s="10" t="str">
        <f>IF(ISNUMBER(Balancing!AB42),IF(LOWER(Balancing!$D42)="pa",$C42*SQRT(Balancing!AB42),Balancing!AB42*$C42)/$D42,"-")</f>
        <v>-</v>
      </c>
      <c r="AA42" s="10" t="str">
        <f>IF(ISNUMBER(Balancing!AC42),IF(LOWER(Balancing!$D42)="pa",$C42*SQRT(Balancing!AC42),Balancing!AC42*$C42)/$D42,"-")</f>
        <v>-</v>
      </c>
      <c r="AB42" s="10" t="str">
        <f>IF(ISNUMBER(Balancing!AD42),IF(LOWER(Balancing!$D42)="pa",$C42*SQRT(Balancing!AD42),Balancing!AD42*$C42)/$D42,"-")</f>
        <v>-</v>
      </c>
      <c r="AC42" s="10" t="str">
        <f>IF(ISNUMBER(Balancing!AE42),IF(LOWER(Balancing!$D42)="pa",$C42*SQRT(Balancing!AE42),Balancing!AE42*$C42)/$D42,"-")</f>
        <v>-</v>
      </c>
      <c r="AD42" s="10" t="str">
        <f>IF(ISNUMBER(Balancing!AF42),IF(LOWER(Balancing!$D42)="pa",$C42*SQRT(Balancing!AF42),Balancing!AF42*$C42)/$D42,"-")</f>
        <v>-</v>
      </c>
      <c r="AE42" s="10" t="str">
        <f>IF(ISNUMBER(Balancing!AG42),IF(LOWER(Balancing!$D42)="pa",$C42*SQRT(Balancing!AG42),Balancing!AG42*$C42)/$D42,"-")</f>
        <v>-</v>
      </c>
      <c r="AF42" s="10" t="str">
        <f>IF(ISNUMBER(Balancing!AH42),IF(LOWER(Balancing!$D42)="pa",$C42*SQRT(Balancing!AH42),Balancing!AH42*$C42)/$D42,"-")</f>
        <v>-</v>
      </c>
      <c r="AG42" s="10" t="str">
        <f>IF(ISNUMBER(Balancing!AI42),IF(LOWER(Balancing!$D42)="pa",$C42*SQRT(Balancing!AI42),Balancing!AI42*$C42)/$D42,"-")</f>
        <v>-</v>
      </c>
      <c r="AH42" s="10" t="str">
        <f>IF(ISNUMBER(Balancing!AJ42),IF(LOWER(Balancing!$D42)="pa",$C42*SQRT(Balancing!AJ42),Balancing!AJ42*$C42)/$D42,"-")</f>
        <v>-</v>
      </c>
      <c r="AI42" s="10" t="str">
        <f>IF(ISNUMBER(Balancing!AK42),IF(LOWER(Balancing!$D42)="pa",$C42*SQRT(Balancing!AK42),Balancing!AK42*$C42)/$D42,"-")</f>
        <v>-</v>
      </c>
      <c r="AJ42" s="15" t="str">
        <f>IF(ISNUMBER(Balancing!AL42),IF(LOWER(Balancing!$D42)="pa",$C42*SQRT(Balancing!AL42),Balancing!AL42*$C42)/$D42,"-")</f>
        <v>-</v>
      </c>
      <c r="AL42" s="10" t="b">
        <f>COUNTA(Balancing!D42:AM42)=0</f>
        <v>1</v>
      </c>
      <c r="AM42" s="10" t="b">
        <f>AND(OR(Balancing!D42="",ISERROR(C42)),OR(Balancing!D42&lt;&gt;"",Balancing!E42&lt;&gt;"",Balancing!H42&lt;&gt;""))</f>
        <v>0</v>
      </c>
      <c r="AN42" s="10" t="str">
        <f>IF(ISNUMBER(INDEX(Balancing!$H$2:$AM$51,$B42,$E$65-1)),$B42,"-")</f>
        <v>-</v>
      </c>
      <c r="AO42" s="10" t="str">
        <f>IF(ISNUMBER(INDEX(Balancing!$H$2:$AM$51,$B42,$E$65)),$B42,"-")</f>
        <v>-</v>
      </c>
      <c r="AP42" s="10" t="str">
        <f t="shared" si="7"/>
        <v>-</v>
      </c>
      <c r="AQ42" t="str">
        <f>IF(ISNUMBER(AO42),IF(ABS(INDEX($F$2:$AJ$51,$B42,$E$65)-INDEX($F$2:$AJ$51,E$66,$E$65))/INDEX($F$2:$AJ$51,E$66,$E$65)&gt;General!B$9,B42,"ok"),"-")</f>
        <v>-</v>
      </c>
      <c r="AR42" t="str">
        <f t="shared" si="10"/>
        <v>-</v>
      </c>
      <c r="AS42" t="str">
        <f t="shared" si="11"/>
        <v>-</v>
      </c>
      <c r="AT42" s="10" t="str">
        <f>IF(ISNUMBER(Balancing!H42),B42,"-")</f>
        <v>-</v>
      </c>
      <c r="AU42" t="e">
        <f t="shared" si="12"/>
        <v>#VALUE!</v>
      </c>
      <c r="AV42" s="10" t="e">
        <f>IF(E$97,"OK!",IF(LOWER(Balancing!$D42)="pa",(AU42/C42)^2,AU42/$C42))</f>
        <v>#VALUE!</v>
      </c>
      <c r="AW42" s="19" t="str">
        <f>IF(AL42,".",IF(AM42,BV$24,IF(AND(Balancing!F42="",OR(General!B$8="pa",Balancing!D42="pa")),BV$25,IF(Balancing!E42="",BV$26,IF(E$65=0,BV$27,IF(B42=E$94,BV$28,IF(AND(B42=E$94-1,B42=E$91,AO42&lt;&gt;B42),BV$31,"")))))))</f>
        <v>.</v>
      </c>
      <c r="AX42" s="8" t="str">
        <f t="shared" si="13"/>
        <v>.</v>
      </c>
      <c r="AY42" s="7" t="str">
        <f t="shared" si="14"/>
        <v>.</v>
      </c>
      <c r="BA42" s="21">
        <f t="shared" si="8"/>
        <v>0</v>
      </c>
      <c r="BB42" s="21" t="e">
        <f t="shared" si="9"/>
        <v>#VALUE!</v>
      </c>
      <c r="BC42" t="str">
        <f t="shared" si="15"/>
        <v>-</v>
      </c>
      <c r="BD42" t="str">
        <f t="shared" si="16"/>
        <v>-</v>
      </c>
    </row>
    <row r="43" spans="2:83" x14ac:dyDescent="0.25">
      <c r="B43">
        <v>42</v>
      </c>
      <c r="C43" t="e">
        <f>IF(LOWER(Balancing!D43)="pa",Balancing!F43/1000,INDEX($E$98:$E$103,MATCH(LOWER(Balancing!D43),$D$98:$D$103,0)))</f>
        <v>#N/A</v>
      </c>
      <c r="D43" s="10">
        <f>IF(LOWER(General!$B$8)="pa",Balancing!$F43*SQRT(Balancing!E43)/1000,Balancing!E43*E$104)</f>
        <v>0</v>
      </c>
      <c r="E43" s="10" t="str">
        <f>IF(ISNUMBER(Balancing!H43),IF(LOWER(Balancing!$D43)="pa",$C43*SQRT(Balancing!H43),Balancing!H43*$C43),"-")</f>
        <v>-</v>
      </c>
      <c r="F43" s="14" t="str">
        <f>IF(ISNUMBER(Balancing!H43),IF(LOWER(Balancing!$D43)="pa",$C43*SQRT(Balancing!H43),Balancing!H43*$C43)/$D43,"-")</f>
        <v>-</v>
      </c>
      <c r="G43" s="10" t="str">
        <f>IF(ISNUMBER(Balancing!I43),IF(LOWER(Balancing!$D43)="pa",$C43*SQRT(Balancing!I43),Balancing!I43*$C43)/$D43,"-")</f>
        <v>-</v>
      </c>
      <c r="H43" s="10" t="str">
        <f>IF(ISNUMBER(Balancing!J43),IF(LOWER(Balancing!$D43)="pa",$C43*SQRT(Balancing!J43),Balancing!J43*$C43)/$D43,"-")</f>
        <v>-</v>
      </c>
      <c r="I43" s="10" t="str">
        <f>IF(ISNUMBER(Balancing!K43),IF(LOWER(Balancing!$D43)="pa",$C43*SQRT(Balancing!K43),Balancing!K43*$C43)/$D43,"-")</f>
        <v>-</v>
      </c>
      <c r="J43" s="10" t="str">
        <f>IF(ISNUMBER(Balancing!L43),IF(LOWER(Balancing!$D43)="pa",$C43*SQRT(Balancing!L43),Balancing!L43*$C43)/$D43,"-")</f>
        <v>-</v>
      </c>
      <c r="K43" s="10" t="str">
        <f>IF(ISNUMBER(Balancing!M43),IF(LOWER(Balancing!$D43)="pa",$C43*SQRT(Balancing!M43),Balancing!M43*$C43)/$D43,"-")</f>
        <v>-</v>
      </c>
      <c r="L43" s="10" t="str">
        <f>IF(ISNUMBER(Balancing!N43),IF(LOWER(Balancing!$D43)="pa",$C43*SQRT(Balancing!N43),Balancing!N43*$C43)/$D43,"-")</f>
        <v>-</v>
      </c>
      <c r="M43" s="10" t="str">
        <f>IF(ISNUMBER(Balancing!O43),IF(LOWER(Balancing!$D43)="pa",$C43*SQRT(Balancing!O43),Balancing!O43*$C43)/$D43,"-")</f>
        <v>-</v>
      </c>
      <c r="N43" s="10" t="str">
        <f>IF(ISNUMBER(Balancing!P43),IF(LOWER(Balancing!$D43)="pa",$C43*SQRT(Balancing!P43),Balancing!P43*$C43)/$D43,"-")</f>
        <v>-</v>
      </c>
      <c r="O43" s="10" t="str">
        <f>IF(ISNUMBER(Balancing!Q43),IF(LOWER(Balancing!$D43)="pa",$C43*SQRT(Balancing!Q43),Balancing!Q43*$C43)/$D43,"-")</f>
        <v>-</v>
      </c>
      <c r="P43" s="10" t="str">
        <f>IF(ISNUMBER(Balancing!R43),IF(LOWER(Balancing!$D43)="pa",$C43*SQRT(Balancing!R43),Balancing!R43*$C43)/$D43,"-")</f>
        <v>-</v>
      </c>
      <c r="Q43" s="10" t="str">
        <f>IF(ISNUMBER(Balancing!S43),IF(LOWER(Balancing!$D43)="pa",$C43*SQRT(Balancing!S43),Balancing!S43*$C43)/$D43,"-")</f>
        <v>-</v>
      </c>
      <c r="R43" s="10" t="str">
        <f>IF(ISNUMBER(Balancing!T43),IF(LOWER(Balancing!$D43)="pa",$C43*SQRT(Balancing!T43),Balancing!T43*$C43)/$D43,"-")</f>
        <v>-</v>
      </c>
      <c r="S43" s="10" t="str">
        <f>IF(ISNUMBER(Balancing!U43),IF(LOWER(Balancing!$D43)="pa",$C43*SQRT(Balancing!U43),Balancing!U43*$C43)/$D43,"-")</f>
        <v>-</v>
      </c>
      <c r="T43" s="10" t="str">
        <f>IF(ISNUMBER(Balancing!V43),IF(LOWER(Balancing!$D43)="pa",$C43*SQRT(Balancing!V43),Balancing!V43*$C43)/$D43,"-")</f>
        <v>-</v>
      </c>
      <c r="U43" s="10" t="str">
        <f>IF(ISNUMBER(Balancing!W43),IF(LOWER(Balancing!$D43)="pa",$C43*SQRT(Balancing!W43),Balancing!W43*$C43)/$D43,"-")</f>
        <v>-</v>
      </c>
      <c r="V43" s="10" t="str">
        <f>IF(ISNUMBER(Balancing!X43),IF(LOWER(Balancing!$D43)="pa",$C43*SQRT(Balancing!X43),Balancing!X43*$C43)/$D43,"-")</f>
        <v>-</v>
      </c>
      <c r="W43" s="10" t="str">
        <f>IF(ISNUMBER(Balancing!Y43),IF(LOWER(Balancing!$D43)="pa",$C43*SQRT(Balancing!Y43),Balancing!Y43*$C43)/$D43,"-")</f>
        <v>-</v>
      </c>
      <c r="X43" s="10" t="str">
        <f>IF(ISNUMBER(Balancing!Z43),IF(LOWER(Balancing!$D43)="pa",$C43*SQRT(Balancing!Z43),Balancing!Z43*$C43)/$D43,"-")</f>
        <v>-</v>
      </c>
      <c r="Y43" s="10" t="str">
        <f>IF(ISNUMBER(Balancing!AA43),IF(LOWER(Balancing!$D43)="pa",$C43*SQRT(Balancing!AA43),Balancing!AA43*$C43)/$D43,"-")</f>
        <v>-</v>
      </c>
      <c r="Z43" s="10" t="str">
        <f>IF(ISNUMBER(Balancing!AB43),IF(LOWER(Balancing!$D43)="pa",$C43*SQRT(Balancing!AB43),Balancing!AB43*$C43)/$D43,"-")</f>
        <v>-</v>
      </c>
      <c r="AA43" s="10" t="str">
        <f>IF(ISNUMBER(Balancing!AC43),IF(LOWER(Balancing!$D43)="pa",$C43*SQRT(Balancing!AC43),Balancing!AC43*$C43)/$D43,"-")</f>
        <v>-</v>
      </c>
      <c r="AB43" s="10" t="str">
        <f>IF(ISNUMBER(Balancing!AD43),IF(LOWER(Balancing!$D43)="pa",$C43*SQRT(Balancing!AD43),Balancing!AD43*$C43)/$D43,"-")</f>
        <v>-</v>
      </c>
      <c r="AC43" s="10" t="str">
        <f>IF(ISNUMBER(Balancing!AE43),IF(LOWER(Balancing!$D43)="pa",$C43*SQRT(Balancing!AE43),Balancing!AE43*$C43)/$D43,"-")</f>
        <v>-</v>
      </c>
      <c r="AD43" s="10" t="str">
        <f>IF(ISNUMBER(Balancing!AF43),IF(LOWER(Balancing!$D43)="pa",$C43*SQRT(Balancing!AF43),Balancing!AF43*$C43)/$D43,"-")</f>
        <v>-</v>
      </c>
      <c r="AE43" s="10" t="str">
        <f>IF(ISNUMBER(Balancing!AG43),IF(LOWER(Balancing!$D43)="pa",$C43*SQRT(Balancing!AG43),Balancing!AG43*$C43)/$D43,"-")</f>
        <v>-</v>
      </c>
      <c r="AF43" s="10" t="str">
        <f>IF(ISNUMBER(Balancing!AH43),IF(LOWER(Balancing!$D43)="pa",$C43*SQRT(Balancing!AH43),Balancing!AH43*$C43)/$D43,"-")</f>
        <v>-</v>
      </c>
      <c r="AG43" s="10" t="str">
        <f>IF(ISNUMBER(Balancing!AI43),IF(LOWER(Balancing!$D43)="pa",$C43*SQRT(Balancing!AI43),Balancing!AI43*$C43)/$D43,"-")</f>
        <v>-</v>
      </c>
      <c r="AH43" s="10" t="str">
        <f>IF(ISNUMBER(Balancing!AJ43),IF(LOWER(Balancing!$D43)="pa",$C43*SQRT(Balancing!AJ43),Balancing!AJ43*$C43)/$D43,"-")</f>
        <v>-</v>
      </c>
      <c r="AI43" s="10" t="str">
        <f>IF(ISNUMBER(Balancing!AK43),IF(LOWER(Balancing!$D43)="pa",$C43*SQRT(Balancing!AK43),Balancing!AK43*$C43)/$D43,"-")</f>
        <v>-</v>
      </c>
      <c r="AJ43" s="15" t="str">
        <f>IF(ISNUMBER(Balancing!AL43),IF(LOWER(Balancing!$D43)="pa",$C43*SQRT(Balancing!AL43),Balancing!AL43*$C43)/$D43,"-")</f>
        <v>-</v>
      </c>
      <c r="AL43" s="10" t="b">
        <f>COUNTA(Balancing!D43:AM43)=0</f>
        <v>1</v>
      </c>
      <c r="AM43" s="10" t="b">
        <f>AND(OR(Balancing!D43="",ISERROR(C43)),OR(Balancing!D43&lt;&gt;"",Balancing!E43&lt;&gt;"",Balancing!H43&lt;&gt;""))</f>
        <v>0</v>
      </c>
      <c r="AN43" s="10" t="str">
        <f>IF(ISNUMBER(INDEX(Balancing!$H$2:$AM$51,$B43,$E$65-1)),$B43,"-")</f>
        <v>-</v>
      </c>
      <c r="AO43" s="10" t="str">
        <f>IF(ISNUMBER(INDEX(Balancing!$H$2:$AM$51,$B43,$E$65)),$B43,"-")</f>
        <v>-</v>
      </c>
      <c r="AP43" s="10" t="str">
        <f t="shared" si="7"/>
        <v>-</v>
      </c>
      <c r="AQ43" t="str">
        <f>IF(ISNUMBER(AO43),IF(ABS(INDEX($F$2:$AJ$51,$B43,$E$65)-INDEX($F$2:$AJ$51,E$66,$E$65))/INDEX($F$2:$AJ$51,E$66,$E$65)&gt;General!B$9,B43,"ok"),"-")</f>
        <v>-</v>
      </c>
      <c r="AR43" t="str">
        <f t="shared" si="10"/>
        <v>-</v>
      </c>
      <c r="AS43" t="str">
        <f t="shared" si="11"/>
        <v>-</v>
      </c>
      <c r="AT43" s="10" t="str">
        <f>IF(ISNUMBER(Balancing!H43),B43,"-")</f>
        <v>-</v>
      </c>
      <c r="AU43" t="e">
        <f t="shared" si="12"/>
        <v>#VALUE!</v>
      </c>
      <c r="AV43" s="10" t="e">
        <f>IF(E$97,"OK!",IF(LOWER(Balancing!$D43)="pa",(AU43/C43)^2,AU43/$C43))</f>
        <v>#VALUE!</v>
      </c>
      <c r="AW43" s="19" t="str">
        <f>IF(AL43,".",IF(AM43,BV$24,IF(AND(Balancing!F43="",OR(General!B$8="pa",Balancing!D43="pa")),BV$25,IF(Balancing!E43="",BV$26,IF(E$65=0,BV$27,IF(B43=E$94,BV$28,IF(AND(B43=E$94-1,B43=E$91,AO43&lt;&gt;B43),BV$31,"")))))))</f>
        <v>.</v>
      </c>
      <c r="AX43" s="8" t="str">
        <f t="shared" si="13"/>
        <v>.</v>
      </c>
      <c r="AY43" s="7" t="str">
        <f t="shared" si="14"/>
        <v>.</v>
      </c>
      <c r="BA43" s="21">
        <f t="shared" si="8"/>
        <v>0</v>
      </c>
      <c r="BB43" s="21" t="e">
        <f t="shared" si="9"/>
        <v>#VALUE!</v>
      </c>
      <c r="BC43" t="str">
        <f t="shared" si="15"/>
        <v>-</v>
      </c>
      <c r="BD43" t="str">
        <f t="shared" si="16"/>
        <v>-</v>
      </c>
    </row>
    <row r="44" spans="2:83" x14ac:dyDescent="0.25">
      <c r="B44">
        <v>43</v>
      </c>
      <c r="C44" t="e">
        <f>IF(LOWER(Balancing!D44)="pa",Balancing!F44/1000,INDEX($E$98:$E$103,MATCH(LOWER(Balancing!D44),$D$98:$D$103,0)))</f>
        <v>#N/A</v>
      </c>
      <c r="D44" s="10">
        <f>IF(LOWER(General!$B$8)="pa",Balancing!$F44*SQRT(Balancing!E44)/1000,Balancing!E44*E$104)</f>
        <v>0</v>
      </c>
      <c r="E44" s="10" t="str">
        <f>IF(ISNUMBER(Balancing!H44),IF(LOWER(Balancing!$D44)="pa",$C44*SQRT(Balancing!H44),Balancing!H44*$C44),"-")</f>
        <v>-</v>
      </c>
      <c r="F44" s="14" t="str">
        <f>IF(ISNUMBER(Balancing!H44),IF(LOWER(Balancing!$D44)="pa",$C44*SQRT(Balancing!H44),Balancing!H44*$C44)/$D44,"-")</f>
        <v>-</v>
      </c>
      <c r="G44" s="10" t="str">
        <f>IF(ISNUMBER(Balancing!I44),IF(LOWER(Balancing!$D44)="pa",$C44*SQRT(Balancing!I44),Balancing!I44*$C44)/$D44,"-")</f>
        <v>-</v>
      </c>
      <c r="H44" s="10" t="str">
        <f>IF(ISNUMBER(Balancing!J44),IF(LOWER(Balancing!$D44)="pa",$C44*SQRT(Balancing!J44),Balancing!J44*$C44)/$D44,"-")</f>
        <v>-</v>
      </c>
      <c r="I44" s="10" t="str">
        <f>IF(ISNUMBER(Balancing!K44),IF(LOWER(Balancing!$D44)="pa",$C44*SQRT(Balancing!K44),Balancing!K44*$C44)/$D44,"-")</f>
        <v>-</v>
      </c>
      <c r="J44" s="10" t="str">
        <f>IF(ISNUMBER(Balancing!L44),IF(LOWER(Balancing!$D44)="pa",$C44*SQRT(Balancing!L44),Balancing!L44*$C44)/$D44,"-")</f>
        <v>-</v>
      </c>
      <c r="K44" s="10" t="str">
        <f>IF(ISNUMBER(Balancing!M44),IF(LOWER(Balancing!$D44)="pa",$C44*SQRT(Balancing!M44),Balancing!M44*$C44)/$D44,"-")</f>
        <v>-</v>
      </c>
      <c r="L44" s="10" t="str">
        <f>IF(ISNUMBER(Balancing!N44),IF(LOWER(Balancing!$D44)="pa",$C44*SQRT(Balancing!N44),Balancing!N44*$C44)/$D44,"-")</f>
        <v>-</v>
      </c>
      <c r="M44" s="10" t="str">
        <f>IF(ISNUMBER(Balancing!O44),IF(LOWER(Balancing!$D44)="pa",$C44*SQRT(Balancing!O44),Balancing!O44*$C44)/$D44,"-")</f>
        <v>-</v>
      </c>
      <c r="N44" s="10" t="str">
        <f>IF(ISNUMBER(Balancing!P44),IF(LOWER(Balancing!$D44)="pa",$C44*SQRT(Balancing!P44),Balancing!P44*$C44)/$D44,"-")</f>
        <v>-</v>
      </c>
      <c r="O44" s="10" t="str">
        <f>IF(ISNUMBER(Balancing!Q44),IF(LOWER(Balancing!$D44)="pa",$C44*SQRT(Balancing!Q44),Balancing!Q44*$C44)/$D44,"-")</f>
        <v>-</v>
      </c>
      <c r="P44" s="10" t="str">
        <f>IF(ISNUMBER(Balancing!R44),IF(LOWER(Balancing!$D44)="pa",$C44*SQRT(Balancing!R44),Balancing!R44*$C44)/$D44,"-")</f>
        <v>-</v>
      </c>
      <c r="Q44" s="10" t="str">
        <f>IF(ISNUMBER(Balancing!S44),IF(LOWER(Balancing!$D44)="pa",$C44*SQRT(Balancing!S44),Balancing!S44*$C44)/$D44,"-")</f>
        <v>-</v>
      </c>
      <c r="R44" s="10" t="str">
        <f>IF(ISNUMBER(Balancing!T44),IF(LOWER(Balancing!$D44)="pa",$C44*SQRT(Balancing!T44),Balancing!T44*$C44)/$D44,"-")</f>
        <v>-</v>
      </c>
      <c r="S44" s="10" t="str">
        <f>IF(ISNUMBER(Balancing!U44),IF(LOWER(Balancing!$D44)="pa",$C44*SQRT(Balancing!U44),Balancing!U44*$C44)/$D44,"-")</f>
        <v>-</v>
      </c>
      <c r="T44" s="10" t="str">
        <f>IF(ISNUMBER(Balancing!V44),IF(LOWER(Balancing!$D44)="pa",$C44*SQRT(Balancing!V44),Balancing!V44*$C44)/$D44,"-")</f>
        <v>-</v>
      </c>
      <c r="U44" s="10" t="str">
        <f>IF(ISNUMBER(Balancing!W44),IF(LOWER(Balancing!$D44)="pa",$C44*SQRT(Balancing!W44),Balancing!W44*$C44)/$D44,"-")</f>
        <v>-</v>
      </c>
      <c r="V44" s="10" t="str">
        <f>IF(ISNUMBER(Balancing!X44),IF(LOWER(Balancing!$D44)="pa",$C44*SQRT(Balancing!X44),Balancing!X44*$C44)/$D44,"-")</f>
        <v>-</v>
      </c>
      <c r="W44" s="10" t="str">
        <f>IF(ISNUMBER(Balancing!Y44),IF(LOWER(Balancing!$D44)="pa",$C44*SQRT(Balancing!Y44),Balancing!Y44*$C44)/$D44,"-")</f>
        <v>-</v>
      </c>
      <c r="X44" s="10" t="str">
        <f>IF(ISNUMBER(Balancing!Z44),IF(LOWER(Balancing!$D44)="pa",$C44*SQRT(Balancing!Z44),Balancing!Z44*$C44)/$D44,"-")</f>
        <v>-</v>
      </c>
      <c r="Y44" s="10" t="str">
        <f>IF(ISNUMBER(Balancing!AA44),IF(LOWER(Balancing!$D44)="pa",$C44*SQRT(Balancing!AA44),Balancing!AA44*$C44)/$D44,"-")</f>
        <v>-</v>
      </c>
      <c r="Z44" s="10" t="str">
        <f>IF(ISNUMBER(Balancing!AB44),IF(LOWER(Balancing!$D44)="pa",$C44*SQRT(Balancing!AB44),Balancing!AB44*$C44)/$D44,"-")</f>
        <v>-</v>
      </c>
      <c r="AA44" s="10" t="str">
        <f>IF(ISNUMBER(Balancing!AC44),IF(LOWER(Balancing!$D44)="pa",$C44*SQRT(Balancing!AC44),Balancing!AC44*$C44)/$D44,"-")</f>
        <v>-</v>
      </c>
      <c r="AB44" s="10" t="str">
        <f>IF(ISNUMBER(Balancing!AD44),IF(LOWER(Balancing!$D44)="pa",$C44*SQRT(Balancing!AD44),Balancing!AD44*$C44)/$D44,"-")</f>
        <v>-</v>
      </c>
      <c r="AC44" s="10" t="str">
        <f>IF(ISNUMBER(Balancing!AE44),IF(LOWER(Balancing!$D44)="pa",$C44*SQRT(Balancing!AE44),Balancing!AE44*$C44)/$D44,"-")</f>
        <v>-</v>
      </c>
      <c r="AD44" s="10" t="str">
        <f>IF(ISNUMBER(Balancing!AF44),IF(LOWER(Balancing!$D44)="pa",$C44*SQRT(Balancing!AF44),Balancing!AF44*$C44)/$D44,"-")</f>
        <v>-</v>
      </c>
      <c r="AE44" s="10" t="str">
        <f>IF(ISNUMBER(Balancing!AG44),IF(LOWER(Balancing!$D44)="pa",$C44*SQRT(Balancing!AG44),Balancing!AG44*$C44)/$D44,"-")</f>
        <v>-</v>
      </c>
      <c r="AF44" s="10" t="str">
        <f>IF(ISNUMBER(Balancing!AH44),IF(LOWER(Balancing!$D44)="pa",$C44*SQRT(Balancing!AH44),Balancing!AH44*$C44)/$D44,"-")</f>
        <v>-</v>
      </c>
      <c r="AG44" s="10" t="str">
        <f>IF(ISNUMBER(Balancing!AI44),IF(LOWER(Balancing!$D44)="pa",$C44*SQRT(Balancing!AI44),Balancing!AI44*$C44)/$D44,"-")</f>
        <v>-</v>
      </c>
      <c r="AH44" s="10" t="str">
        <f>IF(ISNUMBER(Balancing!AJ44),IF(LOWER(Balancing!$D44)="pa",$C44*SQRT(Balancing!AJ44),Balancing!AJ44*$C44)/$D44,"-")</f>
        <v>-</v>
      </c>
      <c r="AI44" s="10" t="str">
        <f>IF(ISNUMBER(Balancing!AK44),IF(LOWER(Balancing!$D44)="pa",$C44*SQRT(Balancing!AK44),Balancing!AK44*$C44)/$D44,"-")</f>
        <v>-</v>
      </c>
      <c r="AJ44" s="15" t="str">
        <f>IF(ISNUMBER(Balancing!AL44),IF(LOWER(Balancing!$D44)="pa",$C44*SQRT(Balancing!AL44),Balancing!AL44*$C44)/$D44,"-")</f>
        <v>-</v>
      </c>
      <c r="AL44" s="10" t="b">
        <f>COUNTA(Balancing!D44:AM44)=0</f>
        <v>1</v>
      </c>
      <c r="AM44" s="10" t="b">
        <f>AND(OR(Balancing!D44="",ISERROR(C44)),OR(Balancing!D44&lt;&gt;"",Balancing!E44&lt;&gt;"",Balancing!H44&lt;&gt;""))</f>
        <v>0</v>
      </c>
      <c r="AN44" s="10" t="str">
        <f>IF(ISNUMBER(INDEX(Balancing!$H$2:$AM$51,$B44,$E$65-1)),$B44,"-")</f>
        <v>-</v>
      </c>
      <c r="AO44" s="10" t="str">
        <f>IF(ISNUMBER(INDEX(Balancing!$H$2:$AM$51,$B44,$E$65)),$B44,"-")</f>
        <v>-</v>
      </c>
      <c r="AP44" s="10" t="str">
        <f t="shared" si="7"/>
        <v>-</v>
      </c>
      <c r="AQ44" t="str">
        <f>IF(ISNUMBER(AO44),IF(ABS(INDEX($F$2:$AJ$51,$B44,$E$65)-INDEX($F$2:$AJ$51,E$66,$E$65))/INDEX($F$2:$AJ$51,E$66,$E$65)&gt;General!B$9,B44,"ok"),"-")</f>
        <v>-</v>
      </c>
      <c r="AR44" t="str">
        <f t="shared" si="10"/>
        <v>-</v>
      </c>
      <c r="AS44" t="str">
        <f t="shared" si="11"/>
        <v>-</v>
      </c>
      <c r="AT44" s="10" t="str">
        <f>IF(ISNUMBER(Balancing!H44),B44,"-")</f>
        <v>-</v>
      </c>
      <c r="AU44" t="e">
        <f t="shared" si="12"/>
        <v>#VALUE!</v>
      </c>
      <c r="AV44" s="10" t="e">
        <f>IF(E$97,"OK!",IF(LOWER(Balancing!$D44)="pa",(AU44/C44)^2,AU44/$C44))</f>
        <v>#VALUE!</v>
      </c>
      <c r="AW44" s="19" t="str">
        <f>IF(AL44,".",IF(AM44,BV$24,IF(AND(Balancing!F44="",OR(General!B$8="pa",Balancing!D44="pa")),BV$25,IF(Balancing!E44="",BV$26,IF(E$65=0,BV$27,IF(B44=E$94,BV$28,IF(AND(B44=E$94-1,B44=E$91,AO44&lt;&gt;B44),BV$31,"")))))))</f>
        <v>.</v>
      </c>
      <c r="AX44" s="8" t="str">
        <f t="shared" si="13"/>
        <v>.</v>
      </c>
      <c r="AY44" s="7" t="str">
        <f t="shared" si="14"/>
        <v>.</v>
      </c>
      <c r="BA44" s="21">
        <f t="shared" si="8"/>
        <v>0</v>
      </c>
      <c r="BB44" s="21" t="e">
        <f t="shared" si="9"/>
        <v>#VALUE!</v>
      </c>
      <c r="BC44" t="str">
        <f t="shared" si="15"/>
        <v>-</v>
      </c>
      <c r="BD44" t="str">
        <f t="shared" si="16"/>
        <v>-</v>
      </c>
    </row>
    <row r="45" spans="2:83" x14ac:dyDescent="0.25">
      <c r="B45">
        <v>44</v>
      </c>
      <c r="C45" t="e">
        <f>IF(LOWER(Balancing!D45)="pa",Balancing!F45/1000,INDEX($E$98:$E$103,MATCH(LOWER(Balancing!D45),$D$98:$D$103,0)))</f>
        <v>#N/A</v>
      </c>
      <c r="D45" s="10">
        <f>IF(LOWER(General!$B$8)="pa",Balancing!$F45*SQRT(Balancing!E45)/1000,Balancing!E45*E$104)</f>
        <v>0</v>
      </c>
      <c r="E45" s="10" t="str">
        <f>IF(ISNUMBER(Balancing!H45),IF(LOWER(Balancing!$D45)="pa",$C45*SQRT(Balancing!H45),Balancing!H45*$C45),"-")</f>
        <v>-</v>
      </c>
      <c r="F45" s="14" t="str">
        <f>IF(ISNUMBER(Balancing!H45),IF(LOWER(Balancing!$D45)="pa",$C45*SQRT(Balancing!H45),Balancing!H45*$C45)/$D45,"-")</f>
        <v>-</v>
      </c>
      <c r="G45" s="10" t="str">
        <f>IF(ISNUMBER(Balancing!I45),IF(LOWER(Balancing!$D45)="pa",$C45*SQRT(Balancing!I45),Balancing!I45*$C45)/$D45,"-")</f>
        <v>-</v>
      </c>
      <c r="H45" s="10" t="str">
        <f>IF(ISNUMBER(Balancing!J45),IF(LOWER(Balancing!$D45)="pa",$C45*SQRT(Balancing!J45),Balancing!J45*$C45)/$D45,"-")</f>
        <v>-</v>
      </c>
      <c r="I45" s="10" t="str">
        <f>IF(ISNUMBER(Balancing!K45),IF(LOWER(Balancing!$D45)="pa",$C45*SQRT(Balancing!K45),Balancing!K45*$C45)/$D45,"-")</f>
        <v>-</v>
      </c>
      <c r="J45" s="10" t="str">
        <f>IF(ISNUMBER(Balancing!L45),IF(LOWER(Balancing!$D45)="pa",$C45*SQRT(Balancing!L45),Balancing!L45*$C45)/$D45,"-")</f>
        <v>-</v>
      </c>
      <c r="K45" s="10" t="str">
        <f>IF(ISNUMBER(Balancing!M45),IF(LOWER(Balancing!$D45)="pa",$C45*SQRT(Balancing!M45),Balancing!M45*$C45)/$D45,"-")</f>
        <v>-</v>
      </c>
      <c r="L45" s="10" t="str">
        <f>IF(ISNUMBER(Balancing!N45),IF(LOWER(Balancing!$D45)="pa",$C45*SQRT(Balancing!N45),Balancing!N45*$C45)/$D45,"-")</f>
        <v>-</v>
      </c>
      <c r="M45" s="10" t="str">
        <f>IF(ISNUMBER(Balancing!O45),IF(LOWER(Balancing!$D45)="pa",$C45*SQRT(Balancing!O45),Balancing!O45*$C45)/$D45,"-")</f>
        <v>-</v>
      </c>
      <c r="N45" s="10" t="str">
        <f>IF(ISNUMBER(Balancing!P45),IF(LOWER(Balancing!$D45)="pa",$C45*SQRT(Balancing!P45),Balancing!P45*$C45)/$D45,"-")</f>
        <v>-</v>
      </c>
      <c r="O45" s="10" t="str">
        <f>IF(ISNUMBER(Balancing!Q45),IF(LOWER(Balancing!$D45)="pa",$C45*SQRT(Balancing!Q45),Balancing!Q45*$C45)/$D45,"-")</f>
        <v>-</v>
      </c>
      <c r="P45" s="10" t="str">
        <f>IF(ISNUMBER(Balancing!R45),IF(LOWER(Balancing!$D45)="pa",$C45*SQRT(Balancing!R45),Balancing!R45*$C45)/$D45,"-")</f>
        <v>-</v>
      </c>
      <c r="Q45" s="10" t="str">
        <f>IF(ISNUMBER(Balancing!S45),IF(LOWER(Balancing!$D45)="pa",$C45*SQRT(Balancing!S45),Balancing!S45*$C45)/$D45,"-")</f>
        <v>-</v>
      </c>
      <c r="R45" s="10" t="str">
        <f>IF(ISNUMBER(Balancing!T45),IF(LOWER(Balancing!$D45)="pa",$C45*SQRT(Balancing!T45),Balancing!T45*$C45)/$D45,"-")</f>
        <v>-</v>
      </c>
      <c r="S45" s="10" t="str">
        <f>IF(ISNUMBER(Balancing!U45),IF(LOWER(Balancing!$D45)="pa",$C45*SQRT(Balancing!U45),Balancing!U45*$C45)/$D45,"-")</f>
        <v>-</v>
      </c>
      <c r="T45" s="10" t="str">
        <f>IF(ISNUMBER(Balancing!V45),IF(LOWER(Balancing!$D45)="pa",$C45*SQRT(Balancing!V45),Balancing!V45*$C45)/$D45,"-")</f>
        <v>-</v>
      </c>
      <c r="U45" s="10" t="str">
        <f>IF(ISNUMBER(Balancing!W45),IF(LOWER(Balancing!$D45)="pa",$C45*SQRT(Balancing!W45),Balancing!W45*$C45)/$D45,"-")</f>
        <v>-</v>
      </c>
      <c r="V45" s="10" t="str">
        <f>IF(ISNUMBER(Balancing!X45),IF(LOWER(Balancing!$D45)="pa",$C45*SQRT(Balancing!X45),Balancing!X45*$C45)/$D45,"-")</f>
        <v>-</v>
      </c>
      <c r="W45" s="10" t="str">
        <f>IF(ISNUMBER(Balancing!Y45),IF(LOWER(Balancing!$D45)="pa",$C45*SQRT(Balancing!Y45),Balancing!Y45*$C45)/$D45,"-")</f>
        <v>-</v>
      </c>
      <c r="X45" s="10" t="str">
        <f>IF(ISNUMBER(Balancing!Z45),IF(LOWER(Balancing!$D45)="pa",$C45*SQRT(Balancing!Z45),Balancing!Z45*$C45)/$D45,"-")</f>
        <v>-</v>
      </c>
      <c r="Y45" s="10" t="str">
        <f>IF(ISNUMBER(Balancing!AA45),IF(LOWER(Balancing!$D45)="pa",$C45*SQRT(Balancing!AA45),Balancing!AA45*$C45)/$D45,"-")</f>
        <v>-</v>
      </c>
      <c r="Z45" s="10" t="str">
        <f>IF(ISNUMBER(Balancing!AB45),IF(LOWER(Balancing!$D45)="pa",$C45*SQRT(Balancing!AB45),Balancing!AB45*$C45)/$D45,"-")</f>
        <v>-</v>
      </c>
      <c r="AA45" s="10" t="str">
        <f>IF(ISNUMBER(Balancing!AC45),IF(LOWER(Balancing!$D45)="pa",$C45*SQRT(Balancing!AC45),Balancing!AC45*$C45)/$D45,"-")</f>
        <v>-</v>
      </c>
      <c r="AB45" s="10" t="str">
        <f>IF(ISNUMBER(Balancing!AD45),IF(LOWER(Balancing!$D45)="pa",$C45*SQRT(Balancing!AD45),Balancing!AD45*$C45)/$D45,"-")</f>
        <v>-</v>
      </c>
      <c r="AC45" s="10" t="str">
        <f>IF(ISNUMBER(Balancing!AE45),IF(LOWER(Balancing!$D45)="pa",$C45*SQRT(Balancing!AE45),Balancing!AE45*$C45)/$D45,"-")</f>
        <v>-</v>
      </c>
      <c r="AD45" s="10" t="str">
        <f>IF(ISNUMBER(Balancing!AF45),IF(LOWER(Balancing!$D45)="pa",$C45*SQRT(Balancing!AF45),Balancing!AF45*$C45)/$D45,"-")</f>
        <v>-</v>
      </c>
      <c r="AE45" s="10" t="str">
        <f>IF(ISNUMBER(Balancing!AG45),IF(LOWER(Balancing!$D45)="pa",$C45*SQRT(Balancing!AG45),Balancing!AG45*$C45)/$D45,"-")</f>
        <v>-</v>
      </c>
      <c r="AF45" s="10" t="str">
        <f>IF(ISNUMBER(Balancing!AH45),IF(LOWER(Balancing!$D45)="pa",$C45*SQRT(Balancing!AH45),Balancing!AH45*$C45)/$D45,"-")</f>
        <v>-</v>
      </c>
      <c r="AG45" s="10" t="str">
        <f>IF(ISNUMBER(Balancing!AI45),IF(LOWER(Balancing!$D45)="pa",$C45*SQRT(Balancing!AI45),Balancing!AI45*$C45)/$D45,"-")</f>
        <v>-</v>
      </c>
      <c r="AH45" s="10" t="str">
        <f>IF(ISNUMBER(Balancing!AJ45),IF(LOWER(Balancing!$D45)="pa",$C45*SQRT(Balancing!AJ45),Balancing!AJ45*$C45)/$D45,"-")</f>
        <v>-</v>
      </c>
      <c r="AI45" s="10" t="str">
        <f>IF(ISNUMBER(Balancing!AK45),IF(LOWER(Balancing!$D45)="pa",$C45*SQRT(Balancing!AK45),Balancing!AK45*$C45)/$D45,"-")</f>
        <v>-</v>
      </c>
      <c r="AJ45" s="15" t="str">
        <f>IF(ISNUMBER(Balancing!AL45),IF(LOWER(Balancing!$D45)="pa",$C45*SQRT(Balancing!AL45),Balancing!AL45*$C45)/$D45,"-")</f>
        <v>-</v>
      </c>
      <c r="AL45" s="10" t="b">
        <f>COUNTA(Balancing!D45:AM45)=0</f>
        <v>1</v>
      </c>
      <c r="AM45" s="10" t="b">
        <f>AND(OR(Balancing!D45="",ISERROR(C45)),OR(Balancing!D45&lt;&gt;"",Balancing!E45&lt;&gt;"",Balancing!H45&lt;&gt;""))</f>
        <v>0</v>
      </c>
      <c r="AN45" s="10" t="str">
        <f>IF(ISNUMBER(INDEX(Balancing!$H$2:$AM$51,$B45,$E$65-1)),$B45,"-")</f>
        <v>-</v>
      </c>
      <c r="AO45" s="10" t="str">
        <f>IF(ISNUMBER(INDEX(Balancing!$H$2:$AM$51,$B45,$E$65)),$B45,"-")</f>
        <v>-</v>
      </c>
      <c r="AP45" s="10" t="str">
        <f t="shared" si="7"/>
        <v>-</v>
      </c>
      <c r="AQ45" t="str">
        <f>IF(ISNUMBER(AO45),IF(ABS(INDEX($F$2:$AJ$51,$B45,$E$65)-INDEX($F$2:$AJ$51,E$66,$E$65))/INDEX($F$2:$AJ$51,E$66,$E$65)&gt;General!B$9,B45,"ok"),"-")</f>
        <v>-</v>
      </c>
      <c r="AR45" t="str">
        <f t="shared" si="10"/>
        <v>-</v>
      </c>
      <c r="AS45" t="str">
        <f t="shared" si="11"/>
        <v>-</v>
      </c>
      <c r="AT45" s="10" t="str">
        <f>IF(ISNUMBER(Balancing!H45),B45,"-")</f>
        <v>-</v>
      </c>
      <c r="AU45" t="e">
        <f t="shared" si="12"/>
        <v>#VALUE!</v>
      </c>
      <c r="AV45" s="10" t="e">
        <f>IF(E$97,"OK!",IF(LOWER(Balancing!$D45)="pa",(AU45/C45)^2,AU45/$C45))</f>
        <v>#VALUE!</v>
      </c>
      <c r="AW45" s="19" t="str">
        <f>IF(AL45,".",IF(AM45,BV$24,IF(AND(Balancing!F45="",OR(General!B$8="pa",Balancing!D45="pa")),BV$25,IF(Balancing!E45="",BV$26,IF(E$65=0,BV$27,IF(B45=E$94,BV$28,IF(AND(B45=E$94-1,B45=E$91,AO45&lt;&gt;B45),BV$31,"")))))))</f>
        <v>.</v>
      </c>
      <c r="AX45" s="8" t="str">
        <f t="shared" si="13"/>
        <v>.</v>
      </c>
      <c r="AY45" s="7" t="str">
        <f t="shared" si="14"/>
        <v>.</v>
      </c>
      <c r="BA45" s="21">
        <f t="shared" si="8"/>
        <v>0</v>
      </c>
      <c r="BB45" s="21" t="e">
        <f t="shared" si="9"/>
        <v>#VALUE!</v>
      </c>
      <c r="BC45" t="str">
        <f t="shared" si="15"/>
        <v>-</v>
      </c>
      <c r="BD45" t="str">
        <f t="shared" si="16"/>
        <v>-</v>
      </c>
    </row>
    <row r="46" spans="2:83" x14ac:dyDescent="0.25">
      <c r="B46">
        <v>45</v>
      </c>
      <c r="C46" t="e">
        <f>IF(LOWER(Balancing!D46)="pa",Balancing!F46/1000,INDEX($E$98:$E$103,MATCH(LOWER(Balancing!D46),$D$98:$D$103,0)))</f>
        <v>#N/A</v>
      </c>
      <c r="D46" s="10">
        <f>IF(LOWER(General!$B$8)="pa",Balancing!$F46*SQRT(Balancing!E46)/1000,Balancing!E46*E$104)</f>
        <v>0</v>
      </c>
      <c r="E46" s="10" t="str">
        <f>IF(ISNUMBER(Balancing!H46),IF(LOWER(Balancing!$D46)="pa",$C46*SQRT(Balancing!H46),Balancing!H46*$C46),"-")</f>
        <v>-</v>
      </c>
      <c r="F46" s="14" t="str">
        <f>IF(ISNUMBER(Balancing!H46),IF(LOWER(Balancing!$D46)="pa",$C46*SQRT(Balancing!H46),Balancing!H46*$C46)/$D46,"-")</f>
        <v>-</v>
      </c>
      <c r="G46" s="10" t="str">
        <f>IF(ISNUMBER(Balancing!I46),IF(LOWER(Balancing!$D46)="pa",$C46*SQRT(Balancing!I46),Balancing!I46*$C46)/$D46,"-")</f>
        <v>-</v>
      </c>
      <c r="H46" s="10" t="str">
        <f>IF(ISNUMBER(Balancing!J46),IF(LOWER(Balancing!$D46)="pa",$C46*SQRT(Balancing!J46),Balancing!J46*$C46)/$D46,"-")</f>
        <v>-</v>
      </c>
      <c r="I46" s="10" t="str">
        <f>IF(ISNUMBER(Balancing!K46),IF(LOWER(Balancing!$D46)="pa",$C46*SQRT(Balancing!K46),Balancing!K46*$C46)/$D46,"-")</f>
        <v>-</v>
      </c>
      <c r="J46" s="10" t="str">
        <f>IF(ISNUMBER(Balancing!L46),IF(LOWER(Balancing!$D46)="pa",$C46*SQRT(Balancing!L46),Balancing!L46*$C46)/$D46,"-")</f>
        <v>-</v>
      </c>
      <c r="K46" s="10" t="str">
        <f>IF(ISNUMBER(Balancing!M46),IF(LOWER(Balancing!$D46)="pa",$C46*SQRT(Balancing!M46),Balancing!M46*$C46)/$D46,"-")</f>
        <v>-</v>
      </c>
      <c r="L46" s="10" t="str">
        <f>IF(ISNUMBER(Balancing!N46),IF(LOWER(Balancing!$D46)="pa",$C46*SQRT(Balancing!N46),Balancing!N46*$C46)/$D46,"-")</f>
        <v>-</v>
      </c>
      <c r="M46" s="10" t="str">
        <f>IF(ISNUMBER(Balancing!O46),IF(LOWER(Balancing!$D46)="pa",$C46*SQRT(Balancing!O46),Balancing!O46*$C46)/$D46,"-")</f>
        <v>-</v>
      </c>
      <c r="N46" s="10" t="str">
        <f>IF(ISNUMBER(Balancing!P46),IF(LOWER(Balancing!$D46)="pa",$C46*SQRT(Balancing!P46),Balancing!P46*$C46)/$D46,"-")</f>
        <v>-</v>
      </c>
      <c r="O46" s="10" t="str">
        <f>IF(ISNUMBER(Balancing!Q46),IF(LOWER(Balancing!$D46)="pa",$C46*SQRT(Balancing!Q46),Balancing!Q46*$C46)/$D46,"-")</f>
        <v>-</v>
      </c>
      <c r="P46" s="10" t="str">
        <f>IF(ISNUMBER(Balancing!R46),IF(LOWER(Balancing!$D46)="pa",$C46*SQRT(Balancing!R46),Balancing!R46*$C46)/$D46,"-")</f>
        <v>-</v>
      </c>
      <c r="Q46" s="10" t="str">
        <f>IF(ISNUMBER(Balancing!S46),IF(LOWER(Balancing!$D46)="pa",$C46*SQRT(Balancing!S46),Balancing!S46*$C46)/$D46,"-")</f>
        <v>-</v>
      </c>
      <c r="R46" s="10" t="str">
        <f>IF(ISNUMBER(Balancing!T46),IF(LOWER(Balancing!$D46)="pa",$C46*SQRT(Balancing!T46),Balancing!T46*$C46)/$D46,"-")</f>
        <v>-</v>
      </c>
      <c r="S46" s="10" t="str">
        <f>IF(ISNUMBER(Balancing!U46),IF(LOWER(Balancing!$D46)="pa",$C46*SQRT(Balancing!U46),Balancing!U46*$C46)/$D46,"-")</f>
        <v>-</v>
      </c>
      <c r="T46" s="10" t="str">
        <f>IF(ISNUMBER(Balancing!V46),IF(LOWER(Balancing!$D46)="pa",$C46*SQRT(Balancing!V46),Balancing!V46*$C46)/$D46,"-")</f>
        <v>-</v>
      </c>
      <c r="U46" s="10" t="str">
        <f>IF(ISNUMBER(Balancing!W46),IF(LOWER(Balancing!$D46)="pa",$C46*SQRT(Balancing!W46),Balancing!W46*$C46)/$D46,"-")</f>
        <v>-</v>
      </c>
      <c r="V46" s="10" t="str">
        <f>IF(ISNUMBER(Balancing!X46),IF(LOWER(Balancing!$D46)="pa",$C46*SQRT(Balancing!X46),Balancing!X46*$C46)/$D46,"-")</f>
        <v>-</v>
      </c>
      <c r="W46" s="10" t="str">
        <f>IF(ISNUMBER(Balancing!Y46),IF(LOWER(Balancing!$D46)="pa",$C46*SQRT(Balancing!Y46),Balancing!Y46*$C46)/$D46,"-")</f>
        <v>-</v>
      </c>
      <c r="X46" s="10" t="str">
        <f>IF(ISNUMBER(Balancing!Z46),IF(LOWER(Balancing!$D46)="pa",$C46*SQRT(Balancing!Z46),Balancing!Z46*$C46)/$D46,"-")</f>
        <v>-</v>
      </c>
      <c r="Y46" s="10" t="str">
        <f>IF(ISNUMBER(Balancing!AA46),IF(LOWER(Balancing!$D46)="pa",$C46*SQRT(Balancing!AA46),Balancing!AA46*$C46)/$D46,"-")</f>
        <v>-</v>
      </c>
      <c r="Z46" s="10" t="str">
        <f>IF(ISNUMBER(Balancing!AB46),IF(LOWER(Balancing!$D46)="pa",$C46*SQRT(Balancing!AB46),Balancing!AB46*$C46)/$D46,"-")</f>
        <v>-</v>
      </c>
      <c r="AA46" s="10" t="str">
        <f>IF(ISNUMBER(Balancing!AC46),IF(LOWER(Balancing!$D46)="pa",$C46*SQRT(Balancing!AC46),Balancing!AC46*$C46)/$D46,"-")</f>
        <v>-</v>
      </c>
      <c r="AB46" s="10" t="str">
        <f>IF(ISNUMBER(Balancing!AD46),IF(LOWER(Balancing!$D46)="pa",$C46*SQRT(Balancing!AD46),Balancing!AD46*$C46)/$D46,"-")</f>
        <v>-</v>
      </c>
      <c r="AC46" s="10" t="str">
        <f>IF(ISNUMBER(Balancing!AE46),IF(LOWER(Balancing!$D46)="pa",$C46*SQRT(Balancing!AE46),Balancing!AE46*$C46)/$D46,"-")</f>
        <v>-</v>
      </c>
      <c r="AD46" s="10" t="str">
        <f>IF(ISNUMBER(Balancing!AF46),IF(LOWER(Balancing!$D46)="pa",$C46*SQRT(Balancing!AF46),Balancing!AF46*$C46)/$D46,"-")</f>
        <v>-</v>
      </c>
      <c r="AE46" s="10" t="str">
        <f>IF(ISNUMBER(Balancing!AG46),IF(LOWER(Balancing!$D46)="pa",$C46*SQRT(Balancing!AG46),Balancing!AG46*$C46)/$D46,"-")</f>
        <v>-</v>
      </c>
      <c r="AF46" s="10" t="str">
        <f>IF(ISNUMBER(Balancing!AH46),IF(LOWER(Balancing!$D46)="pa",$C46*SQRT(Balancing!AH46),Balancing!AH46*$C46)/$D46,"-")</f>
        <v>-</v>
      </c>
      <c r="AG46" s="10" t="str">
        <f>IF(ISNUMBER(Balancing!AI46),IF(LOWER(Balancing!$D46)="pa",$C46*SQRT(Balancing!AI46),Balancing!AI46*$C46)/$D46,"-")</f>
        <v>-</v>
      </c>
      <c r="AH46" s="10" t="str">
        <f>IF(ISNUMBER(Balancing!AJ46),IF(LOWER(Balancing!$D46)="pa",$C46*SQRT(Balancing!AJ46),Balancing!AJ46*$C46)/$D46,"-")</f>
        <v>-</v>
      </c>
      <c r="AI46" s="10" t="str">
        <f>IF(ISNUMBER(Balancing!AK46),IF(LOWER(Balancing!$D46)="pa",$C46*SQRT(Balancing!AK46),Balancing!AK46*$C46)/$D46,"-")</f>
        <v>-</v>
      </c>
      <c r="AJ46" s="15" t="str">
        <f>IF(ISNUMBER(Balancing!AL46),IF(LOWER(Balancing!$D46)="pa",$C46*SQRT(Balancing!AL46),Balancing!AL46*$C46)/$D46,"-")</f>
        <v>-</v>
      </c>
      <c r="AL46" s="10" t="b">
        <f>COUNTA(Balancing!D46:AM46)=0</f>
        <v>1</v>
      </c>
      <c r="AM46" s="10" t="b">
        <f>AND(OR(Balancing!D46="",ISERROR(C46)),OR(Balancing!D46&lt;&gt;"",Balancing!E46&lt;&gt;"",Balancing!H46&lt;&gt;""))</f>
        <v>0</v>
      </c>
      <c r="AN46" s="10" t="str">
        <f>IF(ISNUMBER(INDEX(Balancing!$H$2:$AM$51,$B46,$E$65-1)),$B46,"-")</f>
        <v>-</v>
      </c>
      <c r="AO46" s="10" t="str">
        <f>IF(ISNUMBER(INDEX(Balancing!$H$2:$AM$51,$B46,$E$65)),$B46,"-")</f>
        <v>-</v>
      </c>
      <c r="AP46" s="10" t="str">
        <f t="shared" si="7"/>
        <v>-</v>
      </c>
      <c r="AQ46" t="str">
        <f>IF(ISNUMBER(AO46),IF(ABS(INDEX($F$2:$AJ$51,$B46,$E$65)-INDEX($F$2:$AJ$51,E$66,$E$65))/INDEX($F$2:$AJ$51,E$66,$E$65)&gt;General!B$9,B46,"ok"),"-")</f>
        <v>-</v>
      </c>
      <c r="AR46" t="str">
        <f t="shared" si="10"/>
        <v>-</v>
      </c>
      <c r="AS46" t="str">
        <f t="shared" si="11"/>
        <v>-</v>
      </c>
      <c r="AT46" s="10" t="str">
        <f>IF(ISNUMBER(Balancing!H46),B46,"-")</f>
        <v>-</v>
      </c>
      <c r="AU46" t="e">
        <f t="shared" si="12"/>
        <v>#VALUE!</v>
      </c>
      <c r="AV46" s="10" t="e">
        <f>IF(E$97,"OK!",IF(LOWER(Balancing!$D46)="pa",(AU46/C46)^2,AU46/$C46))</f>
        <v>#VALUE!</v>
      </c>
      <c r="AW46" s="19" t="str">
        <f>IF(AL46,".",IF(AM46,BV$24,IF(AND(Balancing!F46="",OR(General!B$8="pa",Balancing!D46="pa")),BV$25,IF(Balancing!E46="",BV$26,IF(E$65=0,BV$27,IF(B46=E$94,BV$28,IF(AND(B46=E$94-1,B46=E$91,AO46&lt;&gt;B46),BV$31,"")))))))</f>
        <v>.</v>
      </c>
      <c r="AX46" s="8" t="str">
        <f t="shared" si="13"/>
        <v>.</v>
      </c>
      <c r="AY46" s="7" t="str">
        <f t="shared" si="14"/>
        <v>.</v>
      </c>
      <c r="BA46" s="21">
        <f t="shared" si="8"/>
        <v>0</v>
      </c>
      <c r="BB46" s="21" t="e">
        <f t="shared" si="9"/>
        <v>#VALUE!</v>
      </c>
      <c r="BC46" t="str">
        <f t="shared" si="15"/>
        <v>-</v>
      </c>
      <c r="BD46" t="str">
        <f t="shared" si="16"/>
        <v>-</v>
      </c>
    </row>
    <row r="47" spans="2:83" x14ac:dyDescent="0.25">
      <c r="B47">
        <v>46</v>
      </c>
      <c r="C47" t="e">
        <f>IF(LOWER(Balancing!D47)="pa",Balancing!F47/1000,INDEX($E$98:$E$103,MATCH(LOWER(Balancing!D47),$D$98:$D$103,0)))</f>
        <v>#N/A</v>
      </c>
      <c r="D47" s="10">
        <f>IF(LOWER(General!$B$8)="pa",Balancing!$F47*SQRT(Balancing!E47)/1000,Balancing!E47*E$104)</f>
        <v>0</v>
      </c>
      <c r="E47" s="10" t="str">
        <f>IF(ISNUMBER(Balancing!H47),IF(LOWER(Balancing!$D47)="pa",$C47*SQRT(Balancing!H47),Balancing!H47*$C47),"-")</f>
        <v>-</v>
      </c>
      <c r="F47" s="14" t="str">
        <f>IF(ISNUMBER(Balancing!H47),IF(LOWER(Balancing!$D47)="pa",$C47*SQRT(Balancing!H47),Balancing!H47*$C47)/$D47,"-")</f>
        <v>-</v>
      </c>
      <c r="G47" s="10" t="str">
        <f>IF(ISNUMBER(Balancing!I47),IF(LOWER(Balancing!$D47)="pa",$C47*SQRT(Balancing!I47),Balancing!I47*$C47)/$D47,"-")</f>
        <v>-</v>
      </c>
      <c r="H47" s="10" t="str">
        <f>IF(ISNUMBER(Balancing!J47),IF(LOWER(Balancing!$D47)="pa",$C47*SQRT(Balancing!J47),Balancing!J47*$C47)/$D47,"-")</f>
        <v>-</v>
      </c>
      <c r="I47" s="10" t="str">
        <f>IF(ISNUMBER(Balancing!K47),IF(LOWER(Balancing!$D47)="pa",$C47*SQRT(Balancing!K47),Balancing!K47*$C47)/$D47,"-")</f>
        <v>-</v>
      </c>
      <c r="J47" s="10" t="str">
        <f>IF(ISNUMBER(Balancing!L47),IF(LOWER(Balancing!$D47)="pa",$C47*SQRT(Balancing!L47),Balancing!L47*$C47)/$D47,"-")</f>
        <v>-</v>
      </c>
      <c r="K47" s="10" t="str">
        <f>IF(ISNUMBER(Balancing!M47),IF(LOWER(Balancing!$D47)="pa",$C47*SQRT(Balancing!M47),Balancing!M47*$C47)/$D47,"-")</f>
        <v>-</v>
      </c>
      <c r="L47" s="10" t="str">
        <f>IF(ISNUMBER(Balancing!N47),IF(LOWER(Balancing!$D47)="pa",$C47*SQRT(Balancing!N47),Balancing!N47*$C47)/$D47,"-")</f>
        <v>-</v>
      </c>
      <c r="M47" s="10" t="str">
        <f>IF(ISNUMBER(Balancing!O47),IF(LOWER(Balancing!$D47)="pa",$C47*SQRT(Balancing!O47),Balancing!O47*$C47)/$D47,"-")</f>
        <v>-</v>
      </c>
      <c r="N47" s="10" t="str">
        <f>IF(ISNUMBER(Balancing!P47),IF(LOWER(Balancing!$D47)="pa",$C47*SQRT(Balancing!P47),Balancing!P47*$C47)/$D47,"-")</f>
        <v>-</v>
      </c>
      <c r="O47" s="10" t="str">
        <f>IF(ISNUMBER(Balancing!Q47),IF(LOWER(Balancing!$D47)="pa",$C47*SQRT(Balancing!Q47),Balancing!Q47*$C47)/$D47,"-")</f>
        <v>-</v>
      </c>
      <c r="P47" s="10" t="str">
        <f>IF(ISNUMBER(Balancing!R47),IF(LOWER(Balancing!$D47)="pa",$C47*SQRT(Balancing!R47),Balancing!R47*$C47)/$D47,"-")</f>
        <v>-</v>
      </c>
      <c r="Q47" s="10" t="str">
        <f>IF(ISNUMBER(Balancing!S47),IF(LOWER(Balancing!$D47)="pa",$C47*SQRT(Balancing!S47),Balancing!S47*$C47)/$D47,"-")</f>
        <v>-</v>
      </c>
      <c r="R47" s="10" t="str">
        <f>IF(ISNUMBER(Balancing!T47),IF(LOWER(Balancing!$D47)="pa",$C47*SQRT(Balancing!T47),Balancing!T47*$C47)/$D47,"-")</f>
        <v>-</v>
      </c>
      <c r="S47" s="10" t="str">
        <f>IF(ISNUMBER(Balancing!U47),IF(LOWER(Balancing!$D47)="pa",$C47*SQRT(Balancing!U47),Balancing!U47*$C47)/$D47,"-")</f>
        <v>-</v>
      </c>
      <c r="T47" s="10" t="str">
        <f>IF(ISNUMBER(Balancing!V47),IF(LOWER(Balancing!$D47)="pa",$C47*SQRT(Balancing!V47),Balancing!V47*$C47)/$D47,"-")</f>
        <v>-</v>
      </c>
      <c r="U47" s="10" t="str">
        <f>IF(ISNUMBER(Balancing!W47),IF(LOWER(Balancing!$D47)="pa",$C47*SQRT(Balancing!W47),Balancing!W47*$C47)/$D47,"-")</f>
        <v>-</v>
      </c>
      <c r="V47" s="10" t="str">
        <f>IF(ISNUMBER(Balancing!X47),IF(LOWER(Balancing!$D47)="pa",$C47*SQRT(Balancing!X47),Balancing!X47*$C47)/$D47,"-")</f>
        <v>-</v>
      </c>
      <c r="W47" s="10" t="str">
        <f>IF(ISNUMBER(Balancing!Y47),IF(LOWER(Balancing!$D47)="pa",$C47*SQRT(Balancing!Y47),Balancing!Y47*$C47)/$D47,"-")</f>
        <v>-</v>
      </c>
      <c r="X47" s="10" t="str">
        <f>IF(ISNUMBER(Balancing!Z47),IF(LOWER(Balancing!$D47)="pa",$C47*SQRT(Balancing!Z47),Balancing!Z47*$C47)/$D47,"-")</f>
        <v>-</v>
      </c>
      <c r="Y47" s="10" t="str">
        <f>IF(ISNUMBER(Balancing!AA47),IF(LOWER(Balancing!$D47)="pa",$C47*SQRT(Balancing!AA47),Balancing!AA47*$C47)/$D47,"-")</f>
        <v>-</v>
      </c>
      <c r="Z47" s="10" t="str">
        <f>IF(ISNUMBER(Balancing!AB47),IF(LOWER(Balancing!$D47)="pa",$C47*SQRT(Balancing!AB47),Balancing!AB47*$C47)/$D47,"-")</f>
        <v>-</v>
      </c>
      <c r="AA47" s="10" t="str">
        <f>IF(ISNUMBER(Balancing!AC47),IF(LOWER(Balancing!$D47)="pa",$C47*SQRT(Balancing!AC47),Balancing!AC47*$C47)/$D47,"-")</f>
        <v>-</v>
      </c>
      <c r="AB47" s="10" t="str">
        <f>IF(ISNUMBER(Balancing!AD47),IF(LOWER(Balancing!$D47)="pa",$C47*SQRT(Balancing!AD47),Balancing!AD47*$C47)/$D47,"-")</f>
        <v>-</v>
      </c>
      <c r="AC47" s="10" t="str">
        <f>IF(ISNUMBER(Balancing!AE47),IF(LOWER(Balancing!$D47)="pa",$C47*SQRT(Balancing!AE47),Balancing!AE47*$C47)/$D47,"-")</f>
        <v>-</v>
      </c>
      <c r="AD47" s="10" t="str">
        <f>IF(ISNUMBER(Balancing!AF47),IF(LOWER(Balancing!$D47)="pa",$C47*SQRT(Balancing!AF47),Balancing!AF47*$C47)/$D47,"-")</f>
        <v>-</v>
      </c>
      <c r="AE47" s="10" t="str">
        <f>IF(ISNUMBER(Balancing!AG47),IF(LOWER(Balancing!$D47)="pa",$C47*SQRT(Balancing!AG47),Balancing!AG47*$C47)/$D47,"-")</f>
        <v>-</v>
      </c>
      <c r="AF47" s="10" t="str">
        <f>IF(ISNUMBER(Balancing!AH47),IF(LOWER(Balancing!$D47)="pa",$C47*SQRT(Balancing!AH47),Balancing!AH47*$C47)/$D47,"-")</f>
        <v>-</v>
      </c>
      <c r="AG47" s="10" t="str">
        <f>IF(ISNUMBER(Balancing!AI47),IF(LOWER(Balancing!$D47)="pa",$C47*SQRT(Balancing!AI47),Balancing!AI47*$C47)/$D47,"-")</f>
        <v>-</v>
      </c>
      <c r="AH47" s="10" t="str">
        <f>IF(ISNUMBER(Balancing!AJ47),IF(LOWER(Balancing!$D47)="pa",$C47*SQRT(Balancing!AJ47),Balancing!AJ47*$C47)/$D47,"-")</f>
        <v>-</v>
      </c>
      <c r="AI47" s="10" t="str">
        <f>IF(ISNUMBER(Balancing!AK47),IF(LOWER(Balancing!$D47)="pa",$C47*SQRT(Balancing!AK47),Balancing!AK47*$C47)/$D47,"-")</f>
        <v>-</v>
      </c>
      <c r="AJ47" s="15" t="str">
        <f>IF(ISNUMBER(Balancing!AL47),IF(LOWER(Balancing!$D47)="pa",$C47*SQRT(Balancing!AL47),Balancing!AL47*$C47)/$D47,"-")</f>
        <v>-</v>
      </c>
      <c r="AL47" s="10" t="b">
        <f>COUNTA(Balancing!D47:AM47)=0</f>
        <v>1</v>
      </c>
      <c r="AM47" s="10" t="b">
        <f>AND(OR(Balancing!D47="",ISERROR(C47)),OR(Balancing!D47&lt;&gt;"",Balancing!E47&lt;&gt;"",Balancing!H47&lt;&gt;""))</f>
        <v>0</v>
      </c>
      <c r="AN47" s="10" t="str">
        <f>IF(ISNUMBER(INDEX(Balancing!$H$2:$AM$51,$B47,$E$65-1)),$B47,"-")</f>
        <v>-</v>
      </c>
      <c r="AO47" s="10" t="str">
        <f>IF(ISNUMBER(INDEX(Balancing!$H$2:$AM$51,$B47,$E$65)),$B47,"-")</f>
        <v>-</v>
      </c>
      <c r="AP47" s="10" t="str">
        <f t="shared" si="7"/>
        <v>-</v>
      </c>
      <c r="AQ47" t="str">
        <f>IF(ISNUMBER(AO47),IF(ABS(INDEX($F$2:$AJ$51,$B47,$E$65)-INDEX($F$2:$AJ$51,E$66,$E$65))/INDEX($F$2:$AJ$51,E$66,$E$65)&gt;General!B$9,B47,"ok"),"-")</f>
        <v>-</v>
      </c>
      <c r="AR47" t="str">
        <f t="shared" si="10"/>
        <v>-</v>
      </c>
      <c r="AS47" t="str">
        <f t="shared" si="11"/>
        <v>-</v>
      </c>
      <c r="AT47" s="10" t="str">
        <f>IF(ISNUMBER(Balancing!H47),B47,"-")</f>
        <v>-</v>
      </c>
      <c r="AU47" t="e">
        <f t="shared" si="12"/>
        <v>#VALUE!</v>
      </c>
      <c r="AV47" s="10" t="e">
        <f>IF(E$97,"OK!",IF(LOWER(Balancing!$D47)="pa",(AU47/C47)^2,AU47/$C47))</f>
        <v>#VALUE!</v>
      </c>
      <c r="AW47" s="19" t="str">
        <f>IF(AL47,".",IF(AM47,BV$24,IF(AND(Balancing!F47="",OR(General!B$8="pa",Balancing!D47="pa")),BV$25,IF(Balancing!E47="",BV$26,IF(E$65=0,BV$27,IF(B47=E$94,BV$28,IF(AND(B47=E$94-1,B47=E$91,AO47&lt;&gt;B47),BV$31,"")))))))</f>
        <v>.</v>
      </c>
      <c r="AX47" s="8" t="str">
        <f t="shared" si="13"/>
        <v>.</v>
      </c>
      <c r="AY47" s="7" t="str">
        <f t="shared" si="14"/>
        <v>.</v>
      </c>
      <c r="BA47" s="21">
        <f t="shared" si="8"/>
        <v>0</v>
      </c>
      <c r="BB47" s="21" t="e">
        <f t="shared" si="9"/>
        <v>#VALUE!</v>
      </c>
      <c r="BC47" t="str">
        <f t="shared" si="15"/>
        <v>-</v>
      </c>
      <c r="BD47" t="str">
        <f t="shared" si="16"/>
        <v>-</v>
      </c>
    </row>
    <row r="48" spans="2:83" x14ac:dyDescent="0.25">
      <c r="B48">
        <v>47</v>
      </c>
      <c r="C48" t="e">
        <f>IF(LOWER(Balancing!D48)="pa",Balancing!F48/1000,INDEX($E$98:$E$103,MATCH(LOWER(Balancing!D48),$D$98:$D$103,0)))</f>
        <v>#N/A</v>
      </c>
      <c r="D48" s="10">
        <f>IF(LOWER(General!$B$8)="pa",Balancing!$F48*SQRT(Balancing!E48)/1000,Balancing!E48*E$104)</f>
        <v>0</v>
      </c>
      <c r="E48" s="10" t="str">
        <f>IF(ISNUMBER(Balancing!H48),IF(LOWER(Balancing!$D48)="pa",$C48*SQRT(Balancing!H48),Balancing!H48*$C48),"-")</f>
        <v>-</v>
      </c>
      <c r="F48" s="14" t="str">
        <f>IF(ISNUMBER(Balancing!H48),IF(LOWER(Balancing!$D48)="pa",$C48*SQRT(Balancing!H48),Balancing!H48*$C48)/$D48,"-")</f>
        <v>-</v>
      </c>
      <c r="G48" s="10" t="str">
        <f>IF(ISNUMBER(Balancing!I48),IF(LOWER(Balancing!$D48)="pa",$C48*SQRT(Balancing!I48),Balancing!I48*$C48)/$D48,"-")</f>
        <v>-</v>
      </c>
      <c r="H48" s="10" t="str">
        <f>IF(ISNUMBER(Balancing!J48),IF(LOWER(Balancing!$D48)="pa",$C48*SQRT(Balancing!J48),Balancing!J48*$C48)/$D48,"-")</f>
        <v>-</v>
      </c>
      <c r="I48" s="10" t="str">
        <f>IF(ISNUMBER(Balancing!K48),IF(LOWER(Balancing!$D48)="pa",$C48*SQRT(Balancing!K48),Balancing!K48*$C48)/$D48,"-")</f>
        <v>-</v>
      </c>
      <c r="J48" s="10" t="str">
        <f>IF(ISNUMBER(Balancing!L48),IF(LOWER(Balancing!$D48)="pa",$C48*SQRT(Balancing!L48),Balancing!L48*$C48)/$D48,"-")</f>
        <v>-</v>
      </c>
      <c r="K48" s="10" t="str">
        <f>IF(ISNUMBER(Balancing!M48),IF(LOWER(Balancing!$D48)="pa",$C48*SQRT(Balancing!M48),Balancing!M48*$C48)/$D48,"-")</f>
        <v>-</v>
      </c>
      <c r="L48" s="10" t="str">
        <f>IF(ISNUMBER(Balancing!N48),IF(LOWER(Balancing!$D48)="pa",$C48*SQRT(Balancing!N48),Balancing!N48*$C48)/$D48,"-")</f>
        <v>-</v>
      </c>
      <c r="M48" s="10" t="str">
        <f>IF(ISNUMBER(Balancing!O48),IF(LOWER(Balancing!$D48)="pa",$C48*SQRT(Balancing!O48),Balancing!O48*$C48)/$D48,"-")</f>
        <v>-</v>
      </c>
      <c r="N48" s="10" t="str">
        <f>IF(ISNUMBER(Balancing!P48),IF(LOWER(Balancing!$D48)="pa",$C48*SQRT(Balancing!P48),Balancing!P48*$C48)/$D48,"-")</f>
        <v>-</v>
      </c>
      <c r="O48" s="10" t="str">
        <f>IF(ISNUMBER(Balancing!Q48),IF(LOWER(Balancing!$D48)="pa",$C48*SQRT(Balancing!Q48),Balancing!Q48*$C48)/$D48,"-")</f>
        <v>-</v>
      </c>
      <c r="P48" s="10" t="str">
        <f>IF(ISNUMBER(Balancing!R48),IF(LOWER(Balancing!$D48)="pa",$C48*SQRT(Balancing!R48),Balancing!R48*$C48)/$D48,"-")</f>
        <v>-</v>
      </c>
      <c r="Q48" s="10" t="str">
        <f>IF(ISNUMBER(Balancing!S48),IF(LOWER(Balancing!$D48)="pa",$C48*SQRT(Balancing!S48),Balancing!S48*$C48)/$D48,"-")</f>
        <v>-</v>
      </c>
      <c r="R48" s="10" t="str">
        <f>IF(ISNUMBER(Balancing!T48),IF(LOWER(Balancing!$D48)="pa",$C48*SQRT(Balancing!T48),Balancing!T48*$C48)/$D48,"-")</f>
        <v>-</v>
      </c>
      <c r="S48" s="10" t="str">
        <f>IF(ISNUMBER(Balancing!U48),IF(LOWER(Balancing!$D48)="pa",$C48*SQRT(Balancing!U48),Balancing!U48*$C48)/$D48,"-")</f>
        <v>-</v>
      </c>
      <c r="T48" s="10" t="str">
        <f>IF(ISNUMBER(Balancing!V48),IF(LOWER(Balancing!$D48)="pa",$C48*SQRT(Balancing!V48),Balancing!V48*$C48)/$D48,"-")</f>
        <v>-</v>
      </c>
      <c r="U48" s="10" t="str">
        <f>IF(ISNUMBER(Balancing!W48),IF(LOWER(Balancing!$D48)="pa",$C48*SQRT(Balancing!W48),Balancing!W48*$C48)/$D48,"-")</f>
        <v>-</v>
      </c>
      <c r="V48" s="10" t="str">
        <f>IF(ISNUMBER(Balancing!X48),IF(LOWER(Balancing!$D48)="pa",$C48*SQRT(Balancing!X48),Balancing!X48*$C48)/$D48,"-")</f>
        <v>-</v>
      </c>
      <c r="W48" s="10" t="str">
        <f>IF(ISNUMBER(Balancing!Y48),IF(LOWER(Balancing!$D48)="pa",$C48*SQRT(Balancing!Y48),Balancing!Y48*$C48)/$D48,"-")</f>
        <v>-</v>
      </c>
      <c r="X48" s="10" t="str">
        <f>IF(ISNUMBER(Balancing!Z48),IF(LOWER(Balancing!$D48)="pa",$C48*SQRT(Balancing!Z48),Balancing!Z48*$C48)/$D48,"-")</f>
        <v>-</v>
      </c>
      <c r="Y48" s="10" t="str">
        <f>IF(ISNUMBER(Balancing!AA48),IF(LOWER(Balancing!$D48)="pa",$C48*SQRT(Balancing!AA48),Balancing!AA48*$C48)/$D48,"-")</f>
        <v>-</v>
      </c>
      <c r="Z48" s="10" t="str">
        <f>IF(ISNUMBER(Balancing!AB48),IF(LOWER(Balancing!$D48)="pa",$C48*SQRT(Balancing!AB48),Balancing!AB48*$C48)/$D48,"-")</f>
        <v>-</v>
      </c>
      <c r="AA48" s="10" t="str">
        <f>IF(ISNUMBER(Balancing!AC48),IF(LOWER(Balancing!$D48)="pa",$C48*SQRT(Balancing!AC48),Balancing!AC48*$C48)/$D48,"-")</f>
        <v>-</v>
      </c>
      <c r="AB48" s="10" t="str">
        <f>IF(ISNUMBER(Balancing!AD48),IF(LOWER(Balancing!$D48)="pa",$C48*SQRT(Balancing!AD48),Balancing!AD48*$C48)/$D48,"-")</f>
        <v>-</v>
      </c>
      <c r="AC48" s="10" t="str">
        <f>IF(ISNUMBER(Balancing!AE48),IF(LOWER(Balancing!$D48)="pa",$C48*SQRT(Balancing!AE48),Balancing!AE48*$C48)/$D48,"-")</f>
        <v>-</v>
      </c>
      <c r="AD48" s="10" t="str">
        <f>IF(ISNUMBER(Balancing!AF48),IF(LOWER(Balancing!$D48)="pa",$C48*SQRT(Balancing!AF48),Balancing!AF48*$C48)/$D48,"-")</f>
        <v>-</v>
      </c>
      <c r="AE48" s="10" t="str">
        <f>IF(ISNUMBER(Balancing!AG48),IF(LOWER(Balancing!$D48)="pa",$C48*SQRT(Balancing!AG48),Balancing!AG48*$C48)/$D48,"-")</f>
        <v>-</v>
      </c>
      <c r="AF48" s="10" t="str">
        <f>IF(ISNUMBER(Balancing!AH48),IF(LOWER(Balancing!$D48)="pa",$C48*SQRT(Balancing!AH48),Balancing!AH48*$C48)/$D48,"-")</f>
        <v>-</v>
      </c>
      <c r="AG48" s="10" t="str">
        <f>IF(ISNUMBER(Balancing!AI48),IF(LOWER(Balancing!$D48)="pa",$C48*SQRT(Balancing!AI48),Balancing!AI48*$C48)/$D48,"-")</f>
        <v>-</v>
      </c>
      <c r="AH48" s="10" t="str">
        <f>IF(ISNUMBER(Balancing!AJ48),IF(LOWER(Balancing!$D48)="pa",$C48*SQRT(Balancing!AJ48),Balancing!AJ48*$C48)/$D48,"-")</f>
        <v>-</v>
      </c>
      <c r="AI48" s="10" t="str">
        <f>IF(ISNUMBER(Balancing!AK48),IF(LOWER(Balancing!$D48)="pa",$C48*SQRT(Balancing!AK48),Balancing!AK48*$C48)/$D48,"-")</f>
        <v>-</v>
      </c>
      <c r="AJ48" s="15" t="str">
        <f>IF(ISNUMBER(Balancing!AL48),IF(LOWER(Balancing!$D48)="pa",$C48*SQRT(Balancing!AL48),Balancing!AL48*$C48)/$D48,"-")</f>
        <v>-</v>
      </c>
      <c r="AL48" s="10" t="b">
        <f>COUNTA(Balancing!D48:AM48)=0</f>
        <v>1</v>
      </c>
      <c r="AM48" s="10" t="b">
        <f>AND(OR(Balancing!D48="",ISERROR(C48)),OR(Balancing!D48&lt;&gt;"",Balancing!E48&lt;&gt;"",Balancing!H48&lt;&gt;""))</f>
        <v>0</v>
      </c>
      <c r="AN48" s="10" t="str">
        <f>IF(ISNUMBER(INDEX(Balancing!$H$2:$AM$51,$B48,$E$65-1)),$B48,"-")</f>
        <v>-</v>
      </c>
      <c r="AO48" s="10" t="str">
        <f>IF(ISNUMBER(INDEX(Balancing!$H$2:$AM$51,$B48,$E$65)),$B48,"-")</f>
        <v>-</v>
      </c>
      <c r="AP48" s="10" t="str">
        <f t="shared" si="7"/>
        <v>-</v>
      </c>
      <c r="AQ48" t="str">
        <f>IF(ISNUMBER(AO48),IF(ABS(INDEX($F$2:$AJ$51,$B48,$E$65)-INDEX($F$2:$AJ$51,E$66,$E$65))/INDEX($F$2:$AJ$51,E$66,$E$65)&gt;General!B$9,B48,"ok"),"-")</f>
        <v>-</v>
      </c>
      <c r="AR48" t="str">
        <f t="shared" si="10"/>
        <v>-</v>
      </c>
      <c r="AS48" t="str">
        <f t="shared" si="11"/>
        <v>-</v>
      </c>
      <c r="AT48" s="10" t="str">
        <f>IF(ISNUMBER(Balancing!H48),B48,"-")</f>
        <v>-</v>
      </c>
      <c r="AU48" t="e">
        <f t="shared" si="12"/>
        <v>#VALUE!</v>
      </c>
      <c r="AV48" s="10" t="e">
        <f>IF(E$97,"OK!",IF(LOWER(Balancing!$D48)="pa",(AU48/C48)^2,AU48/$C48))</f>
        <v>#VALUE!</v>
      </c>
      <c r="AW48" s="19" t="str">
        <f>IF(AL48,".",IF(AM48,BV$24,IF(AND(Balancing!F48="",OR(General!B$8="pa",Balancing!D48="pa")),BV$25,IF(Balancing!E48="",BV$26,IF(E$65=0,BV$27,IF(B48=E$94,BV$28,IF(AND(B48=E$94-1,B48=E$91,AO48&lt;&gt;B48),BV$31,"")))))))</f>
        <v>.</v>
      </c>
      <c r="AX48" s="8" t="str">
        <f t="shared" si="13"/>
        <v>.</v>
      </c>
      <c r="AY48" s="7" t="str">
        <f t="shared" si="14"/>
        <v>.</v>
      </c>
      <c r="BA48" s="21">
        <f t="shared" si="8"/>
        <v>0</v>
      </c>
      <c r="BB48" s="21" t="e">
        <f t="shared" si="9"/>
        <v>#VALUE!</v>
      </c>
      <c r="BC48" t="str">
        <f t="shared" si="15"/>
        <v>-</v>
      </c>
      <c r="BD48" t="str">
        <f t="shared" si="16"/>
        <v>-</v>
      </c>
    </row>
    <row r="49" spans="2:56" x14ac:dyDescent="0.25">
      <c r="B49">
        <v>48</v>
      </c>
      <c r="C49" t="e">
        <f>IF(LOWER(Balancing!D49)="pa",Balancing!F49/1000,INDEX($E$98:$E$103,MATCH(LOWER(Balancing!D49),$D$98:$D$103,0)))</f>
        <v>#N/A</v>
      </c>
      <c r="D49" s="10">
        <f>IF(LOWER(General!$B$8)="pa",Balancing!$F49*SQRT(Balancing!E49)/1000,Balancing!E49*E$104)</f>
        <v>0</v>
      </c>
      <c r="E49" s="10" t="str">
        <f>IF(ISNUMBER(Balancing!H49),IF(LOWER(Balancing!$D49)="pa",$C49*SQRT(Balancing!H49),Balancing!H49*$C49),"-")</f>
        <v>-</v>
      </c>
      <c r="F49" s="14" t="str">
        <f>IF(ISNUMBER(Balancing!H49),IF(LOWER(Balancing!$D49)="pa",$C49*SQRT(Balancing!H49),Balancing!H49*$C49)/$D49,"-")</f>
        <v>-</v>
      </c>
      <c r="G49" s="10" t="str">
        <f>IF(ISNUMBER(Balancing!I49),IF(LOWER(Balancing!$D49)="pa",$C49*SQRT(Balancing!I49),Balancing!I49*$C49)/$D49,"-")</f>
        <v>-</v>
      </c>
      <c r="H49" s="10" t="str">
        <f>IF(ISNUMBER(Balancing!J49),IF(LOWER(Balancing!$D49)="pa",$C49*SQRT(Balancing!J49),Balancing!J49*$C49)/$D49,"-")</f>
        <v>-</v>
      </c>
      <c r="I49" s="10" t="str">
        <f>IF(ISNUMBER(Balancing!K49),IF(LOWER(Balancing!$D49)="pa",$C49*SQRT(Balancing!K49),Balancing!K49*$C49)/$D49,"-")</f>
        <v>-</v>
      </c>
      <c r="J49" s="10" t="str">
        <f>IF(ISNUMBER(Balancing!L49),IF(LOWER(Balancing!$D49)="pa",$C49*SQRT(Balancing!L49),Balancing!L49*$C49)/$D49,"-")</f>
        <v>-</v>
      </c>
      <c r="K49" s="10" t="str">
        <f>IF(ISNUMBER(Balancing!M49),IF(LOWER(Balancing!$D49)="pa",$C49*SQRT(Balancing!M49),Balancing!M49*$C49)/$D49,"-")</f>
        <v>-</v>
      </c>
      <c r="L49" s="10" t="str">
        <f>IF(ISNUMBER(Balancing!N49),IF(LOWER(Balancing!$D49)="pa",$C49*SQRT(Balancing!N49),Balancing!N49*$C49)/$D49,"-")</f>
        <v>-</v>
      </c>
      <c r="M49" s="10" t="str">
        <f>IF(ISNUMBER(Balancing!O49),IF(LOWER(Balancing!$D49)="pa",$C49*SQRT(Balancing!O49),Balancing!O49*$C49)/$D49,"-")</f>
        <v>-</v>
      </c>
      <c r="N49" s="10" t="str">
        <f>IF(ISNUMBER(Balancing!P49),IF(LOWER(Balancing!$D49)="pa",$C49*SQRT(Balancing!P49),Balancing!P49*$C49)/$D49,"-")</f>
        <v>-</v>
      </c>
      <c r="O49" s="10" t="str">
        <f>IF(ISNUMBER(Balancing!Q49),IF(LOWER(Balancing!$D49)="pa",$C49*SQRT(Balancing!Q49),Balancing!Q49*$C49)/$D49,"-")</f>
        <v>-</v>
      </c>
      <c r="P49" s="10" t="str">
        <f>IF(ISNUMBER(Balancing!R49),IF(LOWER(Balancing!$D49)="pa",$C49*SQRT(Balancing!R49),Balancing!R49*$C49)/$D49,"-")</f>
        <v>-</v>
      </c>
      <c r="Q49" s="10" t="str">
        <f>IF(ISNUMBER(Balancing!S49),IF(LOWER(Balancing!$D49)="pa",$C49*SQRT(Balancing!S49),Balancing!S49*$C49)/$D49,"-")</f>
        <v>-</v>
      </c>
      <c r="R49" s="10" t="str">
        <f>IF(ISNUMBER(Balancing!T49),IF(LOWER(Balancing!$D49)="pa",$C49*SQRT(Balancing!T49),Balancing!T49*$C49)/$D49,"-")</f>
        <v>-</v>
      </c>
      <c r="S49" s="10" t="str">
        <f>IF(ISNUMBER(Balancing!U49),IF(LOWER(Balancing!$D49)="pa",$C49*SQRT(Balancing!U49),Balancing!U49*$C49)/$D49,"-")</f>
        <v>-</v>
      </c>
      <c r="T49" s="10" t="str">
        <f>IF(ISNUMBER(Balancing!V49),IF(LOWER(Balancing!$D49)="pa",$C49*SQRT(Balancing!V49),Balancing!V49*$C49)/$D49,"-")</f>
        <v>-</v>
      </c>
      <c r="U49" s="10" t="str">
        <f>IF(ISNUMBER(Balancing!W49),IF(LOWER(Balancing!$D49)="pa",$C49*SQRT(Balancing!W49),Balancing!W49*$C49)/$D49,"-")</f>
        <v>-</v>
      </c>
      <c r="V49" s="10" t="str">
        <f>IF(ISNUMBER(Balancing!X49),IF(LOWER(Balancing!$D49)="pa",$C49*SQRT(Balancing!X49),Balancing!X49*$C49)/$D49,"-")</f>
        <v>-</v>
      </c>
      <c r="W49" s="10" t="str">
        <f>IF(ISNUMBER(Balancing!Y49),IF(LOWER(Balancing!$D49)="pa",$C49*SQRT(Balancing!Y49),Balancing!Y49*$C49)/$D49,"-")</f>
        <v>-</v>
      </c>
      <c r="X49" s="10" t="str">
        <f>IF(ISNUMBER(Balancing!Z49),IF(LOWER(Balancing!$D49)="pa",$C49*SQRT(Balancing!Z49),Balancing!Z49*$C49)/$D49,"-")</f>
        <v>-</v>
      </c>
      <c r="Y49" s="10" t="str">
        <f>IF(ISNUMBER(Balancing!AA49),IF(LOWER(Balancing!$D49)="pa",$C49*SQRT(Balancing!AA49),Balancing!AA49*$C49)/$D49,"-")</f>
        <v>-</v>
      </c>
      <c r="Z49" s="10" t="str">
        <f>IF(ISNUMBER(Balancing!AB49),IF(LOWER(Balancing!$D49)="pa",$C49*SQRT(Balancing!AB49),Balancing!AB49*$C49)/$D49,"-")</f>
        <v>-</v>
      </c>
      <c r="AA49" s="10" t="str">
        <f>IF(ISNUMBER(Balancing!AC49),IF(LOWER(Balancing!$D49)="pa",$C49*SQRT(Balancing!AC49),Balancing!AC49*$C49)/$D49,"-")</f>
        <v>-</v>
      </c>
      <c r="AB49" s="10" t="str">
        <f>IF(ISNUMBER(Balancing!AD49),IF(LOWER(Balancing!$D49)="pa",$C49*SQRT(Balancing!AD49),Balancing!AD49*$C49)/$D49,"-")</f>
        <v>-</v>
      </c>
      <c r="AC49" s="10" t="str">
        <f>IF(ISNUMBER(Balancing!AE49),IF(LOWER(Balancing!$D49)="pa",$C49*SQRT(Balancing!AE49),Balancing!AE49*$C49)/$D49,"-")</f>
        <v>-</v>
      </c>
      <c r="AD49" s="10" t="str">
        <f>IF(ISNUMBER(Balancing!AF49),IF(LOWER(Balancing!$D49)="pa",$C49*SQRT(Balancing!AF49),Balancing!AF49*$C49)/$D49,"-")</f>
        <v>-</v>
      </c>
      <c r="AE49" s="10" t="str">
        <f>IF(ISNUMBER(Balancing!AG49),IF(LOWER(Balancing!$D49)="pa",$C49*SQRT(Balancing!AG49),Balancing!AG49*$C49)/$D49,"-")</f>
        <v>-</v>
      </c>
      <c r="AF49" s="10" t="str">
        <f>IF(ISNUMBER(Balancing!AH49),IF(LOWER(Balancing!$D49)="pa",$C49*SQRT(Balancing!AH49),Balancing!AH49*$C49)/$D49,"-")</f>
        <v>-</v>
      </c>
      <c r="AG49" s="10" t="str">
        <f>IF(ISNUMBER(Balancing!AI49),IF(LOWER(Balancing!$D49)="pa",$C49*SQRT(Balancing!AI49),Balancing!AI49*$C49)/$D49,"-")</f>
        <v>-</v>
      </c>
      <c r="AH49" s="10" t="str">
        <f>IF(ISNUMBER(Balancing!AJ49),IF(LOWER(Balancing!$D49)="pa",$C49*SQRT(Balancing!AJ49),Balancing!AJ49*$C49)/$D49,"-")</f>
        <v>-</v>
      </c>
      <c r="AI49" s="10" t="str">
        <f>IF(ISNUMBER(Balancing!AK49),IF(LOWER(Balancing!$D49)="pa",$C49*SQRT(Balancing!AK49),Balancing!AK49*$C49)/$D49,"-")</f>
        <v>-</v>
      </c>
      <c r="AJ49" s="15" t="str">
        <f>IF(ISNUMBER(Balancing!AL49),IF(LOWER(Balancing!$D49)="pa",$C49*SQRT(Balancing!AL49),Balancing!AL49*$C49)/$D49,"-")</f>
        <v>-</v>
      </c>
      <c r="AL49" s="10" t="b">
        <f>COUNTA(Balancing!D49:AM49)=0</f>
        <v>1</v>
      </c>
      <c r="AM49" s="10" t="b">
        <f>AND(OR(Balancing!D49="",ISERROR(C49)),OR(Balancing!D49&lt;&gt;"",Balancing!E49&lt;&gt;"",Balancing!H49&lt;&gt;""))</f>
        <v>0</v>
      </c>
      <c r="AN49" s="10" t="str">
        <f>IF(ISNUMBER(INDEX(Balancing!$H$2:$AM$51,$B49,$E$65-1)),$B49,"-")</f>
        <v>-</v>
      </c>
      <c r="AO49" s="10" t="str">
        <f>IF(ISNUMBER(INDEX(Balancing!$H$2:$AM$51,$B49,$E$65)),$B49,"-")</f>
        <v>-</v>
      </c>
      <c r="AP49" s="10" t="str">
        <f t="shared" si="7"/>
        <v>-</v>
      </c>
      <c r="AQ49" t="str">
        <f>IF(ISNUMBER(AO49),IF(ABS(INDEX($F$2:$AJ$51,$B49,$E$65)-INDEX($F$2:$AJ$51,E$66,$E$65))/INDEX($F$2:$AJ$51,E$66,$E$65)&gt;General!B$9,B49,"ok"),"-")</f>
        <v>-</v>
      </c>
      <c r="AR49" t="str">
        <f t="shared" si="10"/>
        <v>-</v>
      </c>
      <c r="AS49" t="str">
        <f t="shared" si="11"/>
        <v>-</v>
      </c>
      <c r="AT49" s="10" t="str">
        <f>IF(ISNUMBER(Balancing!H49),B49,"-")</f>
        <v>-</v>
      </c>
      <c r="AU49" t="e">
        <f t="shared" si="12"/>
        <v>#VALUE!</v>
      </c>
      <c r="AV49" s="10" t="e">
        <f>IF(E$97,"OK!",IF(LOWER(Balancing!$D49)="pa",(AU49/C49)^2,AU49/$C49))</f>
        <v>#VALUE!</v>
      </c>
      <c r="AW49" s="19" t="str">
        <f>IF(AL49,".",IF(AM49,BV$24,IF(AND(Balancing!F49="",OR(General!B$8="pa",Balancing!D49="pa")),BV$25,IF(Balancing!E49="",BV$26,IF(E$65=0,BV$27,IF(B49=E$94,BV$28,IF(AND(B49=E$94-1,B49=E$91,AO49&lt;&gt;B49),BV$31,"")))))))</f>
        <v>.</v>
      </c>
      <c r="AX49" s="8" t="str">
        <f t="shared" si="13"/>
        <v>.</v>
      </c>
      <c r="AY49" s="7" t="str">
        <f t="shared" si="14"/>
        <v>.</v>
      </c>
      <c r="BA49" s="21">
        <f t="shared" si="8"/>
        <v>0</v>
      </c>
      <c r="BB49" s="21" t="e">
        <f t="shared" si="9"/>
        <v>#VALUE!</v>
      </c>
      <c r="BC49" t="str">
        <f t="shared" si="15"/>
        <v>-</v>
      </c>
      <c r="BD49" t="str">
        <f t="shared" si="16"/>
        <v>-</v>
      </c>
    </row>
    <row r="50" spans="2:56" x14ac:dyDescent="0.25">
      <c r="B50">
        <v>49</v>
      </c>
      <c r="C50" t="e">
        <f>IF(LOWER(Balancing!D50)="pa",Balancing!F50/1000,INDEX($E$98:$E$103,MATCH(LOWER(Balancing!D50),$D$98:$D$103,0)))</f>
        <v>#N/A</v>
      </c>
      <c r="D50" s="10">
        <f>IF(LOWER(General!$B$8)="pa",Balancing!$F50*SQRT(Balancing!E50)/1000,Balancing!E50*E$104)</f>
        <v>0</v>
      </c>
      <c r="E50" s="10" t="str">
        <f>IF(ISNUMBER(Balancing!H50),IF(LOWER(Balancing!$D50)="pa",$C50*SQRT(Balancing!H50),Balancing!H50*$C50),"-")</f>
        <v>-</v>
      </c>
      <c r="F50" s="14" t="str">
        <f>IF(ISNUMBER(Balancing!H50),IF(LOWER(Balancing!$D50)="pa",$C50*SQRT(Balancing!H50),Balancing!H50*$C50)/$D50,"-")</f>
        <v>-</v>
      </c>
      <c r="G50" s="10" t="str">
        <f>IF(ISNUMBER(Balancing!I50),IF(LOWER(Balancing!$D50)="pa",$C50*SQRT(Balancing!I50),Balancing!I50*$C50)/$D50,"-")</f>
        <v>-</v>
      </c>
      <c r="H50" s="10" t="str">
        <f>IF(ISNUMBER(Balancing!J50),IF(LOWER(Balancing!$D50)="pa",$C50*SQRT(Balancing!J50),Balancing!J50*$C50)/$D50,"-")</f>
        <v>-</v>
      </c>
      <c r="I50" s="10" t="str">
        <f>IF(ISNUMBER(Balancing!K50),IF(LOWER(Balancing!$D50)="pa",$C50*SQRT(Balancing!K50),Balancing!K50*$C50)/$D50,"-")</f>
        <v>-</v>
      </c>
      <c r="J50" s="10" t="str">
        <f>IF(ISNUMBER(Balancing!L50),IF(LOWER(Balancing!$D50)="pa",$C50*SQRT(Balancing!L50),Balancing!L50*$C50)/$D50,"-")</f>
        <v>-</v>
      </c>
      <c r="K50" s="10" t="str">
        <f>IF(ISNUMBER(Balancing!M50),IF(LOWER(Balancing!$D50)="pa",$C50*SQRT(Balancing!M50),Balancing!M50*$C50)/$D50,"-")</f>
        <v>-</v>
      </c>
      <c r="L50" s="10" t="str">
        <f>IF(ISNUMBER(Balancing!N50),IF(LOWER(Balancing!$D50)="pa",$C50*SQRT(Balancing!N50),Balancing!N50*$C50)/$D50,"-")</f>
        <v>-</v>
      </c>
      <c r="M50" s="10" t="str">
        <f>IF(ISNUMBER(Balancing!O50),IF(LOWER(Balancing!$D50)="pa",$C50*SQRT(Balancing!O50),Balancing!O50*$C50)/$D50,"-")</f>
        <v>-</v>
      </c>
      <c r="N50" s="10" t="str">
        <f>IF(ISNUMBER(Balancing!P50),IF(LOWER(Balancing!$D50)="pa",$C50*SQRT(Balancing!P50),Balancing!P50*$C50)/$D50,"-")</f>
        <v>-</v>
      </c>
      <c r="O50" s="10" t="str">
        <f>IF(ISNUMBER(Balancing!Q50),IF(LOWER(Balancing!$D50)="pa",$C50*SQRT(Balancing!Q50),Balancing!Q50*$C50)/$D50,"-")</f>
        <v>-</v>
      </c>
      <c r="P50" s="10" t="str">
        <f>IF(ISNUMBER(Balancing!R50),IF(LOWER(Balancing!$D50)="pa",$C50*SQRT(Balancing!R50),Balancing!R50*$C50)/$D50,"-")</f>
        <v>-</v>
      </c>
      <c r="Q50" s="10" t="str">
        <f>IF(ISNUMBER(Balancing!S50),IF(LOWER(Balancing!$D50)="pa",$C50*SQRT(Balancing!S50),Balancing!S50*$C50)/$D50,"-")</f>
        <v>-</v>
      </c>
      <c r="R50" s="10" t="str">
        <f>IF(ISNUMBER(Balancing!T50),IF(LOWER(Balancing!$D50)="pa",$C50*SQRT(Balancing!T50),Balancing!T50*$C50)/$D50,"-")</f>
        <v>-</v>
      </c>
      <c r="S50" s="10" t="str">
        <f>IF(ISNUMBER(Balancing!U50),IF(LOWER(Balancing!$D50)="pa",$C50*SQRT(Balancing!U50),Balancing!U50*$C50)/$D50,"-")</f>
        <v>-</v>
      </c>
      <c r="T50" s="10" t="str">
        <f>IF(ISNUMBER(Balancing!V50),IF(LOWER(Balancing!$D50)="pa",$C50*SQRT(Balancing!V50),Balancing!V50*$C50)/$D50,"-")</f>
        <v>-</v>
      </c>
      <c r="U50" s="10" t="str">
        <f>IF(ISNUMBER(Balancing!W50),IF(LOWER(Balancing!$D50)="pa",$C50*SQRT(Balancing!W50),Balancing!W50*$C50)/$D50,"-")</f>
        <v>-</v>
      </c>
      <c r="V50" s="10" t="str">
        <f>IF(ISNUMBER(Balancing!X50),IF(LOWER(Balancing!$D50)="pa",$C50*SQRT(Balancing!X50),Balancing!X50*$C50)/$D50,"-")</f>
        <v>-</v>
      </c>
      <c r="W50" s="10" t="str">
        <f>IF(ISNUMBER(Balancing!Y50),IF(LOWER(Balancing!$D50)="pa",$C50*SQRT(Balancing!Y50),Balancing!Y50*$C50)/$D50,"-")</f>
        <v>-</v>
      </c>
      <c r="X50" s="10" t="str">
        <f>IF(ISNUMBER(Balancing!Z50),IF(LOWER(Balancing!$D50)="pa",$C50*SQRT(Balancing!Z50),Balancing!Z50*$C50)/$D50,"-")</f>
        <v>-</v>
      </c>
      <c r="Y50" s="10" t="str">
        <f>IF(ISNUMBER(Balancing!AA50),IF(LOWER(Balancing!$D50)="pa",$C50*SQRT(Balancing!AA50),Balancing!AA50*$C50)/$D50,"-")</f>
        <v>-</v>
      </c>
      <c r="Z50" s="10" t="str">
        <f>IF(ISNUMBER(Balancing!AB50),IF(LOWER(Balancing!$D50)="pa",$C50*SQRT(Balancing!AB50),Balancing!AB50*$C50)/$D50,"-")</f>
        <v>-</v>
      </c>
      <c r="AA50" s="10" t="str">
        <f>IF(ISNUMBER(Balancing!AC50),IF(LOWER(Balancing!$D50)="pa",$C50*SQRT(Balancing!AC50),Balancing!AC50*$C50)/$D50,"-")</f>
        <v>-</v>
      </c>
      <c r="AB50" s="10" t="str">
        <f>IF(ISNUMBER(Balancing!AD50),IF(LOWER(Balancing!$D50)="pa",$C50*SQRT(Balancing!AD50),Balancing!AD50*$C50)/$D50,"-")</f>
        <v>-</v>
      </c>
      <c r="AC50" s="10" t="str">
        <f>IF(ISNUMBER(Balancing!AE50),IF(LOWER(Balancing!$D50)="pa",$C50*SQRT(Balancing!AE50),Balancing!AE50*$C50)/$D50,"-")</f>
        <v>-</v>
      </c>
      <c r="AD50" s="10" t="str">
        <f>IF(ISNUMBER(Balancing!AF50),IF(LOWER(Balancing!$D50)="pa",$C50*SQRT(Balancing!AF50),Balancing!AF50*$C50)/$D50,"-")</f>
        <v>-</v>
      </c>
      <c r="AE50" s="10" t="str">
        <f>IF(ISNUMBER(Balancing!AG50),IF(LOWER(Balancing!$D50)="pa",$C50*SQRT(Balancing!AG50),Balancing!AG50*$C50)/$D50,"-")</f>
        <v>-</v>
      </c>
      <c r="AF50" s="10" t="str">
        <f>IF(ISNUMBER(Balancing!AH50),IF(LOWER(Balancing!$D50)="pa",$C50*SQRT(Balancing!AH50),Balancing!AH50*$C50)/$D50,"-")</f>
        <v>-</v>
      </c>
      <c r="AG50" s="10" t="str">
        <f>IF(ISNUMBER(Balancing!AI50),IF(LOWER(Balancing!$D50)="pa",$C50*SQRT(Balancing!AI50),Balancing!AI50*$C50)/$D50,"-")</f>
        <v>-</v>
      </c>
      <c r="AH50" s="10" t="str">
        <f>IF(ISNUMBER(Balancing!AJ50),IF(LOWER(Balancing!$D50)="pa",$C50*SQRT(Balancing!AJ50),Balancing!AJ50*$C50)/$D50,"-")</f>
        <v>-</v>
      </c>
      <c r="AI50" s="10" t="str">
        <f>IF(ISNUMBER(Balancing!AK50),IF(LOWER(Balancing!$D50)="pa",$C50*SQRT(Balancing!AK50),Balancing!AK50*$C50)/$D50,"-")</f>
        <v>-</v>
      </c>
      <c r="AJ50" s="15" t="str">
        <f>IF(ISNUMBER(Balancing!AL50),IF(LOWER(Balancing!$D50)="pa",$C50*SQRT(Balancing!AL50),Balancing!AL50*$C50)/$D50,"-")</f>
        <v>-</v>
      </c>
      <c r="AL50" s="10" t="b">
        <f>COUNTA(Balancing!D50:AM50)=0</f>
        <v>1</v>
      </c>
      <c r="AM50" s="10" t="b">
        <f>AND(OR(Balancing!D50="",ISERROR(C50)),OR(Balancing!D50&lt;&gt;"",Balancing!E50&lt;&gt;"",Balancing!H50&lt;&gt;""))</f>
        <v>0</v>
      </c>
      <c r="AN50" s="10" t="str">
        <f>IF(ISNUMBER(INDEX(Balancing!$H$2:$AM$51,$B50,$E$65-1)),$B50,"-")</f>
        <v>-</v>
      </c>
      <c r="AO50" s="10" t="str">
        <f>IF(ISNUMBER(INDEX(Balancing!$H$2:$AM$51,$B50,$E$65)),$B50,"-")</f>
        <v>-</v>
      </c>
      <c r="AP50" s="10" t="str">
        <f t="shared" si="7"/>
        <v>-</v>
      </c>
      <c r="AQ50" t="str">
        <f>IF(ISNUMBER(AO50),IF(ABS(INDEX($F$2:$AJ$51,$B50,$E$65)-INDEX($F$2:$AJ$51,E$66,$E$65))/INDEX($F$2:$AJ$51,E$66,$E$65)&gt;General!B$9,B50,"ok"),"-")</f>
        <v>-</v>
      </c>
      <c r="AR50" t="str">
        <f t="shared" si="10"/>
        <v>-</v>
      </c>
      <c r="AS50" t="str">
        <f t="shared" si="11"/>
        <v>-</v>
      </c>
      <c r="AT50" s="10" t="str">
        <f>IF(ISNUMBER(Balancing!H50),B50,"-")</f>
        <v>-</v>
      </c>
      <c r="AU50" t="e">
        <f t="shared" si="12"/>
        <v>#VALUE!</v>
      </c>
      <c r="AV50" s="10" t="e">
        <f>IF(E$97,"OK!",IF(LOWER(Balancing!$D50)="pa",(AU50/C50)^2,AU50/$C50))</f>
        <v>#VALUE!</v>
      </c>
      <c r="AW50" s="19" t="str">
        <f>IF(AL50,".",IF(AM50,BV$24,IF(AND(Balancing!F50="",OR(General!B$8="pa",Balancing!D50="pa")),BV$25,IF(Balancing!E50="",BV$26,IF(E$65=0,BV$27,IF(B50=E$94,BV$28,IF(AND(B50=E$94-1,B50=E$91,AO50&lt;&gt;B50),BV$31,"")))))))</f>
        <v>.</v>
      </c>
      <c r="AX50" s="8" t="str">
        <f t="shared" si="13"/>
        <v>.</v>
      </c>
      <c r="AY50" s="7" t="str">
        <f t="shared" si="14"/>
        <v>.</v>
      </c>
      <c r="BA50" s="21">
        <f t="shared" si="8"/>
        <v>0</v>
      </c>
      <c r="BB50" s="21" t="e">
        <f t="shared" si="9"/>
        <v>#VALUE!</v>
      </c>
      <c r="BC50" t="str">
        <f t="shared" si="15"/>
        <v>-</v>
      </c>
      <c r="BD50" t="str">
        <f t="shared" si="16"/>
        <v>-</v>
      </c>
    </row>
    <row r="51" spans="2:56" x14ac:dyDescent="0.25">
      <c r="B51">
        <v>50</v>
      </c>
      <c r="C51" t="e">
        <f>IF(LOWER(Balancing!D51)="pa",Balancing!F51/1000,INDEX($E$98:$E$103,MATCH(LOWER(Balancing!D51),$D$98:$D$103,0)))</f>
        <v>#N/A</v>
      </c>
      <c r="D51" s="10">
        <f>IF(LOWER(General!$B$8)="pa",Balancing!$F51*SQRT(Balancing!E51)/1000,Balancing!E51*E$104)</f>
        <v>0</v>
      </c>
      <c r="E51" s="10" t="str">
        <f>IF(ISNUMBER(Balancing!H51),IF(LOWER(Balancing!$D51)="pa",$C51*SQRT(Balancing!H51),Balancing!H51*$C51),"-")</f>
        <v>-</v>
      </c>
      <c r="F51" s="16" t="str">
        <f>IF(ISNUMBER(Balancing!H51),IF(LOWER(Balancing!$D51)="pa",$C51*SQRT(Balancing!H51),Balancing!H51*$C51)/$D51,"-")</f>
        <v>-</v>
      </c>
      <c r="G51" s="17" t="str">
        <f>IF(ISNUMBER(Balancing!I51),IF(LOWER(Balancing!$D51)="pa",$C51*SQRT(Balancing!I51),Balancing!I51*$C51)/$D51,"-")</f>
        <v>-</v>
      </c>
      <c r="H51" s="17" t="str">
        <f>IF(ISNUMBER(Balancing!J51),IF(LOWER(Balancing!$D51)="pa",$C51*SQRT(Balancing!J51),Balancing!J51*$C51)/$D51,"-")</f>
        <v>-</v>
      </c>
      <c r="I51" s="17" t="str">
        <f>IF(ISNUMBER(Balancing!K51),IF(LOWER(Balancing!$D51)="pa",$C51*SQRT(Balancing!K51),Balancing!K51*$C51)/$D51,"-")</f>
        <v>-</v>
      </c>
      <c r="J51" s="17" t="str">
        <f>IF(ISNUMBER(Balancing!L51),IF(LOWER(Balancing!$D51)="pa",$C51*SQRT(Balancing!L51),Balancing!L51*$C51)/$D51,"-")</f>
        <v>-</v>
      </c>
      <c r="K51" s="17" t="str">
        <f>IF(ISNUMBER(Balancing!M51),IF(LOWER(Balancing!$D51)="pa",$C51*SQRT(Balancing!M51),Balancing!M51*$C51)/$D51,"-")</f>
        <v>-</v>
      </c>
      <c r="L51" s="17" t="str">
        <f>IF(ISNUMBER(Balancing!N51),IF(LOWER(Balancing!$D51)="pa",$C51*SQRT(Balancing!N51),Balancing!N51*$C51)/$D51,"-")</f>
        <v>-</v>
      </c>
      <c r="M51" s="17" t="str">
        <f>IF(ISNUMBER(Balancing!O51),IF(LOWER(Balancing!$D51)="pa",$C51*SQRT(Balancing!O51),Balancing!O51*$C51)/$D51,"-")</f>
        <v>-</v>
      </c>
      <c r="N51" s="17" t="str">
        <f>IF(ISNUMBER(Balancing!P51),IF(LOWER(Balancing!$D51)="pa",$C51*SQRT(Balancing!P51),Balancing!P51*$C51)/$D51,"-")</f>
        <v>-</v>
      </c>
      <c r="O51" s="17" t="str">
        <f>IF(ISNUMBER(Balancing!Q51),IF(LOWER(Balancing!$D51)="pa",$C51*SQRT(Balancing!Q51),Balancing!Q51*$C51)/$D51,"-")</f>
        <v>-</v>
      </c>
      <c r="P51" s="17" t="str">
        <f>IF(ISNUMBER(Balancing!R51),IF(LOWER(Balancing!$D51)="pa",$C51*SQRT(Balancing!R51),Balancing!R51*$C51)/$D51,"-")</f>
        <v>-</v>
      </c>
      <c r="Q51" s="17" t="str">
        <f>IF(ISNUMBER(Balancing!S51),IF(LOWER(Balancing!$D51)="pa",$C51*SQRT(Balancing!S51),Balancing!S51*$C51)/$D51,"-")</f>
        <v>-</v>
      </c>
      <c r="R51" s="17" t="str">
        <f>IF(ISNUMBER(Balancing!T51),IF(LOWER(Balancing!$D51)="pa",$C51*SQRT(Balancing!T51),Balancing!T51*$C51)/$D51,"-")</f>
        <v>-</v>
      </c>
      <c r="S51" s="17" t="str">
        <f>IF(ISNUMBER(Balancing!U51),IF(LOWER(Balancing!$D51)="pa",$C51*SQRT(Balancing!U51),Balancing!U51*$C51)/$D51,"-")</f>
        <v>-</v>
      </c>
      <c r="T51" s="17" t="str">
        <f>IF(ISNUMBER(Balancing!V51),IF(LOWER(Balancing!$D51)="pa",$C51*SQRT(Balancing!V51),Balancing!V51*$C51)/$D51,"-")</f>
        <v>-</v>
      </c>
      <c r="U51" s="17" t="str">
        <f>IF(ISNUMBER(Balancing!W51),IF(LOWER(Balancing!$D51)="pa",$C51*SQRT(Balancing!W51),Balancing!W51*$C51)/$D51,"-")</f>
        <v>-</v>
      </c>
      <c r="V51" s="17" t="str">
        <f>IF(ISNUMBER(Balancing!X51),IF(LOWER(Balancing!$D51)="pa",$C51*SQRT(Balancing!X51),Balancing!X51*$C51)/$D51,"-")</f>
        <v>-</v>
      </c>
      <c r="W51" s="17" t="str">
        <f>IF(ISNUMBER(Balancing!Y51),IF(LOWER(Balancing!$D51)="pa",$C51*SQRT(Balancing!Y51),Balancing!Y51*$C51)/$D51,"-")</f>
        <v>-</v>
      </c>
      <c r="X51" s="17" t="str">
        <f>IF(ISNUMBER(Balancing!Z51),IF(LOWER(Balancing!$D51)="pa",$C51*SQRT(Balancing!Z51),Balancing!Z51*$C51)/$D51,"-")</f>
        <v>-</v>
      </c>
      <c r="Y51" s="17" t="str">
        <f>IF(ISNUMBER(Balancing!AA51),IF(LOWER(Balancing!$D51)="pa",$C51*SQRT(Balancing!AA51),Balancing!AA51*$C51)/$D51,"-")</f>
        <v>-</v>
      </c>
      <c r="Z51" s="17" t="str">
        <f>IF(ISNUMBER(Balancing!AB51),IF(LOWER(Balancing!$D51)="pa",$C51*SQRT(Balancing!AB51),Balancing!AB51*$C51)/$D51,"-")</f>
        <v>-</v>
      </c>
      <c r="AA51" s="17" t="str">
        <f>IF(ISNUMBER(Balancing!AC51),IF(LOWER(Balancing!$D51)="pa",$C51*SQRT(Balancing!AC51),Balancing!AC51*$C51)/$D51,"-")</f>
        <v>-</v>
      </c>
      <c r="AB51" s="17" t="str">
        <f>IF(ISNUMBER(Balancing!AD51),IF(LOWER(Balancing!$D51)="pa",$C51*SQRT(Balancing!AD51),Balancing!AD51*$C51)/$D51,"-")</f>
        <v>-</v>
      </c>
      <c r="AC51" s="17" t="str">
        <f>IF(ISNUMBER(Balancing!AE51),IF(LOWER(Balancing!$D51)="pa",$C51*SQRT(Balancing!AE51),Balancing!AE51*$C51)/$D51,"-")</f>
        <v>-</v>
      </c>
      <c r="AD51" s="17" t="str">
        <f>IF(ISNUMBER(Balancing!AF51),IF(LOWER(Balancing!$D51)="pa",$C51*SQRT(Balancing!AF51),Balancing!AF51*$C51)/$D51,"-")</f>
        <v>-</v>
      </c>
      <c r="AE51" s="17" t="str">
        <f>IF(ISNUMBER(Balancing!AG51),IF(LOWER(Balancing!$D51)="pa",$C51*SQRT(Balancing!AG51),Balancing!AG51*$C51)/$D51,"-")</f>
        <v>-</v>
      </c>
      <c r="AF51" s="17" t="str">
        <f>IF(ISNUMBER(Balancing!AH51),IF(LOWER(Balancing!$D51)="pa",$C51*SQRT(Balancing!AH51),Balancing!AH51*$C51)/$D51,"-")</f>
        <v>-</v>
      </c>
      <c r="AG51" s="17" t="str">
        <f>IF(ISNUMBER(Balancing!AI51),IF(LOWER(Balancing!$D51)="pa",$C51*SQRT(Balancing!AI51),Balancing!AI51*$C51)/$D51,"-")</f>
        <v>-</v>
      </c>
      <c r="AH51" s="17" t="str">
        <f>IF(ISNUMBER(Balancing!AJ51),IF(LOWER(Balancing!$D51)="pa",$C51*SQRT(Balancing!AJ51),Balancing!AJ51*$C51)/$D51,"-")</f>
        <v>-</v>
      </c>
      <c r="AI51" s="17" t="str">
        <f>IF(ISNUMBER(Balancing!AK51),IF(LOWER(Balancing!$D51)="pa",$C51*SQRT(Balancing!AK51),Balancing!AK51*$C51)/$D51,"-")</f>
        <v>-</v>
      </c>
      <c r="AJ51" s="18" t="str">
        <f>IF(ISNUMBER(Balancing!AL51),IF(LOWER(Balancing!$D51)="pa",$C51*SQRT(Balancing!AL51),Balancing!AL51*$C51)/$D51,"-")</f>
        <v>-</v>
      </c>
      <c r="AL51" s="10" t="b">
        <f>COUNTA(Balancing!D51:AM51)=0</f>
        <v>1</v>
      </c>
      <c r="AM51" s="10" t="b">
        <f>AND(OR(Balancing!D51="",ISERROR(C51)),OR(Balancing!D51&lt;&gt;"",Balancing!E51&lt;&gt;"",Balancing!H51&lt;&gt;""))</f>
        <v>0</v>
      </c>
      <c r="AN51" s="10" t="str">
        <f>IF(ISNUMBER(INDEX(Balancing!$H$2:$AM$51,$B51,$E$65-1)),$B51,"-")</f>
        <v>-</v>
      </c>
      <c r="AO51" s="10" t="str">
        <f>IF(ISNUMBER(INDEX(Balancing!$H$2:$AM$51,$B51,$E$65)),$B51,"-")</f>
        <v>-</v>
      </c>
      <c r="AP51" s="10" t="str">
        <f t="shared" si="7"/>
        <v>-</v>
      </c>
      <c r="AQ51" t="str">
        <f>IF(ISNUMBER(AO51),IF(ABS(INDEX($F$2:$AJ$51,$B51,$E$65)-INDEX($F$2:$AJ$51,E$66,$E$65))/INDEX($F$2:$AJ$51,E$66,$E$65)&gt;General!B$9,B51,"ok"),"-")</f>
        <v>-</v>
      </c>
      <c r="AR51" t="str">
        <f t="shared" si="10"/>
        <v>-</v>
      </c>
      <c r="AS51" t="str">
        <f t="shared" si="11"/>
        <v>-</v>
      </c>
      <c r="AT51" s="10" t="str">
        <f>IF(ISNUMBER(Balancing!H51),B51,"-")</f>
        <v>-</v>
      </c>
      <c r="AU51" t="e">
        <f t="shared" si="12"/>
        <v>#VALUE!</v>
      </c>
      <c r="AV51" s="10" t="e">
        <f>IF(E$97,"OK!",IF(LOWER(Balancing!$D51)="pa",(AU51/C51)^2,AU51/$C51))</f>
        <v>#VALUE!</v>
      </c>
      <c r="AW51" s="19" t="str">
        <f>IF(AL51,".",IF(AM51,BV$24,IF(AND(Balancing!F51="",OR(General!B$8="pa",Balancing!D51="pa")),BV$25,IF(Balancing!E51="",BV$26,IF(E$65=0,BV$27,IF(B51=E$94,BV$28,IF(AND(B51=E$94-1,B51=E$91,AO51&lt;&gt;B51),BV$31,"")))))))</f>
        <v>.</v>
      </c>
      <c r="AX51" s="8" t="str">
        <f t="shared" si="13"/>
        <v>.</v>
      </c>
      <c r="AY51" s="7" t="str">
        <f t="shared" si="14"/>
        <v>.</v>
      </c>
      <c r="BA51" s="21">
        <f t="shared" si="8"/>
        <v>0</v>
      </c>
      <c r="BB51" s="21" t="e">
        <f t="shared" si="9"/>
        <v>#VALUE!</v>
      </c>
      <c r="BC51" t="str">
        <f t="shared" si="15"/>
        <v>-</v>
      </c>
      <c r="BD51" t="str">
        <f t="shared" si="16"/>
        <v>-</v>
      </c>
    </row>
    <row r="52" spans="2:56" x14ac:dyDescent="0.25">
      <c r="F52" s="3" t="s">
        <v>49</v>
      </c>
      <c r="AW52"/>
      <c r="AX52" s="8"/>
      <c r="AY52" s="7"/>
    </row>
    <row r="53" spans="2:56" x14ac:dyDescent="0.25">
      <c r="E53" t="s">
        <v>4</v>
      </c>
      <c r="F53" s="10">
        <f>COUNT(Balancing!H:H)</f>
        <v>0</v>
      </c>
      <c r="G53" s="10">
        <f>COUNT(Balancing!I:I)</f>
        <v>0</v>
      </c>
      <c r="H53" s="10">
        <f>COUNT(Balancing!J:J)</f>
        <v>0</v>
      </c>
      <c r="I53" s="10">
        <f>COUNT(Balancing!K:K)</f>
        <v>0</v>
      </c>
      <c r="J53" s="10">
        <f>COUNT(Balancing!L:L)</f>
        <v>0</v>
      </c>
      <c r="K53" s="10">
        <f>COUNT(Balancing!M:M)</f>
        <v>0</v>
      </c>
      <c r="L53" s="10">
        <f>COUNT(Balancing!N:N)</f>
        <v>0</v>
      </c>
      <c r="M53" s="10">
        <f>COUNT(Balancing!O:O)</f>
        <v>0</v>
      </c>
      <c r="N53" s="10">
        <f>COUNT(Balancing!P:P)</f>
        <v>0</v>
      </c>
      <c r="O53" s="10">
        <f>COUNT(Balancing!Q:Q)</f>
        <v>0</v>
      </c>
      <c r="P53" s="10">
        <f>COUNT(Balancing!R:R)</f>
        <v>0</v>
      </c>
      <c r="Q53" s="10">
        <f>COUNT(Balancing!S:S)</f>
        <v>0</v>
      </c>
      <c r="R53" s="10">
        <f>COUNT(Balancing!T:T)</f>
        <v>0</v>
      </c>
      <c r="S53" s="10">
        <f>COUNT(Balancing!U:U)</f>
        <v>0</v>
      </c>
      <c r="T53" s="10">
        <f>COUNT(Balancing!V:V)</f>
        <v>0</v>
      </c>
      <c r="U53" s="10">
        <f>COUNT(Balancing!W:W)</f>
        <v>0</v>
      </c>
      <c r="V53" s="10">
        <f>COUNT(Balancing!X:X)</f>
        <v>0</v>
      </c>
      <c r="W53" s="10">
        <f>COUNT(Balancing!Y:Y)</f>
        <v>0</v>
      </c>
      <c r="X53" s="10">
        <f>COUNT(Balancing!Z:Z)</f>
        <v>0</v>
      </c>
      <c r="Y53" s="10">
        <f>COUNT(Balancing!AA:AA)</f>
        <v>0</v>
      </c>
      <c r="Z53" s="10">
        <f>COUNT(Balancing!AB:AB)</f>
        <v>0</v>
      </c>
      <c r="AA53" s="10">
        <f>COUNT(Balancing!AC:AC)</f>
        <v>0</v>
      </c>
      <c r="AB53" s="10">
        <f>COUNT(Balancing!AD:AD)</f>
        <v>0</v>
      </c>
      <c r="AC53" s="10">
        <f>COUNT(Balancing!AE:AE)</f>
        <v>0</v>
      </c>
      <c r="AD53" s="10">
        <f>COUNT(Balancing!AF:AF)</f>
        <v>0</v>
      </c>
      <c r="AE53" s="10">
        <f>COUNT(Balancing!AG:AG)</f>
        <v>0</v>
      </c>
      <c r="AF53" s="10">
        <f>COUNT(Balancing!AH:AH)</f>
        <v>0</v>
      </c>
      <c r="AG53" s="10">
        <f>COUNT(Balancing!AI:AI)</f>
        <v>0</v>
      </c>
      <c r="AH53" s="10">
        <f>COUNT(Balancing!AJ:AJ)</f>
        <v>0</v>
      </c>
      <c r="AI53" s="10">
        <f>COUNT(Balancing!AK:AK)</f>
        <v>0</v>
      </c>
      <c r="AJ53" s="10">
        <f>COUNT(Balancing!AL:AL)</f>
        <v>0</v>
      </c>
      <c r="AK53">
        <v>0</v>
      </c>
      <c r="AW53"/>
      <c r="AX53" s="8"/>
      <c r="AY53" s="7"/>
    </row>
    <row r="54" spans="2:56" x14ac:dyDescent="0.25">
      <c r="E54" t="s">
        <v>47</v>
      </c>
      <c r="F54" t="str">
        <f t="shared" ref="F54:AJ54" si="17">IF(F53&gt;1,F1,"-")</f>
        <v>-</v>
      </c>
      <c r="G54" t="str">
        <f t="shared" si="17"/>
        <v>-</v>
      </c>
      <c r="H54" t="str">
        <f t="shared" si="17"/>
        <v>-</v>
      </c>
      <c r="I54" t="str">
        <f t="shared" si="17"/>
        <v>-</v>
      </c>
      <c r="J54" t="str">
        <f t="shared" si="17"/>
        <v>-</v>
      </c>
      <c r="K54" t="str">
        <f t="shared" si="17"/>
        <v>-</v>
      </c>
      <c r="L54" t="str">
        <f t="shared" si="17"/>
        <v>-</v>
      </c>
      <c r="M54" t="str">
        <f t="shared" si="17"/>
        <v>-</v>
      </c>
      <c r="N54" t="str">
        <f t="shared" si="17"/>
        <v>-</v>
      </c>
      <c r="O54" t="str">
        <f t="shared" si="17"/>
        <v>-</v>
      </c>
      <c r="P54" t="str">
        <f t="shared" si="17"/>
        <v>-</v>
      </c>
      <c r="Q54" t="str">
        <f t="shared" si="17"/>
        <v>-</v>
      </c>
      <c r="R54" t="str">
        <f t="shared" si="17"/>
        <v>-</v>
      </c>
      <c r="S54" t="str">
        <f t="shared" si="17"/>
        <v>-</v>
      </c>
      <c r="T54" t="str">
        <f t="shared" si="17"/>
        <v>-</v>
      </c>
      <c r="U54" t="str">
        <f t="shared" si="17"/>
        <v>-</v>
      </c>
      <c r="V54" t="str">
        <f t="shared" si="17"/>
        <v>-</v>
      </c>
      <c r="W54" t="str">
        <f t="shared" si="17"/>
        <v>-</v>
      </c>
      <c r="X54" t="str">
        <f t="shared" si="17"/>
        <v>-</v>
      </c>
      <c r="Y54" t="str">
        <f t="shared" si="17"/>
        <v>-</v>
      </c>
      <c r="Z54" t="str">
        <f t="shared" si="17"/>
        <v>-</v>
      </c>
      <c r="AA54" t="str">
        <f t="shared" si="17"/>
        <v>-</v>
      </c>
      <c r="AB54" t="str">
        <f t="shared" si="17"/>
        <v>-</v>
      </c>
      <c r="AC54" t="str">
        <f t="shared" si="17"/>
        <v>-</v>
      </c>
      <c r="AD54" t="str">
        <f t="shared" si="17"/>
        <v>-</v>
      </c>
      <c r="AE54" t="str">
        <f t="shared" si="17"/>
        <v>-</v>
      </c>
      <c r="AF54" t="str">
        <f t="shared" si="17"/>
        <v>-</v>
      </c>
      <c r="AG54" t="str">
        <f t="shared" si="17"/>
        <v>-</v>
      </c>
      <c r="AH54" t="str">
        <f t="shared" si="17"/>
        <v>-</v>
      </c>
      <c r="AI54" t="str">
        <f t="shared" si="17"/>
        <v>-</v>
      </c>
      <c r="AJ54" t="str">
        <f t="shared" si="17"/>
        <v>-</v>
      </c>
      <c r="AW54"/>
      <c r="AX54" s="8"/>
      <c r="AY54" s="7"/>
    </row>
    <row r="55" spans="2:56" x14ac:dyDescent="0.25">
      <c r="E55" t="s">
        <v>65</v>
      </c>
      <c r="F55" t="str">
        <f t="shared" ref="F55:AJ55" si="18">IF(AND(F53=2,F56),F1,"-")</f>
        <v>-</v>
      </c>
      <c r="G55" t="str">
        <f t="shared" si="18"/>
        <v>-</v>
      </c>
      <c r="H55" t="str">
        <f t="shared" si="18"/>
        <v>-</v>
      </c>
      <c r="I55" t="str">
        <f t="shared" si="18"/>
        <v>-</v>
      </c>
      <c r="J55" t="str">
        <f t="shared" si="18"/>
        <v>-</v>
      </c>
      <c r="K55" t="str">
        <f t="shared" si="18"/>
        <v>-</v>
      </c>
      <c r="L55" t="str">
        <f t="shared" si="18"/>
        <v>-</v>
      </c>
      <c r="M55" t="str">
        <f t="shared" si="18"/>
        <v>-</v>
      </c>
      <c r="N55" t="str">
        <f t="shared" si="18"/>
        <v>-</v>
      </c>
      <c r="O55" t="str">
        <f t="shared" si="18"/>
        <v>-</v>
      </c>
      <c r="P55" t="str">
        <f t="shared" si="18"/>
        <v>-</v>
      </c>
      <c r="Q55" t="str">
        <f t="shared" si="18"/>
        <v>-</v>
      </c>
      <c r="R55" t="str">
        <f t="shared" si="18"/>
        <v>-</v>
      </c>
      <c r="S55" t="str">
        <f t="shared" si="18"/>
        <v>-</v>
      </c>
      <c r="T55" t="str">
        <f t="shared" si="18"/>
        <v>-</v>
      </c>
      <c r="U55" t="str">
        <f t="shared" si="18"/>
        <v>-</v>
      </c>
      <c r="V55" t="str">
        <f t="shared" si="18"/>
        <v>-</v>
      </c>
      <c r="W55" t="str">
        <f t="shared" si="18"/>
        <v>-</v>
      </c>
      <c r="X55" t="str">
        <f t="shared" si="18"/>
        <v>-</v>
      </c>
      <c r="Y55" t="str">
        <f t="shared" si="18"/>
        <v>-</v>
      </c>
      <c r="Z55" t="str">
        <f t="shared" si="18"/>
        <v>-</v>
      </c>
      <c r="AA55" t="str">
        <f t="shared" si="18"/>
        <v>-</v>
      </c>
      <c r="AB55" t="str">
        <f t="shared" si="18"/>
        <v>-</v>
      </c>
      <c r="AC55" t="str">
        <f t="shared" si="18"/>
        <v>-</v>
      </c>
      <c r="AD55" t="str">
        <f t="shared" si="18"/>
        <v>-</v>
      </c>
      <c r="AE55" t="str">
        <f t="shared" si="18"/>
        <v>-</v>
      </c>
      <c r="AF55" t="str">
        <f t="shared" si="18"/>
        <v>-</v>
      </c>
      <c r="AG55" t="str">
        <f t="shared" si="18"/>
        <v>-</v>
      </c>
      <c r="AH55" t="str">
        <f t="shared" si="18"/>
        <v>-</v>
      </c>
      <c r="AI55" t="str">
        <f t="shared" si="18"/>
        <v>-</v>
      </c>
      <c r="AJ55" t="str">
        <f t="shared" si="18"/>
        <v>-</v>
      </c>
      <c r="AW55"/>
      <c r="AX55" s="8"/>
      <c r="AY55" s="7"/>
    </row>
    <row r="56" spans="2:56" x14ac:dyDescent="0.25">
      <c r="E56" t="s">
        <v>325</v>
      </c>
      <c r="F56" s="10" t="b">
        <f>AND(ISNUMBER(INDEX(Balancing!$H$2:$AM$51,$E$69,F$1)),ISNUMBER(INDEX(Balancing!$H$2:$AM$51,$E$66,F$1)))</f>
        <v>0</v>
      </c>
      <c r="G56" s="10" t="b">
        <f>AND(ISNUMBER(INDEX(Balancing!$H$2:$AM$51,$E$69,G$1)),ISNUMBER(INDEX(Balancing!$H$2:$AM$51,$E$66,G$1)))</f>
        <v>0</v>
      </c>
      <c r="H56" s="10" t="b">
        <f>AND(ISNUMBER(INDEX(Balancing!$H$2:$AM$51,$E$69,H$1)),ISNUMBER(INDEX(Balancing!$H$2:$AM$51,$E$66,H$1)))</f>
        <v>0</v>
      </c>
      <c r="I56" s="10" t="b">
        <f>AND(ISNUMBER(INDEX(Balancing!$H$2:$AM$51,$E$69,I$1)),ISNUMBER(INDEX(Balancing!$H$2:$AM$51,$E$66,I$1)))</f>
        <v>0</v>
      </c>
      <c r="J56" s="10" t="b">
        <f>AND(ISNUMBER(INDEX(Balancing!$H$2:$AM$51,$E$69,J$1)),ISNUMBER(INDEX(Balancing!$H$2:$AM$51,$E$66,J$1)))</f>
        <v>0</v>
      </c>
      <c r="K56" s="10" t="b">
        <f>AND(ISNUMBER(INDEX(Balancing!$H$2:$AM$51,$E$69,K$1)),ISNUMBER(INDEX(Balancing!$H$2:$AM$51,$E$66,K$1)))</f>
        <v>0</v>
      </c>
      <c r="L56" s="10" t="b">
        <f>AND(ISNUMBER(INDEX(Balancing!$H$2:$AM$51,$E$69,L$1)),ISNUMBER(INDEX(Balancing!$H$2:$AM$51,$E$66,L$1)))</f>
        <v>0</v>
      </c>
      <c r="M56" s="10" t="b">
        <f>AND(ISNUMBER(INDEX(Balancing!$H$2:$AM$51,$E$69,M$1)),ISNUMBER(INDEX(Balancing!$H$2:$AM$51,$E$66,M$1)))</f>
        <v>0</v>
      </c>
      <c r="N56" s="10" t="b">
        <f>AND(ISNUMBER(INDEX(Balancing!$H$2:$AM$51,$E$69,N$1)),ISNUMBER(INDEX(Balancing!$H$2:$AM$51,$E$66,N$1)))</f>
        <v>0</v>
      </c>
      <c r="O56" s="10" t="b">
        <f>AND(ISNUMBER(INDEX(Balancing!$H$2:$AM$51,$E$69,O$1)),ISNUMBER(INDEX(Balancing!$H$2:$AM$51,$E$66,O$1)))</f>
        <v>0</v>
      </c>
      <c r="P56" s="10" t="b">
        <f>AND(ISNUMBER(INDEX(Balancing!$H$2:$AM$51,$E$69,P$1)),ISNUMBER(INDEX(Balancing!$H$2:$AM$51,$E$66,P$1)))</f>
        <v>0</v>
      </c>
      <c r="Q56" s="10" t="b">
        <f>AND(ISNUMBER(INDEX(Balancing!$H$2:$AM$51,$E$69,Q$1)),ISNUMBER(INDEX(Balancing!$H$2:$AM$51,$E$66,Q$1)))</f>
        <v>0</v>
      </c>
      <c r="R56" s="10" t="b">
        <f>AND(ISNUMBER(INDEX(Balancing!$H$2:$AM$51,$E$69,R$1)),ISNUMBER(INDEX(Balancing!$H$2:$AM$51,$E$66,R$1)))</f>
        <v>0</v>
      </c>
      <c r="S56" s="10" t="b">
        <f>AND(ISNUMBER(INDEX(Balancing!$H$2:$AM$51,$E$69,S$1)),ISNUMBER(INDEX(Balancing!$H$2:$AM$51,$E$66,S$1)))</f>
        <v>0</v>
      </c>
      <c r="T56" s="10" t="b">
        <f>AND(ISNUMBER(INDEX(Balancing!$H$2:$AM$51,$E$69,T$1)),ISNUMBER(INDEX(Balancing!$H$2:$AM$51,$E$66,T$1)))</f>
        <v>0</v>
      </c>
      <c r="U56" s="10" t="b">
        <f>AND(ISNUMBER(INDEX(Balancing!$H$2:$AM$51,$E$69,U$1)),ISNUMBER(INDEX(Balancing!$H$2:$AM$51,$E$66,U$1)))</f>
        <v>0</v>
      </c>
      <c r="V56" s="10" t="b">
        <f>AND(ISNUMBER(INDEX(Balancing!$H$2:$AM$51,$E$69,V$1)),ISNUMBER(INDEX(Balancing!$H$2:$AM$51,$E$66,V$1)))</f>
        <v>0</v>
      </c>
      <c r="W56" s="10" t="b">
        <f>AND(ISNUMBER(INDEX(Balancing!$H$2:$AM$51,$E$69,W$1)),ISNUMBER(INDEX(Balancing!$H$2:$AM$51,$E$66,W$1)))</f>
        <v>0</v>
      </c>
      <c r="X56" s="10" t="b">
        <f>AND(ISNUMBER(INDEX(Balancing!$H$2:$AM$51,$E$69,X$1)),ISNUMBER(INDEX(Balancing!$H$2:$AM$51,$E$66,X$1)))</f>
        <v>0</v>
      </c>
      <c r="Y56" s="10" t="b">
        <f>AND(ISNUMBER(INDEX(Balancing!$H$2:$AM$51,$E$69,Y$1)),ISNUMBER(INDEX(Balancing!$H$2:$AM$51,$E$66,Y$1)))</f>
        <v>0</v>
      </c>
      <c r="Z56" s="10" t="b">
        <f>AND(ISNUMBER(INDEX(Balancing!$H$2:$AM$51,$E$69,Z$1)),ISNUMBER(INDEX(Balancing!$H$2:$AM$51,$E$66,Z$1)))</f>
        <v>0</v>
      </c>
      <c r="AA56" s="10" t="b">
        <f>AND(ISNUMBER(INDEX(Balancing!$H$2:$AM$51,$E$69,AA$1)),ISNUMBER(INDEX(Balancing!$H$2:$AM$51,$E$66,AA$1)))</f>
        <v>0</v>
      </c>
      <c r="AB56" s="10" t="b">
        <f>AND(ISNUMBER(INDEX(Balancing!$H$2:$AM$51,$E$69,AB$1)),ISNUMBER(INDEX(Balancing!$H$2:$AM$51,$E$66,AB$1)))</f>
        <v>0</v>
      </c>
      <c r="AC56" s="10" t="b">
        <f>AND(ISNUMBER(INDEX(Balancing!$H$2:$AM$51,$E$69,AC$1)),ISNUMBER(INDEX(Balancing!$H$2:$AM$51,$E$66,AC$1)))</f>
        <v>0</v>
      </c>
      <c r="AD56" s="10" t="b">
        <f>AND(ISNUMBER(INDEX(Balancing!$H$2:$AM$51,$E$69,AD$1)),ISNUMBER(INDEX(Balancing!$H$2:$AM$51,$E$66,AD$1)))</f>
        <v>0</v>
      </c>
      <c r="AE56" s="10" t="b">
        <f>AND(ISNUMBER(INDEX(Balancing!$H$2:$AM$51,$E$69,AE$1)),ISNUMBER(INDEX(Balancing!$H$2:$AM$51,$E$66,AE$1)))</f>
        <v>0</v>
      </c>
      <c r="AF56" s="10" t="b">
        <f>AND(ISNUMBER(INDEX(Balancing!$H$2:$AM$51,$E$69,AF$1)),ISNUMBER(INDEX(Balancing!$H$2:$AM$51,$E$66,AF$1)))</f>
        <v>0</v>
      </c>
      <c r="AG56" s="10" t="b">
        <f>AND(ISNUMBER(INDEX(Balancing!$H$2:$AM$51,$E$69,AG$1)),ISNUMBER(INDEX(Balancing!$H$2:$AM$51,$E$66,AG$1)))</f>
        <v>0</v>
      </c>
      <c r="AH56" s="10" t="b">
        <f>AND(ISNUMBER(INDEX(Balancing!$H$2:$AM$51,$E$69,AH$1)),ISNUMBER(INDEX(Balancing!$H$2:$AM$51,$E$66,AH$1)))</f>
        <v>0</v>
      </c>
      <c r="AI56" s="10" t="b">
        <f>AND(ISNUMBER(INDEX(Balancing!$H$2:$AM$51,$E$69,AI$1)),ISNUMBER(INDEX(Balancing!$H$2:$AM$51,$E$66,AI$1)))</f>
        <v>0</v>
      </c>
      <c r="AJ56" s="10" t="b">
        <f>AND(ISNUMBER(INDEX(Balancing!$H$2:$AM$51,$E$69,AJ$1)),ISNUMBER(INDEX(Balancing!$H$2:$AM$51,$E$66,AJ$1)))</f>
        <v>0</v>
      </c>
      <c r="AK56" t="b">
        <v>0</v>
      </c>
      <c r="AW56"/>
      <c r="AX56" s="8"/>
      <c r="AY56" s="7"/>
    </row>
    <row r="57" spans="2:56" x14ac:dyDescent="0.25">
      <c r="E57" t="s">
        <v>50</v>
      </c>
      <c r="F57" s="37" t="b">
        <f t="shared" ref="F57:AJ57" si="19">OR(F1=$E65,AND(G56,G57,F53&gt;=2,G53=2))</f>
        <v>0</v>
      </c>
      <c r="G57" s="37" t="b">
        <f t="shared" si="19"/>
        <v>0</v>
      </c>
      <c r="H57" s="37" t="b">
        <f t="shared" si="19"/>
        <v>0</v>
      </c>
      <c r="I57" s="37" t="b">
        <f t="shared" si="19"/>
        <v>0</v>
      </c>
      <c r="J57" s="37" t="b">
        <f t="shared" si="19"/>
        <v>0</v>
      </c>
      <c r="K57" s="37" t="b">
        <f t="shared" si="19"/>
        <v>0</v>
      </c>
      <c r="L57" s="37" t="b">
        <f t="shared" si="19"/>
        <v>0</v>
      </c>
      <c r="M57" s="37" t="b">
        <f t="shared" si="19"/>
        <v>0</v>
      </c>
      <c r="N57" s="37" t="b">
        <f t="shared" si="19"/>
        <v>0</v>
      </c>
      <c r="O57" s="37" t="b">
        <f t="shared" si="19"/>
        <v>0</v>
      </c>
      <c r="P57" s="37" t="b">
        <f t="shared" si="19"/>
        <v>0</v>
      </c>
      <c r="Q57" s="37" t="b">
        <f t="shared" si="19"/>
        <v>0</v>
      </c>
      <c r="R57" s="37" t="b">
        <f t="shared" si="19"/>
        <v>0</v>
      </c>
      <c r="S57" s="37" t="b">
        <f t="shared" si="19"/>
        <v>0</v>
      </c>
      <c r="T57" s="37" t="b">
        <f t="shared" si="19"/>
        <v>0</v>
      </c>
      <c r="U57" s="37" t="b">
        <f t="shared" si="19"/>
        <v>0</v>
      </c>
      <c r="V57" s="37" t="b">
        <f t="shared" si="19"/>
        <v>0</v>
      </c>
      <c r="W57" s="37" t="b">
        <f t="shared" si="19"/>
        <v>0</v>
      </c>
      <c r="X57" s="37" t="b">
        <f t="shared" si="19"/>
        <v>0</v>
      </c>
      <c r="Y57" s="37" t="b">
        <f t="shared" si="19"/>
        <v>0</v>
      </c>
      <c r="Z57" s="37" t="b">
        <f t="shared" si="19"/>
        <v>0</v>
      </c>
      <c r="AA57" s="37" t="b">
        <f t="shared" si="19"/>
        <v>0</v>
      </c>
      <c r="AB57" s="37" t="b">
        <f t="shared" si="19"/>
        <v>0</v>
      </c>
      <c r="AC57" s="37" t="b">
        <f t="shared" si="19"/>
        <v>0</v>
      </c>
      <c r="AD57" s="37" t="b">
        <f t="shared" si="19"/>
        <v>0</v>
      </c>
      <c r="AE57" s="37" t="b">
        <f t="shared" si="19"/>
        <v>0</v>
      </c>
      <c r="AF57" s="37" t="b">
        <f t="shared" si="19"/>
        <v>0</v>
      </c>
      <c r="AG57" s="37" t="b">
        <f t="shared" si="19"/>
        <v>0</v>
      </c>
      <c r="AH57" s="37" t="b">
        <f t="shared" si="19"/>
        <v>0</v>
      </c>
      <c r="AI57" s="37" t="b">
        <f t="shared" si="19"/>
        <v>0</v>
      </c>
      <c r="AJ57" s="37" t="b">
        <f t="shared" si="19"/>
        <v>0</v>
      </c>
      <c r="AK57" t="b">
        <v>0</v>
      </c>
      <c r="AW57"/>
      <c r="AX57" s="8"/>
      <c r="AY57" s="7"/>
    </row>
    <row r="58" spans="2:56" x14ac:dyDescent="0.25">
      <c r="E58" t="s">
        <v>8</v>
      </c>
      <c r="F58" t="str">
        <f t="shared" ref="F58:AJ58" si="20">IF(AND(F$56:F$57),INDEX($F$2:$AJ$51,$E$66,F$1),"-")</f>
        <v>-</v>
      </c>
      <c r="G58" t="str">
        <f t="shared" si="20"/>
        <v>-</v>
      </c>
      <c r="H58" t="str">
        <f t="shared" si="20"/>
        <v>-</v>
      </c>
      <c r="I58" t="str">
        <f t="shared" si="20"/>
        <v>-</v>
      </c>
      <c r="J58" t="str">
        <f t="shared" si="20"/>
        <v>-</v>
      </c>
      <c r="K58" t="str">
        <f t="shared" si="20"/>
        <v>-</v>
      </c>
      <c r="L58" t="str">
        <f t="shared" si="20"/>
        <v>-</v>
      </c>
      <c r="M58" t="str">
        <f t="shared" si="20"/>
        <v>-</v>
      </c>
      <c r="N58" t="str">
        <f t="shared" si="20"/>
        <v>-</v>
      </c>
      <c r="O58" t="str">
        <f t="shared" si="20"/>
        <v>-</v>
      </c>
      <c r="P58" t="str">
        <f t="shared" si="20"/>
        <v>-</v>
      </c>
      <c r="Q58" t="str">
        <f t="shared" si="20"/>
        <v>-</v>
      </c>
      <c r="R58" t="str">
        <f t="shared" si="20"/>
        <v>-</v>
      </c>
      <c r="S58" t="str">
        <f t="shared" si="20"/>
        <v>-</v>
      </c>
      <c r="T58" t="str">
        <f t="shared" si="20"/>
        <v>-</v>
      </c>
      <c r="U58" t="str">
        <f t="shared" si="20"/>
        <v>-</v>
      </c>
      <c r="V58" t="str">
        <f t="shared" si="20"/>
        <v>-</v>
      </c>
      <c r="W58" t="str">
        <f t="shared" si="20"/>
        <v>-</v>
      </c>
      <c r="X58" t="str">
        <f t="shared" si="20"/>
        <v>-</v>
      </c>
      <c r="Y58" t="str">
        <f t="shared" si="20"/>
        <v>-</v>
      </c>
      <c r="Z58" t="str">
        <f t="shared" si="20"/>
        <v>-</v>
      </c>
      <c r="AA58" t="str">
        <f t="shared" si="20"/>
        <v>-</v>
      </c>
      <c r="AB58" t="str">
        <f t="shared" si="20"/>
        <v>-</v>
      </c>
      <c r="AC58" t="str">
        <f t="shared" si="20"/>
        <v>-</v>
      </c>
      <c r="AD58" t="str">
        <f t="shared" si="20"/>
        <v>-</v>
      </c>
      <c r="AE58" t="str">
        <f t="shared" si="20"/>
        <v>-</v>
      </c>
      <c r="AF58" t="str">
        <f t="shared" si="20"/>
        <v>-</v>
      </c>
      <c r="AG58" t="str">
        <f t="shared" si="20"/>
        <v>-</v>
      </c>
      <c r="AH58" t="str">
        <f t="shared" si="20"/>
        <v>-</v>
      </c>
      <c r="AI58" t="str">
        <f t="shared" si="20"/>
        <v>-</v>
      </c>
      <c r="AJ58" t="str">
        <f t="shared" si="20"/>
        <v>-</v>
      </c>
      <c r="AW58"/>
      <c r="AX58" s="8"/>
      <c r="AY58" s="7"/>
    </row>
    <row r="59" spans="2:56" x14ac:dyDescent="0.25">
      <c r="E59" t="s">
        <v>9</v>
      </c>
      <c r="F59" t="str">
        <f t="shared" ref="F59:AJ59" si="21">IF(AND(F$56:F$57),INDEX($F$2:$AJ$51,$E$69,F$1),"-")</f>
        <v>-</v>
      </c>
      <c r="G59" t="str">
        <f t="shared" si="21"/>
        <v>-</v>
      </c>
      <c r="H59" t="str">
        <f t="shared" si="21"/>
        <v>-</v>
      </c>
      <c r="I59" t="str">
        <f t="shared" si="21"/>
        <v>-</v>
      </c>
      <c r="J59" t="str">
        <f t="shared" si="21"/>
        <v>-</v>
      </c>
      <c r="K59" t="str">
        <f t="shared" si="21"/>
        <v>-</v>
      </c>
      <c r="L59" t="str">
        <f t="shared" si="21"/>
        <v>-</v>
      </c>
      <c r="M59" t="str">
        <f t="shared" si="21"/>
        <v>-</v>
      </c>
      <c r="N59" t="str">
        <f t="shared" si="21"/>
        <v>-</v>
      </c>
      <c r="O59" t="str">
        <f t="shared" si="21"/>
        <v>-</v>
      </c>
      <c r="P59" t="str">
        <f t="shared" si="21"/>
        <v>-</v>
      </c>
      <c r="Q59" t="str">
        <f t="shared" si="21"/>
        <v>-</v>
      </c>
      <c r="R59" t="str">
        <f t="shared" si="21"/>
        <v>-</v>
      </c>
      <c r="S59" t="str">
        <f t="shared" si="21"/>
        <v>-</v>
      </c>
      <c r="T59" t="str">
        <f t="shared" si="21"/>
        <v>-</v>
      </c>
      <c r="U59" t="str">
        <f t="shared" si="21"/>
        <v>-</v>
      </c>
      <c r="V59" t="str">
        <f t="shared" si="21"/>
        <v>-</v>
      </c>
      <c r="W59" t="str">
        <f t="shared" si="21"/>
        <v>-</v>
      </c>
      <c r="X59" t="str">
        <f t="shared" si="21"/>
        <v>-</v>
      </c>
      <c r="Y59" t="str">
        <f t="shared" si="21"/>
        <v>-</v>
      </c>
      <c r="Z59" t="str">
        <f t="shared" si="21"/>
        <v>-</v>
      </c>
      <c r="AA59" t="str">
        <f t="shared" si="21"/>
        <v>-</v>
      </c>
      <c r="AB59" t="str">
        <f t="shared" si="21"/>
        <v>-</v>
      </c>
      <c r="AC59" t="str">
        <f t="shared" si="21"/>
        <v>-</v>
      </c>
      <c r="AD59" t="str">
        <f t="shared" si="21"/>
        <v>-</v>
      </c>
      <c r="AE59" t="str">
        <f t="shared" si="21"/>
        <v>-</v>
      </c>
      <c r="AF59" t="str">
        <f t="shared" si="21"/>
        <v>-</v>
      </c>
      <c r="AG59" t="str">
        <f t="shared" si="21"/>
        <v>-</v>
      </c>
      <c r="AH59" t="str">
        <f t="shared" si="21"/>
        <v>-</v>
      </c>
      <c r="AI59" t="str">
        <f t="shared" si="21"/>
        <v>-</v>
      </c>
      <c r="AJ59" t="str">
        <f t="shared" si="21"/>
        <v>-</v>
      </c>
      <c r="AW59"/>
      <c r="AX59" s="8"/>
      <c r="AY59" s="7"/>
    </row>
    <row r="60" spans="2:56" x14ac:dyDescent="0.25">
      <c r="E60" t="s">
        <v>13</v>
      </c>
      <c r="F60" t="str">
        <f t="shared" ref="F60:AJ60" si="22">IF(AND(F$56:F$57),F58^2,"-")</f>
        <v>-</v>
      </c>
      <c r="G60" t="str">
        <f t="shared" si="22"/>
        <v>-</v>
      </c>
      <c r="H60" t="str">
        <f t="shared" si="22"/>
        <v>-</v>
      </c>
      <c r="I60" t="str">
        <f t="shared" si="22"/>
        <v>-</v>
      </c>
      <c r="J60" t="str">
        <f t="shared" si="22"/>
        <v>-</v>
      </c>
      <c r="K60" t="str">
        <f t="shared" si="22"/>
        <v>-</v>
      </c>
      <c r="L60" t="str">
        <f t="shared" si="22"/>
        <v>-</v>
      </c>
      <c r="M60" t="str">
        <f t="shared" si="22"/>
        <v>-</v>
      </c>
      <c r="N60" t="str">
        <f t="shared" si="22"/>
        <v>-</v>
      </c>
      <c r="O60" t="str">
        <f t="shared" si="22"/>
        <v>-</v>
      </c>
      <c r="P60" t="str">
        <f t="shared" si="22"/>
        <v>-</v>
      </c>
      <c r="Q60" t="str">
        <f t="shared" si="22"/>
        <v>-</v>
      </c>
      <c r="R60" t="str">
        <f t="shared" si="22"/>
        <v>-</v>
      </c>
      <c r="S60" t="str">
        <f t="shared" si="22"/>
        <v>-</v>
      </c>
      <c r="T60" t="str">
        <f t="shared" si="22"/>
        <v>-</v>
      </c>
      <c r="U60" t="str">
        <f t="shared" si="22"/>
        <v>-</v>
      </c>
      <c r="V60" t="str">
        <f t="shared" si="22"/>
        <v>-</v>
      </c>
      <c r="W60" t="str">
        <f t="shared" si="22"/>
        <v>-</v>
      </c>
      <c r="X60" t="str">
        <f t="shared" si="22"/>
        <v>-</v>
      </c>
      <c r="Y60" t="str">
        <f t="shared" si="22"/>
        <v>-</v>
      </c>
      <c r="Z60" t="str">
        <f t="shared" si="22"/>
        <v>-</v>
      </c>
      <c r="AA60" t="str">
        <f t="shared" si="22"/>
        <v>-</v>
      </c>
      <c r="AB60" t="str">
        <f t="shared" si="22"/>
        <v>-</v>
      </c>
      <c r="AC60" t="str">
        <f t="shared" si="22"/>
        <v>-</v>
      </c>
      <c r="AD60" t="str">
        <f t="shared" si="22"/>
        <v>-</v>
      </c>
      <c r="AE60" t="str">
        <f t="shared" si="22"/>
        <v>-</v>
      </c>
      <c r="AF60" t="str">
        <f t="shared" si="22"/>
        <v>-</v>
      </c>
      <c r="AG60" t="str">
        <f t="shared" si="22"/>
        <v>-</v>
      </c>
      <c r="AH60" t="str">
        <f t="shared" si="22"/>
        <v>-</v>
      </c>
      <c r="AI60" t="str">
        <f t="shared" si="22"/>
        <v>-</v>
      </c>
      <c r="AJ60" t="str">
        <f t="shared" si="22"/>
        <v>-</v>
      </c>
      <c r="AW60"/>
      <c r="AX60" s="8"/>
      <c r="AY60" s="7"/>
    </row>
    <row r="61" spans="2:56" x14ac:dyDescent="0.25">
      <c r="E61" t="s">
        <v>342</v>
      </c>
      <c r="F61" t="str">
        <f>IF(AND(F$56:F$57),F59^2,"-")</f>
        <v>-</v>
      </c>
      <c r="G61" t="str">
        <f t="shared" ref="G61:AI61" si="23">IF(AND(G$56:G$57),G59^2,"-")</f>
        <v>-</v>
      </c>
      <c r="H61" t="str">
        <f t="shared" si="23"/>
        <v>-</v>
      </c>
      <c r="I61" t="str">
        <f t="shared" si="23"/>
        <v>-</v>
      </c>
      <c r="J61" t="str">
        <f t="shared" si="23"/>
        <v>-</v>
      </c>
      <c r="K61" t="str">
        <f t="shared" si="23"/>
        <v>-</v>
      </c>
      <c r="L61" t="str">
        <f t="shared" si="23"/>
        <v>-</v>
      </c>
      <c r="M61" t="str">
        <f t="shared" si="23"/>
        <v>-</v>
      </c>
      <c r="N61" t="str">
        <f t="shared" si="23"/>
        <v>-</v>
      </c>
      <c r="O61" t="str">
        <f t="shared" si="23"/>
        <v>-</v>
      </c>
      <c r="P61" t="str">
        <f t="shared" si="23"/>
        <v>-</v>
      </c>
      <c r="Q61" t="str">
        <f t="shared" si="23"/>
        <v>-</v>
      </c>
      <c r="R61" t="str">
        <f t="shared" si="23"/>
        <v>-</v>
      </c>
      <c r="S61" t="str">
        <f t="shared" si="23"/>
        <v>-</v>
      </c>
      <c r="T61" t="str">
        <f t="shared" si="23"/>
        <v>-</v>
      </c>
      <c r="U61" t="str">
        <f t="shared" si="23"/>
        <v>-</v>
      </c>
      <c r="V61" t="str">
        <f t="shared" si="23"/>
        <v>-</v>
      </c>
      <c r="W61" t="str">
        <f t="shared" si="23"/>
        <v>-</v>
      </c>
      <c r="X61" t="str">
        <f t="shared" si="23"/>
        <v>-</v>
      </c>
      <c r="Y61" t="str">
        <f t="shared" si="23"/>
        <v>-</v>
      </c>
      <c r="Z61" t="str">
        <f t="shared" si="23"/>
        <v>-</v>
      </c>
      <c r="AA61" t="str">
        <f t="shared" si="23"/>
        <v>-</v>
      </c>
      <c r="AB61" t="str">
        <f t="shared" si="23"/>
        <v>-</v>
      </c>
      <c r="AC61" t="str">
        <f t="shared" si="23"/>
        <v>-</v>
      </c>
      <c r="AD61" t="str">
        <f t="shared" si="23"/>
        <v>-</v>
      </c>
      <c r="AE61" t="str">
        <f t="shared" si="23"/>
        <v>-</v>
      </c>
      <c r="AF61" t="str">
        <f t="shared" si="23"/>
        <v>-</v>
      </c>
      <c r="AG61" t="str">
        <f t="shared" si="23"/>
        <v>-</v>
      </c>
      <c r="AH61" t="str">
        <f t="shared" si="23"/>
        <v>-</v>
      </c>
      <c r="AI61" t="str">
        <f t="shared" si="23"/>
        <v>-</v>
      </c>
      <c r="AW61"/>
      <c r="AX61" s="8"/>
      <c r="AY61" s="7"/>
    </row>
    <row r="62" spans="2:56" x14ac:dyDescent="0.25">
      <c r="E62" t="s">
        <v>14</v>
      </c>
      <c r="F62" t="str">
        <f t="shared" ref="F62:AJ62" si="24">IF(AND(F$56:F$57),F58*F59,"-")</f>
        <v>-</v>
      </c>
      <c r="G62" t="str">
        <f t="shared" si="24"/>
        <v>-</v>
      </c>
      <c r="H62" t="str">
        <f t="shared" si="24"/>
        <v>-</v>
      </c>
      <c r="I62" t="str">
        <f t="shared" si="24"/>
        <v>-</v>
      </c>
      <c r="J62" t="str">
        <f t="shared" si="24"/>
        <v>-</v>
      </c>
      <c r="K62" t="str">
        <f t="shared" si="24"/>
        <v>-</v>
      </c>
      <c r="L62" t="str">
        <f t="shared" si="24"/>
        <v>-</v>
      </c>
      <c r="M62" t="str">
        <f t="shared" si="24"/>
        <v>-</v>
      </c>
      <c r="N62" t="str">
        <f t="shared" si="24"/>
        <v>-</v>
      </c>
      <c r="O62" t="str">
        <f t="shared" si="24"/>
        <v>-</v>
      </c>
      <c r="P62" t="str">
        <f t="shared" si="24"/>
        <v>-</v>
      </c>
      <c r="Q62" t="str">
        <f t="shared" si="24"/>
        <v>-</v>
      </c>
      <c r="R62" t="str">
        <f t="shared" si="24"/>
        <v>-</v>
      </c>
      <c r="S62" t="str">
        <f t="shared" si="24"/>
        <v>-</v>
      </c>
      <c r="T62" t="str">
        <f t="shared" si="24"/>
        <v>-</v>
      </c>
      <c r="U62" t="str">
        <f t="shared" si="24"/>
        <v>-</v>
      </c>
      <c r="V62" t="str">
        <f t="shared" si="24"/>
        <v>-</v>
      </c>
      <c r="W62" t="str">
        <f t="shared" si="24"/>
        <v>-</v>
      </c>
      <c r="X62" t="str">
        <f t="shared" si="24"/>
        <v>-</v>
      </c>
      <c r="Y62" t="str">
        <f t="shared" si="24"/>
        <v>-</v>
      </c>
      <c r="Z62" t="str">
        <f t="shared" si="24"/>
        <v>-</v>
      </c>
      <c r="AA62" t="str">
        <f t="shared" si="24"/>
        <v>-</v>
      </c>
      <c r="AB62" t="str">
        <f t="shared" si="24"/>
        <v>-</v>
      </c>
      <c r="AC62" t="str">
        <f t="shared" si="24"/>
        <v>-</v>
      </c>
      <c r="AD62" t="str">
        <f t="shared" si="24"/>
        <v>-</v>
      </c>
      <c r="AE62" t="str">
        <f t="shared" si="24"/>
        <v>-</v>
      </c>
      <c r="AF62" t="str">
        <f t="shared" si="24"/>
        <v>-</v>
      </c>
      <c r="AG62" t="str">
        <f t="shared" si="24"/>
        <v>-</v>
      </c>
      <c r="AH62" t="str">
        <f t="shared" si="24"/>
        <v>-</v>
      </c>
      <c r="AI62" t="str">
        <f t="shared" si="24"/>
        <v>-</v>
      </c>
      <c r="AJ62" t="str">
        <f t="shared" si="24"/>
        <v>-</v>
      </c>
      <c r="AW62"/>
      <c r="AX62" s="8"/>
      <c r="AY62" s="7"/>
    </row>
    <row r="63" spans="2:56" x14ac:dyDescent="0.25">
      <c r="E63" s="57" t="s">
        <v>64</v>
      </c>
      <c r="F63" s="38" t="str">
        <f>IF(ISNUMBER(INDEX(Balancing!$H$2:$AM$51,$E$69,F$1)),F$1,"-")</f>
        <v>-</v>
      </c>
      <c r="G63" s="38" t="str">
        <f>IF(ISNUMBER(INDEX(Balancing!$H$2:$AM$51,$E$69,G$1)),G$1,"-")</f>
        <v>-</v>
      </c>
      <c r="H63" s="38" t="str">
        <f>IF(ISNUMBER(INDEX(Balancing!$H$2:$AM$51,$E$69,H$1)),H$1,"-")</f>
        <v>-</v>
      </c>
      <c r="I63" s="38" t="str">
        <f>IF(ISNUMBER(INDEX(Balancing!$H$2:$AM$51,$E$69,I$1)),I$1,"-")</f>
        <v>-</v>
      </c>
      <c r="J63" s="38" t="str">
        <f>IF(ISNUMBER(INDEX(Balancing!$H$2:$AM$51,$E$69,J$1)),J$1,"-")</f>
        <v>-</v>
      </c>
      <c r="K63" s="38" t="str">
        <f>IF(ISNUMBER(INDEX(Balancing!$H$2:$AM$51,$E$69,K$1)),K$1,"-")</f>
        <v>-</v>
      </c>
      <c r="L63" s="38" t="str">
        <f>IF(ISNUMBER(INDEX(Balancing!$H$2:$AM$51,$E$69,L$1)),L$1,"-")</f>
        <v>-</v>
      </c>
      <c r="M63" s="38" t="str">
        <f>IF(ISNUMBER(INDEX(Balancing!$H$2:$AM$51,$E$69,M$1)),M$1,"-")</f>
        <v>-</v>
      </c>
      <c r="N63" s="38" t="str">
        <f>IF(ISNUMBER(INDEX(Balancing!$H$2:$AM$51,$E$69,N$1)),N$1,"-")</f>
        <v>-</v>
      </c>
      <c r="O63" s="38" t="str">
        <f>IF(ISNUMBER(INDEX(Balancing!$H$2:$AM$51,$E$69,O$1)),O$1,"-")</f>
        <v>-</v>
      </c>
      <c r="P63" s="38" t="str">
        <f>IF(ISNUMBER(INDEX(Balancing!$H$2:$AM$51,$E$69,P$1)),P$1,"-")</f>
        <v>-</v>
      </c>
      <c r="Q63" s="38" t="str">
        <f>IF(ISNUMBER(INDEX(Balancing!$H$2:$AM$51,$E$69,Q$1)),Q$1,"-")</f>
        <v>-</v>
      </c>
      <c r="R63" s="38" t="str">
        <f>IF(ISNUMBER(INDEX(Balancing!$H$2:$AM$51,$E$69,R$1)),R$1,"-")</f>
        <v>-</v>
      </c>
      <c r="S63" s="38" t="str">
        <f>IF(ISNUMBER(INDEX(Balancing!$H$2:$AM$51,$E$69,S$1)),S$1,"-")</f>
        <v>-</v>
      </c>
      <c r="T63" s="38" t="str">
        <f>IF(ISNUMBER(INDEX(Balancing!$H$2:$AM$51,$E$69,T$1)),T$1,"-")</f>
        <v>-</v>
      </c>
      <c r="U63" s="38" t="str">
        <f>IF(ISNUMBER(INDEX(Balancing!$H$2:$AM$51,$E$69,U$1)),U$1,"-")</f>
        <v>-</v>
      </c>
      <c r="V63" s="38" t="str">
        <f>IF(ISNUMBER(INDEX(Balancing!$H$2:$AM$51,$E$69,V$1)),V$1,"-")</f>
        <v>-</v>
      </c>
      <c r="W63" s="38" t="str">
        <f>IF(ISNUMBER(INDEX(Balancing!$H$2:$AM$51,$E$69,W$1)),W$1,"-")</f>
        <v>-</v>
      </c>
      <c r="X63" s="38" t="str">
        <f>IF(ISNUMBER(INDEX(Balancing!$H$2:$AM$51,$E$69,X$1)),X$1,"-")</f>
        <v>-</v>
      </c>
      <c r="Y63" s="38" t="str">
        <f>IF(ISNUMBER(INDEX(Balancing!$H$2:$AM$51,$E$69,Y$1)),Y$1,"-")</f>
        <v>-</v>
      </c>
      <c r="Z63" s="38" t="str">
        <f>IF(ISNUMBER(INDEX(Balancing!$H$2:$AM$51,$E$69,Z$1)),Z$1,"-")</f>
        <v>-</v>
      </c>
      <c r="AA63" s="38" t="str">
        <f>IF(ISNUMBER(INDEX(Balancing!$H$2:$AM$51,$E$69,AA$1)),AA$1,"-")</f>
        <v>-</v>
      </c>
      <c r="AB63" s="38" t="str">
        <f>IF(ISNUMBER(INDEX(Balancing!$H$2:$AM$51,$E$69,AB$1)),AB$1,"-")</f>
        <v>-</v>
      </c>
      <c r="AC63" s="38" t="str">
        <f>IF(ISNUMBER(INDEX(Balancing!$H$2:$AM$51,$E$69,AC$1)),AC$1,"-")</f>
        <v>-</v>
      </c>
      <c r="AD63" s="38" t="str">
        <f>IF(ISNUMBER(INDEX(Balancing!$H$2:$AM$51,$E$69,AD$1)),AD$1,"-")</f>
        <v>-</v>
      </c>
      <c r="AE63" s="38" t="str">
        <f>IF(ISNUMBER(INDEX(Balancing!$H$2:$AM$51,$E$69,AE$1)),AE$1,"-")</f>
        <v>-</v>
      </c>
      <c r="AF63" s="38" t="str">
        <f>IF(ISNUMBER(INDEX(Balancing!$H$2:$AM$51,$E$69,AF$1)),AF$1,"-")</f>
        <v>-</v>
      </c>
      <c r="AG63" s="38" t="str">
        <f>IF(ISNUMBER(INDEX(Balancing!$H$2:$AM$51,$E$69,AG$1)),AG$1,"-")</f>
        <v>-</v>
      </c>
      <c r="AH63" s="38" t="str">
        <f>IF(ISNUMBER(INDEX(Balancing!$H$2:$AM$51,$E$69,AH$1)),AH$1,"-")</f>
        <v>-</v>
      </c>
      <c r="AI63" s="38" t="str">
        <f>IF(ISNUMBER(INDEX(Balancing!$H$2:$AM$51,$E$69,AI$1)),AI$1,"-")</f>
        <v>-</v>
      </c>
      <c r="AJ63" s="38" t="str">
        <f>IF(ISNUMBER(INDEX(Balancing!$H$2:$AM$51,$E$69,AJ$1)),AJ$1,"-")</f>
        <v>-</v>
      </c>
      <c r="AW63"/>
      <c r="AX63" s="8"/>
      <c r="AY63" s="7"/>
    </row>
    <row r="64" spans="2:56" x14ac:dyDescent="0.25">
      <c r="AW64"/>
      <c r="AX64" s="8"/>
      <c r="AY64" s="7"/>
    </row>
    <row r="65" spans="4:51" x14ac:dyDescent="0.25">
      <c r="D65" t="s">
        <v>324</v>
      </c>
      <c r="E65">
        <f>MAX(F54:AJ54)</f>
        <v>0</v>
      </c>
      <c r="G65" s="9" t="s">
        <v>33</v>
      </c>
      <c r="AW65"/>
      <c r="AX65" s="8"/>
      <c r="AY65" s="7"/>
    </row>
    <row r="66" spans="4:51" x14ac:dyDescent="0.25">
      <c r="D66" t="s">
        <v>6</v>
      </c>
      <c r="E66">
        <f>MIN(AO2:AO51)</f>
        <v>0</v>
      </c>
      <c r="G66" s="10" t="s">
        <v>34</v>
      </c>
      <c r="H66" s="10" t="s">
        <v>36</v>
      </c>
      <c r="AW66"/>
      <c r="AX66" s="8"/>
      <c r="AY66" s="7"/>
    </row>
    <row r="67" spans="4:51" x14ac:dyDescent="0.25">
      <c r="D67" t="s">
        <v>54</v>
      </c>
      <c r="E67">
        <f>MIN(AQ2:AQ51)</f>
        <v>0</v>
      </c>
      <c r="G67" s="2" t="s">
        <v>35</v>
      </c>
      <c r="H67" s="2" t="s">
        <v>37</v>
      </c>
    </row>
    <row r="68" spans="4:51" x14ac:dyDescent="0.25">
      <c r="D68" t="s">
        <v>55</v>
      </c>
      <c r="E68">
        <f>MAX(AO2:AO51)</f>
        <v>0</v>
      </c>
      <c r="G68" s="21" t="s">
        <v>59</v>
      </c>
      <c r="H68" s="21" t="s">
        <v>60</v>
      </c>
    </row>
    <row r="69" spans="4:51" x14ac:dyDescent="0.25">
      <c r="D69" t="s">
        <v>53</v>
      </c>
      <c r="E69">
        <f>IF(E67=0,E68,E67)</f>
        <v>0</v>
      </c>
    </row>
    <row r="70" spans="4:51" x14ac:dyDescent="0.25">
      <c r="G70" t="s">
        <v>63</v>
      </c>
    </row>
    <row r="71" spans="4:51" x14ac:dyDescent="0.25">
      <c r="D71" t="s">
        <v>16</v>
      </c>
      <c r="E71">
        <f>COUNT(F58:AJ58)</f>
        <v>0</v>
      </c>
      <c r="G71" t="s">
        <v>303</v>
      </c>
    </row>
    <row r="72" spans="4:51" x14ac:dyDescent="0.25">
      <c r="D72" t="s">
        <v>10</v>
      </c>
      <c r="E72">
        <f>SUM(F58:AJ58)</f>
        <v>0</v>
      </c>
      <c r="G72" t="s">
        <v>323</v>
      </c>
    </row>
    <row r="73" spans="4:51" x14ac:dyDescent="0.25">
      <c r="D73" t="s">
        <v>11</v>
      </c>
      <c r="E73">
        <f>SUM(F59:AJ59)</f>
        <v>0</v>
      </c>
      <c r="G73" t="s">
        <v>304</v>
      </c>
    </row>
    <row r="74" spans="4:51" x14ac:dyDescent="0.25">
      <c r="D74" t="s">
        <v>12</v>
      </c>
      <c r="E74">
        <f>SUM(F60:AJ60)</f>
        <v>0</v>
      </c>
    </row>
    <row r="75" spans="4:51" x14ac:dyDescent="0.25">
      <c r="D75" t="s">
        <v>343</v>
      </c>
      <c r="E75">
        <f>SUM(F61:AJ61)</f>
        <v>0</v>
      </c>
    </row>
    <row r="76" spans="4:51" x14ac:dyDescent="0.25">
      <c r="D76" t="s">
        <v>15</v>
      </c>
      <c r="E76">
        <f>SUM(F62:AJ62)</f>
        <v>0</v>
      </c>
    </row>
    <row r="77" spans="4:51" x14ac:dyDescent="0.25">
      <c r="E77" s="4" t="s">
        <v>345</v>
      </c>
      <c r="F77" t="s">
        <v>346</v>
      </c>
    </row>
    <row r="78" spans="4:51" x14ac:dyDescent="0.25">
      <c r="D78" t="s">
        <v>19</v>
      </c>
      <c r="E78" s="41">
        <f>E71*E74-E72^2</f>
        <v>0</v>
      </c>
      <c r="F78" s="42">
        <f>E71*E75-E73^2</f>
        <v>0</v>
      </c>
    </row>
    <row r="79" spans="4:51" x14ac:dyDescent="0.25">
      <c r="D79" t="s">
        <v>17</v>
      </c>
      <c r="E79" s="43" t="e">
        <f>(E71*E76-E72*E73)/E78</f>
        <v>#DIV/0!</v>
      </c>
      <c r="F79" s="44" t="e">
        <f>(E71*E76-E73*E72)/F78</f>
        <v>#DIV/0!</v>
      </c>
      <c r="H79" t="s">
        <v>352</v>
      </c>
    </row>
    <row r="80" spans="4:51" x14ac:dyDescent="0.25">
      <c r="D80" t="s">
        <v>18</v>
      </c>
      <c r="E80" s="43" t="e">
        <f>(E73-E79*E72)/E71</f>
        <v>#DIV/0!</v>
      </c>
      <c r="F80" s="44" t="e">
        <f>(E72-F79*E73)/E71</f>
        <v>#DIV/0!</v>
      </c>
      <c r="H80" t="s">
        <v>353</v>
      </c>
    </row>
    <row r="81" spans="4:7" x14ac:dyDescent="0.25">
      <c r="D81" t="s">
        <v>20</v>
      </c>
      <c r="E81" s="45" t="e">
        <f>E80/(1-E79)</f>
        <v>#DIV/0!</v>
      </c>
      <c r="F81" s="46" t="e">
        <f>F80/(1-F79)</f>
        <v>#DIV/0!</v>
      </c>
    </row>
    <row r="82" spans="4:7" x14ac:dyDescent="0.25">
      <c r="D82" t="s">
        <v>344</v>
      </c>
      <c r="E82" t="e">
        <f>MAX(MIN(BD:BD),MIN(IF(ABS(E78)&gt;ABS(F78),E81,F81),MAX(BD:BD)))</f>
        <v>#DIV/0!</v>
      </c>
    </row>
    <row r="83" spans="4:7" x14ac:dyDescent="0.25">
      <c r="D83" t="s">
        <v>61</v>
      </c>
      <c r="E83" t="b">
        <f>ISNUMBER(E82)</f>
        <v>0</v>
      </c>
      <c r="F83" t="s">
        <v>326</v>
      </c>
    </row>
    <row r="84" spans="4:7" x14ac:dyDescent="0.25">
      <c r="D84" t="s">
        <v>348</v>
      </c>
      <c r="E84" t="e">
        <f>AND(BI4+BL4&gt;BH4*BJ4+BN4,BI4-BH4*BJ4&gt;BL4-BN4,$E$69&lt;&gt;$E$91,E65=2)</f>
        <v>#VALUE!</v>
      </c>
      <c r="F84" t="s">
        <v>338</v>
      </c>
    </row>
    <row r="85" spans="4:7" x14ac:dyDescent="0.25">
      <c r="D85" t="s">
        <v>340</v>
      </c>
      <c r="E85" t="b">
        <f>IF(ISLOGICAL(E84),E84,FALSE)</f>
        <v>0</v>
      </c>
    </row>
    <row r="86" spans="4:7" x14ac:dyDescent="0.25">
      <c r="D86" t="s">
        <v>339</v>
      </c>
      <c r="E86" t="b">
        <f>AND(E83,NOT(E85))</f>
        <v>0</v>
      </c>
    </row>
    <row r="88" spans="4:7" x14ac:dyDescent="0.25">
      <c r="D88" t="s">
        <v>327</v>
      </c>
      <c r="E88">
        <f>IF(E85,1,E71)</f>
        <v>0</v>
      </c>
      <c r="F88" t="s">
        <v>341</v>
      </c>
    </row>
    <row r="89" spans="4:7" x14ac:dyDescent="0.25">
      <c r="D89" t="s">
        <v>21</v>
      </c>
      <c r="E89">
        <f>MIN(F2:F51)</f>
        <v>0</v>
      </c>
    </row>
    <row r="90" spans="4:7" x14ac:dyDescent="0.25">
      <c r="D90" t="s">
        <v>23</v>
      </c>
      <c r="E90">
        <f>MIN(AT2:AT51)</f>
        <v>0</v>
      </c>
    </row>
    <row r="91" spans="4:7" x14ac:dyDescent="0.25">
      <c r="D91" t="s">
        <v>22</v>
      </c>
      <c r="E91">
        <f>MIN(AS2:AS51)</f>
        <v>0</v>
      </c>
    </row>
    <row r="92" spans="4:7" x14ac:dyDescent="0.25">
      <c r="D92" t="s">
        <v>116</v>
      </c>
      <c r="E92">
        <f>MAX(AR2:AR51)+1</f>
        <v>1</v>
      </c>
      <c r="G92" s="4"/>
    </row>
    <row r="93" spans="4:7" x14ac:dyDescent="0.25">
      <c r="D93" t="s">
        <v>119</v>
      </c>
      <c r="E93">
        <f>E92+IF(E92=E91,1,0)</f>
        <v>1</v>
      </c>
      <c r="G93" s="4"/>
    </row>
    <row r="94" spans="4:7" x14ac:dyDescent="0.25">
      <c r="D94" t="s">
        <v>118</v>
      </c>
      <c r="E94">
        <f>IF(AND(E67=0,E93&lt;=E95),E93,0)</f>
        <v>0</v>
      </c>
    </row>
    <row r="95" spans="4:7" x14ac:dyDescent="0.25">
      <c r="D95" t="s">
        <v>117</v>
      </c>
      <c r="E95">
        <f>MAX(AT2:AT50)</f>
        <v>0</v>
      </c>
    </row>
    <row r="96" spans="4:7" x14ac:dyDescent="0.25">
      <c r="D96" t="s">
        <v>337</v>
      </c>
      <c r="E96" s="56" t="e">
        <f>AVERAGE(BD$2:BD$51)</f>
        <v>#DIV/0!</v>
      </c>
    </row>
    <row r="97" spans="2:5" x14ac:dyDescent="0.25">
      <c r="D97" t="s">
        <v>305</v>
      </c>
      <c r="E97" t="e">
        <f>AND(E67=0,E68=E95,ABS(1-IF(ISNUMBER(E96),E96,BQ2))&lt;General!B9,INDEX(F53:AJ53,1,E65)=E95-E66+1)</f>
        <v>#VALUE!</v>
      </c>
    </row>
    <row r="98" spans="2:5" x14ac:dyDescent="0.25">
      <c r="B98" t="s">
        <v>42</v>
      </c>
      <c r="D98" s="41" t="s">
        <v>286</v>
      </c>
      <c r="E98" s="42">
        <v>1.6666666666666667E-5</v>
      </c>
    </row>
    <row r="99" spans="2:5" x14ac:dyDescent="0.25">
      <c r="D99" s="43" t="s">
        <v>1</v>
      </c>
      <c r="E99" s="44">
        <v>2.7777777777777799E-4</v>
      </c>
    </row>
    <row r="100" spans="2:5" x14ac:dyDescent="0.25">
      <c r="D100" s="43" t="s">
        <v>285</v>
      </c>
      <c r="E100" s="44">
        <v>4.6639517759999985E-4</v>
      </c>
    </row>
    <row r="101" spans="2:5" x14ac:dyDescent="0.25">
      <c r="D101" s="43" t="s">
        <v>41</v>
      </c>
      <c r="E101" s="44">
        <v>1E-3</v>
      </c>
    </row>
    <row r="102" spans="2:5" x14ac:dyDescent="0.25">
      <c r="D102" s="43" t="s">
        <v>40</v>
      </c>
      <c r="E102" s="44">
        <v>1E-3</v>
      </c>
    </row>
    <row r="103" spans="2:5" x14ac:dyDescent="0.25">
      <c r="D103" s="45" t="s">
        <v>39</v>
      </c>
      <c r="E103" s="46">
        <v>1</v>
      </c>
    </row>
    <row r="104" spans="2:5" x14ac:dyDescent="0.25">
      <c r="D104" t="s">
        <v>44</v>
      </c>
      <c r="E104">
        <f>INDEX($E$98:$E$103,MATCH(LOWER(General!B8),$D$98:$D$103,0))</f>
        <v>2.7777777777777799E-4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General</vt:lpstr>
      <vt:lpstr>Balancing</vt:lpstr>
      <vt:lpstr>Calcs</vt:lpstr>
      <vt:lpstr>Balancing!Print_Area</vt:lpstr>
      <vt:lpstr>Balancing!Print_Titles</vt:lpstr>
      <vt:lpstr>Calcs!Print_Titles</vt:lpstr>
    </vt:vector>
  </TitlesOfParts>
  <Company>SINTEF Byggforsk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Regneark for enklere innregulering av ventilasjonsanlegg</dc:title>
  <dc:creator>Peter G. Schild</dc:creator>
  <cp:lastModifiedBy>Peter G. Schild</cp:lastModifiedBy>
  <cp:lastPrinted>2012-07-31T12:58:27Z</cp:lastPrinted>
  <dcterms:created xsi:type="dcterms:W3CDTF">2008-03-13T13:11:13Z</dcterms:created>
  <dcterms:modified xsi:type="dcterms:W3CDTF">2018-08-10T09:10:30Z</dcterms:modified>
</cp:coreProperties>
</file>