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codeName="DieseArbeitsmappe"/>
  <mc:AlternateContent xmlns:mc="http://schemas.openxmlformats.org/markup-compatibility/2006">
    <mc:Choice Requires="x15">
      <x15ac:absPath xmlns:x15ac="http://schemas.microsoft.com/office/spreadsheetml/2010/11/ac" url="\\home.rrze.uni-erlangen.de\xu22gexi\Desktop\SS2025\Integrierte Unternehmensplanung\"/>
    </mc:Choice>
  </mc:AlternateContent>
  <xr:revisionPtr revIDLastSave="0" documentId="13_ncr:1_{1CEDF041-45D6-4659-9AB0-F1CC5688609D}" xr6:coauthVersionLast="47" xr6:coauthVersionMax="47" xr10:uidLastSave="{00000000-0000-0000-0000-000000000000}"/>
  <bookViews>
    <workbookView xWindow="-120" yWindow="-120" windowWidth="38640" windowHeight="21120" tabRatio="841" activeTab="21" xr2:uid="{00000000-000D-0000-FFFF-FFFF00000000}"/>
  </bookViews>
  <sheets>
    <sheet name="Aufgabe 1" sheetId="16" r:id="rId1"/>
    <sheet name="BS" sheetId="14" r:id="rId2"/>
    <sheet name="PnL" sheetId="4" r:id="rId3"/>
    <sheet name="CFR" sheetId="15" r:id="rId4"/>
    <sheet name="&gt;" sheetId="5" r:id="rId5"/>
    <sheet name="REV_sbE" sheetId="9" r:id="rId6"/>
    <sheet name="COGS" sheetId="13" r:id="rId7"/>
    <sheet name="OPEX" sheetId="10" r:id="rId8"/>
    <sheet name="CAPEX" sheetId="11" r:id="rId9"/>
    <sheet name="STAFF" sheetId="12" r:id="rId10"/>
    <sheet name="TAX" sheetId="7" state="hidden" r:id="rId11"/>
    <sheet name="&gt;&gt;" sheetId="6" r:id="rId12"/>
    <sheet name="Aufgabe 2" sheetId="17" r:id="rId13"/>
    <sheet name="BS (2)" sheetId="19" r:id="rId14"/>
    <sheet name="PnL (2)" sheetId="18" r:id="rId15"/>
    <sheet name="CFR (2)" sheetId="25" r:id="rId16"/>
    <sheet name="REV_sbE (2)" sheetId="26" r:id="rId17"/>
    <sheet name="COGS (2)" sheetId="27" r:id="rId18"/>
    <sheet name="OPEX (2)" sheetId="28" r:id="rId19"/>
    <sheet name="CAPEX (2)" sheetId="29" r:id="rId20"/>
    <sheet name="STAFF (2)" sheetId="30" r:id="rId21"/>
    <sheet name="KPI" sheetId="31" r:id="rId22"/>
  </sheets>
  <definedNames>
    <definedName name="_xlnm._FilterDatabase" localSheetId="8" hidden="1">CAPEX!$A$18:$J$89</definedName>
    <definedName name="_xlnm._FilterDatabase" localSheetId="19" hidden="1">'CAPEX (2)'!$A$18:$J$89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45605.4591550926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1" l="1"/>
  <c r="F14" i="31"/>
  <c r="G14" i="31"/>
  <c r="H14" i="31"/>
  <c r="I14" i="31"/>
  <c r="J14" i="31"/>
  <c r="E14" i="31"/>
  <c r="X26" i="31"/>
  <c r="X27" i="31" s="1"/>
  <c r="F41" i="31" s="1"/>
  <c r="Y26" i="31"/>
  <c r="Y27" i="31" s="1"/>
  <c r="G41" i="31" s="1"/>
  <c r="Z26" i="31"/>
  <c r="Z27" i="31" s="1"/>
  <c r="H41" i="31" s="1"/>
  <c r="AA26" i="31"/>
  <c r="AA27" i="31" s="1"/>
  <c r="I41" i="31" s="1"/>
  <c r="AB26" i="31"/>
  <c r="AB27" i="31" s="1"/>
  <c r="J41" i="31" s="1"/>
  <c r="W26" i="31"/>
  <c r="W27" i="31" s="1"/>
  <c r="E41" i="31" s="1"/>
  <c r="F39" i="31"/>
  <c r="G39" i="31"/>
  <c r="X24" i="31"/>
  <c r="Y24" i="31"/>
  <c r="Z24" i="31"/>
  <c r="AA24" i="31"/>
  <c r="AB24" i="31"/>
  <c r="W24" i="31"/>
  <c r="X23" i="31"/>
  <c r="Y23" i="31"/>
  <c r="Z23" i="31"/>
  <c r="AA23" i="31"/>
  <c r="AB23" i="31"/>
  <c r="W23" i="31"/>
  <c r="X21" i="31"/>
  <c r="Y21" i="31"/>
  <c r="Z21" i="31"/>
  <c r="H30" i="31" s="1"/>
  <c r="AA21" i="31"/>
  <c r="I30" i="31" s="1"/>
  <c r="AB21" i="31"/>
  <c r="J30" i="31" s="1"/>
  <c r="W21" i="31"/>
  <c r="E30" i="31" s="1"/>
  <c r="X20" i="31"/>
  <c r="F30" i="31" s="1"/>
  <c r="Y20" i="31"/>
  <c r="Z20" i="31"/>
  <c r="AA20" i="31"/>
  <c r="AB20" i="31"/>
  <c r="W20" i="31"/>
  <c r="X9" i="31"/>
  <c r="Y9" i="31"/>
  <c r="Z9" i="31"/>
  <c r="AA9" i="31"/>
  <c r="AB9" i="31"/>
  <c r="W9" i="31"/>
  <c r="X8" i="31"/>
  <c r="Y8" i="31"/>
  <c r="Z8" i="31"/>
  <c r="AA8" i="31"/>
  <c r="AB8" i="31"/>
  <c r="W8" i="31"/>
  <c r="X7" i="31"/>
  <c r="Y7" i="31"/>
  <c r="Z7" i="31"/>
  <c r="AA7" i="31"/>
  <c r="AB7" i="31"/>
  <c r="W7" i="31"/>
  <c r="X11" i="31"/>
  <c r="Y11" i="31"/>
  <c r="Z11" i="31"/>
  <c r="AA11" i="31"/>
  <c r="AB11" i="31"/>
  <c r="W11" i="31"/>
  <c r="F9" i="31"/>
  <c r="G9" i="31"/>
  <c r="H9" i="31"/>
  <c r="I9" i="31"/>
  <c r="J9" i="31"/>
  <c r="E9" i="31"/>
  <c r="X6" i="31"/>
  <c r="Y6" i="31"/>
  <c r="Z6" i="31"/>
  <c r="AA6" i="31"/>
  <c r="AB6" i="31"/>
  <c r="W6" i="31"/>
  <c r="F6" i="31"/>
  <c r="G6" i="31"/>
  <c r="H6" i="31"/>
  <c r="I6" i="31"/>
  <c r="J6" i="31"/>
  <c r="E6" i="31"/>
  <c r="F8" i="10"/>
  <c r="E8" i="10"/>
  <c r="H49" i="14"/>
  <c r="I49" i="14"/>
  <c r="G49" i="14"/>
  <c r="S25" i="4"/>
  <c r="T25" i="4"/>
  <c r="R25" i="4"/>
  <c r="R22" i="4"/>
  <c r="S22" i="4"/>
  <c r="T22" i="4"/>
  <c r="S24" i="4"/>
  <c r="T24" i="4"/>
  <c r="R24" i="4"/>
  <c r="F25" i="9"/>
  <c r="F24" i="9"/>
  <c r="H51" i="9"/>
  <c r="G51" i="9"/>
  <c r="F51" i="9"/>
  <c r="F43" i="9"/>
  <c r="H24" i="4"/>
  <c r="I24" i="4"/>
  <c r="J45" i="14"/>
  <c r="K45" i="14"/>
  <c r="L45" i="14"/>
  <c r="J44" i="14"/>
  <c r="K44" i="14"/>
  <c r="L44" i="14"/>
  <c r="J51" i="4"/>
  <c r="K51" i="4"/>
  <c r="K52" i="4" s="1"/>
  <c r="L51" i="4"/>
  <c r="L12" i="14"/>
  <c r="K12" i="14"/>
  <c r="J12" i="14"/>
  <c r="D51" i="9"/>
  <c r="E51" i="9"/>
  <c r="C51" i="9"/>
  <c r="F48" i="9"/>
  <c r="G48" i="9"/>
  <c r="H48" i="9"/>
  <c r="D48" i="9"/>
  <c r="E48" i="9"/>
  <c r="C48" i="9"/>
  <c r="N10" i="14"/>
  <c r="H24" i="13"/>
  <c r="I24" i="13"/>
  <c r="G24" i="13"/>
  <c r="E25" i="13"/>
  <c r="F25" i="13"/>
  <c r="D25" i="13"/>
  <c r="D24" i="13"/>
  <c r="C24" i="13"/>
  <c r="J6" i="14"/>
  <c r="H95" i="11"/>
  <c r="G95" i="11"/>
  <c r="H91" i="11"/>
  <c r="G91" i="11"/>
  <c r="K4" i="14"/>
  <c r="L4" i="14" s="1"/>
  <c r="J4" i="14"/>
  <c r="K12" i="4"/>
  <c r="J12" i="4"/>
  <c r="L8" i="4"/>
  <c r="K8" i="4"/>
  <c r="J8" i="4"/>
  <c r="L6" i="4"/>
  <c r="K6" i="4"/>
  <c r="J6" i="4"/>
  <c r="L4" i="4"/>
  <c r="K4" i="4"/>
  <c r="J4" i="4"/>
  <c r="G19" i="9"/>
  <c r="J14" i="4"/>
  <c r="E22" i="10" s="1"/>
  <c r="G8" i="10"/>
  <c r="D36" i="10"/>
  <c r="D35" i="10"/>
  <c r="C35" i="10"/>
  <c r="F13" i="10"/>
  <c r="G13" i="10"/>
  <c r="E13" i="10"/>
  <c r="C31" i="10"/>
  <c r="D31" i="10"/>
  <c r="E31" i="10"/>
  <c r="F31" i="10"/>
  <c r="G31" i="10"/>
  <c r="B31" i="10"/>
  <c r="C30" i="10"/>
  <c r="D30" i="10"/>
  <c r="E30" i="10"/>
  <c r="F30" i="10"/>
  <c r="G30" i="10"/>
  <c r="B30" i="10"/>
  <c r="C29" i="10"/>
  <c r="D29" i="10"/>
  <c r="E29" i="10"/>
  <c r="F29" i="10"/>
  <c r="G29" i="10"/>
  <c r="B29" i="10"/>
  <c r="E27" i="10"/>
  <c r="M10" i="9"/>
  <c r="N10" i="9"/>
  <c r="O10" i="9"/>
  <c r="N8" i="9"/>
  <c r="O8" i="9"/>
  <c r="M8" i="9"/>
  <c r="M5" i="9"/>
  <c r="N5" i="9"/>
  <c r="O5" i="9"/>
  <c r="E9" i="10"/>
  <c r="F7" i="10"/>
  <c r="G7" i="10" s="1"/>
  <c r="E7" i="10"/>
  <c r="E5" i="10"/>
  <c r="F5" i="10" s="1"/>
  <c r="G5" i="10" s="1"/>
  <c r="E6" i="10"/>
  <c r="F6" i="10" s="1"/>
  <c r="G6" i="10" s="1"/>
  <c r="F4" i="10"/>
  <c r="G4" i="10" s="1"/>
  <c r="E4" i="10"/>
  <c r="I35" i="12"/>
  <c r="J35" i="12" s="1"/>
  <c r="K35" i="12" s="1"/>
  <c r="F35" i="12"/>
  <c r="E35" i="12"/>
  <c r="H47" i="12"/>
  <c r="F47" i="12"/>
  <c r="C35" i="12"/>
  <c r="K39" i="12"/>
  <c r="I38" i="12"/>
  <c r="J38" i="12"/>
  <c r="K38" i="12" s="1"/>
  <c r="I39" i="12"/>
  <c r="J39" i="12"/>
  <c r="H35" i="12"/>
  <c r="H38" i="12"/>
  <c r="H39" i="12"/>
  <c r="F39" i="12"/>
  <c r="E39" i="12"/>
  <c r="C39" i="12"/>
  <c r="F38" i="12"/>
  <c r="E38" i="12"/>
  <c r="C38" i="12"/>
  <c r="F37" i="12"/>
  <c r="E37" i="12"/>
  <c r="E36" i="12"/>
  <c r="H49" i="12"/>
  <c r="H50" i="12"/>
  <c r="H48" i="12"/>
  <c r="F36" i="12" s="1"/>
  <c r="F49" i="12"/>
  <c r="F50" i="12"/>
  <c r="F48" i="12"/>
  <c r="G50" i="12"/>
  <c r="I50" i="12"/>
  <c r="G49" i="12"/>
  <c r="I49" i="12"/>
  <c r="E49" i="12"/>
  <c r="G48" i="12"/>
  <c r="I48" i="12"/>
  <c r="C50" i="12"/>
  <c r="E50" i="12"/>
  <c r="C49" i="12"/>
  <c r="C48" i="12"/>
  <c r="C37" i="12" s="1"/>
  <c r="H37" i="12" s="1"/>
  <c r="I37" i="12" s="1"/>
  <c r="J37" i="12" s="1"/>
  <c r="K37" i="12" s="1"/>
  <c r="E48" i="12"/>
  <c r="C47" i="12"/>
  <c r="I4" i="12"/>
  <c r="J4" i="12" s="1"/>
  <c r="K4" i="12" s="1"/>
  <c r="I5" i="12"/>
  <c r="J5" i="12"/>
  <c r="K5" i="12" s="1"/>
  <c r="I6" i="12"/>
  <c r="J6" i="12" s="1"/>
  <c r="K6" i="12" s="1"/>
  <c r="I7" i="12"/>
  <c r="J7" i="12" s="1"/>
  <c r="K7" i="12" s="1"/>
  <c r="I8" i="12"/>
  <c r="J8" i="12"/>
  <c r="K8" i="12"/>
  <c r="I9" i="12"/>
  <c r="J9" i="12" s="1"/>
  <c r="K9" i="12" s="1"/>
  <c r="I10" i="12"/>
  <c r="J10" i="12" s="1"/>
  <c r="K10" i="12" s="1"/>
  <c r="I11" i="12"/>
  <c r="J11" i="12"/>
  <c r="K11" i="12"/>
  <c r="I12" i="12"/>
  <c r="J12" i="12"/>
  <c r="K12" i="12" s="1"/>
  <c r="I13" i="12"/>
  <c r="J13" i="12"/>
  <c r="K13" i="12" s="1"/>
  <c r="I14" i="12"/>
  <c r="J14" i="12" s="1"/>
  <c r="K14" i="12" s="1"/>
  <c r="I15" i="12"/>
  <c r="J15" i="12"/>
  <c r="K15" i="12"/>
  <c r="I16" i="12"/>
  <c r="J16" i="12" s="1"/>
  <c r="K16" i="12" s="1"/>
  <c r="I17" i="12"/>
  <c r="J17" i="12" s="1"/>
  <c r="K17" i="12" s="1"/>
  <c r="I18" i="12"/>
  <c r="J18" i="12"/>
  <c r="K18" i="12"/>
  <c r="I19" i="12"/>
  <c r="J19" i="12" s="1"/>
  <c r="K19" i="12" s="1"/>
  <c r="I20" i="12"/>
  <c r="J20" i="12" s="1"/>
  <c r="K20" i="12" s="1"/>
  <c r="I21" i="12"/>
  <c r="J21" i="12"/>
  <c r="K21" i="12"/>
  <c r="I22" i="12"/>
  <c r="J22" i="12"/>
  <c r="K22" i="12" s="1"/>
  <c r="I23" i="12"/>
  <c r="J23" i="12"/>
  <c r="K23" i="12" s="1"/>
  <c r="I24" i="12"/>
  <c r="J24" i="12" s="1"/>
  <c r="K24" i="12" s="1"/>
  <c r="I25" i="12"/>
  <c r="J25" i="12"/>
  <c r="K25" i="12"/>
  <c r="I26" i="12"/>
  <c r="J26" i="12" s="1"/>
  <c r="K26" i="12" s="1"/>
  <c r="I27" i="12"/>
  <c r="J27" i="12" s="1"/>
  <c r="K27" i="12" s="1"/>
  <c r="I28" i="12"/>
  <c r="J28" i="12"/>
  <c r="K28" i="12"/>
  <c r="I29" i="12"/>
  <c r="J29" i="12" s="1"/>
  <c r="K29" i="12" s="1"/>
  <c r="I30" i="12"/>
  <c r="J30" i="12"/>
  <c r="K30" i="12" s="1"/>
  <c r="I31" i="12"/>
  <c r="J31" i="12"/>
  <c r="K31" i="12"/>
  <c r="I32" i="12"/>
  <c r="J32" i="12"/>
  <c r="K32" i="12" s="1"/>
  <c r="I33" i="12"/>
  <c r="J33" i="12"/>
  <c r="K33" i="12"/>
  <c r="I34" i="12"/>
  <c r="J34" i="12" s="1"/>
  <c r="K34" i="12" s="1"/>
  <c r="J3" i="12"/>
  <c r="K3" i="12"/>
  <c r="I3" i="12"/>
  <c r="H4" i="13"/>
  <c r="G4" i="13"/>
  <c r="H3" i="13"/>
  <c r="H8" i="13"/>
  <c r="I8" i="13"/>
  <c r="I3" i="13" s="1"/>
  <c r="G8" i="13"/>
  <c r="G3" i="13" s="1"/>
  <c r="G5" i="13"/>
  <c r="E29" i="13"/>
  <c r="M31" i="13"/>
  <c r="M30" i="13"/>
  <c r="M32" i="13" s="1"/>
  <c r="I5" i="13" s="1"/>
  <c r="K31" i="13"/>
  <c r="K29" i="13"/>
  <c r="I30" i="13"/>
  <c r="G29" i="13"/>
  <c r="G31" i="13" s="1"/>
  <c r="I31" i="13" s="1"/>
  <c r="G28" i="9"/>
  <c r="H28" i="9"/>
  <c r="F28" i="9"/>
  <c r="H26" i="9"/>
  <c r="G25" i="9"/>
  <c r="H25" i="9"/>
  <c r="F26" i="9"/>
  <c r="G26" i="9"/>
  <c r="H24" i="9"/>
  <c r="G24" i="9"/>
  <c r="E33" i="31" l="1"/>
  <c r="E39" i="31"/>
  <c r="J39" i="31"/>
  <c r="I39" i="31"/>
  <c r="H39" i="31"/>
  <c r="E20" i="31"/>
  <c r="G30" i="31"/>
  <c r="F31" i="31"/>
  <c r="F33" i="31"/>
  <c r="J33" i="31"/>
  <c r="J31" i="31"/>
  <c r="I31" i="31"/>
  <c r="I33" i="31"/>
  <c r="H31" i="31"/>
  <c r="H33" i="31"/>
  <c r="G31" i="31"/>
  <c r="G33" i="31"/>
  <c r="G7" i="31"/>
  <c r="H10" i="31"/>
  <c r="G12" i="31"/>
  <c r="E7" i="31"/>
  <c r="J7" i="31"/>
  <c r="F24" i="31"/>
  <c r="E22" i="31"/>
  <c r="E10" i="31"/>
  <c r="J10" i="31"/>
  <c r="I10" i="31"/>
  <c r="F12" i="31"/>
  <c r="F7" i="31"/>
  <c r="I22" i="31"/>
  <c r="H22" i="31"/>
  <c r="G24" i="31"/>
  <c r="I12" i="31"/>
  <c r="F22" i="31"/>
  <c r="H12" i="31"/>
  <c r="J20" i="31"/>
  <c r="I20" i="31"/>
  <c r="H20" i="31"/>
  <c r="G20" i="31"/>
  <c r="E24" i="31"/>
  <c r="J24" i="31"/>
  <c r="H24" i="31"/>
  <c r="F10" i="31"/>
  <c r="G22" i="31"/>
  <c r="F20" i="31"/>
  <c r="I24" i="31"/>
  <c r="G10" i="31"/>
  <c r="J22" i="31"/>
  <c r="I7" i="31"/>
  <c r="H7" i="31"/>
  <c r="J12" i="31"/>
  <c r="I4" i="13"/>
  <c r="I32" i="13"/>
  <c r="H5" i="13" s="1"/>
  <c r="C36" i="12"/>
  <c r="H36" i="12" s="1"/>
  <c r="I36" i="12" s="1"/>
  <c r="J36" i="12" s="1"/>
  <c r="K36" i="12" s="1"/>
  <c r="F13" i="9" l="1"/>
  <c r="G13" i="9" s="1"/>
  <c r="F14" i="9"/>
  <c r="H14" i="9" s="1"/>
  <c r="G14" i="9"/>
  <c r="H12" i="9"/>
  <c r="G12" i="9"/>
  <c r="F12" i="9"/>
  <c r="G8" i="9"/>
  <c r="H8" i="9" s="1"/>
  <c r="F8" i="9"/>
  <c r="E43" i="9"/>
  <c r="D43" i="9"/>
  <c r="F4" i="9"/>
  <c r="G4" i="9" s="1"/>
  <c r="H4" i="9" s="1"/>
  <c r="E42" i="9"/>
  <c r="F5" i="9" s="1"/>
  <c r="D42" i="9"/>
  <c r="E41" i="9"/>
  <c r="D41" i="9"/>
  <c r="G3" i="9"/>
  <c r="H3" i="9" s="1"/>
  <c r="F3" i="9"/>
  <c r="E40" i="9"/>
  <c r="D40" i="9"/>
  <c r="J59" i="4"/>
  <c r="K59" i="4"/>
  <c r="J57" i="4"/>
  <c r="K57" i="4"/>
  <c r="L57" i="4"/>
  <c r="L54" i="4"/>
  <c r="J54" i="4"/>
  <c r="K54" i="4"/>
  <c r="G45" i="4"/>
  <c r="H45" i="14"/>
  <c r="I45" i="14"/>
  <c r="G45" i="14"/>
  <c r="D7" i="4"/>
  <c r="D23" i="4" s="1"/>
  <c r="D27" i="4" s="1"/>
  <c r="C17" i="14"/>
  <c r="D17" i="14" s="1"/>
  <c r="E17" i="14" s="1"/>
  <c r="G4" i="14"/>
  <c r="H3" i="30"/>
  <c r="E3" i="30" s="1"/>
  <c r="C3" i="30" s="1"/>
  <c r="H4" i="30"/>
  <c r="E4" i="30" s="1"/>
  <c r="H5" i="30"/>
  <c r="E5" i="30" s="1"/>
  <c r="C5" i="30" s="1"/>
  <c r="H6" i="30"/>
  <c r="E6" i="30"/>
  <c r="H7" i="30"/>
  <c r="E7" i="30" s="1"/>
  <c r="H8" i="30"/>
  <c r="E8" i="30" s="1"/>
  <c r="H9" i="30"/>
  <c r="E9" i="30" s="1"/>
  <c r="H10" i="30"/>
  <c r="E10" i="30" s="1"/>
  <c r="H11" i="30"/>
  <c r="E11" i="30" s="1"/>
  <c r="H12" i="30"/>
  <c r="H13" i="30"/>
  <c r="E13" i="30" s="1"/>
  <c r="C13" i="30" s="1"/>
  <c r="H14" i="30"/>
  <c r="E14" i="30" s="1"/>
  <c r="C14" i="30" s="1"/>
  <c r="H15" i="30"/>
  <c r="E15" i="30" s="1"/>
  <c r="H16" i="30"/>
  <c r="E16" i="30" s="1"/>
  <c r="H17" i="30"/>
  <c r="E17" i="30" s="1"/>
  <c r="H18" i="30"/>
  <c r="E18" i="30" s="1"/>
  <c r="C18" i="30" s="1"/>
  <c r="H19" i="30"/>
  <c r="E19" i="30" s="1"/>
  <c r="C19" i="30" s="1"/>
  <c r="H20" i="30"/>
  <c r="H21" i="30"/>
  <c r="E21" i="30" s="1"/>
  <c r="C21" i="30" s="1"/>
  <c r="H22" i="30"/>
  <c r="E22" i="30" s="1"/>
  <c r="C22" i="30" s="1"/>
  <c r="H23" i="30"/>
  <c r="E23" i="30" s="1"/>
  <c r="H24" i="30"/>
  <c r="H25" i="30"/>
  <c r="E25" i="30" s="1"/>
  <c r="H26" i="30"/>
  <c r="E26" i="30" s="1"/>
  <c r="C26" i="30" s="1"/>
  <c r="H27" i="30"/>
  <c r="E27" i="30" s="1"/>
  <c r="H28" i="30"/>
  <c r="H29" i="30"/>
  <c r="E29" i="30" s="1"/>
  <c r="C29" i="30" s="1"/>
  <c r="H30" i="30"/>
  <c r="E30" i="30" s="1"/>
  <c r="C30" i="30" s="1"/>
  <c r="H31" i="30"/>
  <c r="E31" i="30" s="1"/>
  <c r="H32" i="30"/>
  <c r="H33" i="30"/>
  <c r="E33" i="30" s="1"/>
  <c r="H34" i="30"/>
  <c r="E34" i="30" s="1"/>
  <c r="C34" i="30" s="1"/>
  <c r="D40" i="30"/>
  <c r="F40" i="30"/>
  <c r="G40" i="30"/>
  <c r="I40" i="30"/>
  <c r="J40" i="30"/>
  <c r="K40" i="30"/>
  <c r="K44" i="30" s="1"/>
  <c r="I44" i="30"/>
  <c r="J44" i="30"/>
  <c r="H47" i="30"/>
  <c r="H48" i="30"/>
  <c r="D3" i="29"/>
  <c r="E3" i="29"/>
  <c r="F3" i="29"/>
  <c r="D4" i="29"/>
  <c r="E4" i="29"/>
  <c r="E7" i="29" s="1"/>
  <c r="E9" i="29" s="1"/>
  <c r="F4" i="29"/>
  <c r="G84" i="29" s="1"/>
  <c r="D5" i="29"/>
  <c r="E5" i="29"/>
  <c r="F5" i="29"/>
  <c r="D6" i="29"/>
  <c r="E6" i="29"/>
  <c r="F6" i="29"/>
  <c r="D7" i="29"/>
  <c r="D9" i="29" s="1"/>
  <c r="G7" i="29"/>
  <c r="H7" i="29"/>
  <c r="I7" i="29"/>
  <c r="I9" i="29" s="1"/>
  <c r="G9" i="29"/>
  <c r="H9" i="29"/>
  <c r="F19" i="29"/>
  <c r="K19" i="29"/>
  <c r="L19" i="29"/>
  <c r="M19" i="29" s="1"/>
  <c r="I19" i="29" s="1"/>
  <c r="N19" i="29"/>
  <c r="F20" i="29"/>
  <c r="K20" i="29"/>
  <c r="L20" i="29" s="1"/>
  <c r="M20" i="29" s="1"/>
  <c r="I20" i="29" s="1"/>
  <c r="N20" i="29"/>
  <c r="F21" i="29"/>
  <c r="K21" i="29"/>
  <c r="L21" i="29"/>
  <c r="M21" i="29" s="1"/>
  <c r="I21" i="29" s="1"/>
  <c r="N21" i="29"/>
  <c r="F22" i="29"/>
  <c r="K22" i="29"/>
  <c r="L22" i="29" s="1"/>
  <c r="M22" i="29" s="1"/>
  <c r="I22" i="29" s="1"/>
  <c r="N22" i="29"/>
  <c r="F23" i="29"/>
  <c r="K23" i="29"/>
  <c r="L23" i="29"/>
  <c r="M23" i="29" s="1"/>
  <c r="I23" i="29" s="1"/>
  <c r="N23" i="29"/>
  <c r="F24" i="29"/>
  <c r="K24" i="29"/>
  <c r="L24" i="29" s="1"/>
  <c r="M24" i="29" s="1"/>
  <c r="I24" i="29" s="1"/>
  <c r="N24" i="29"/>
  <c r="F25" i="29"/>
  <c r="K25" i="29"/>
  <c r="L25" i="29"/>
  <c r="M25" i="29" s="1"/>
  <c r="I25" i="29" s="1"/>
  <c r="N25" i="29"/>
  <c r="F26" i="29"/>
  <c r="K26" i="29"/>
  <c r="L26" i="29" s="1"/>
  <c r="M26" i="29" s="1"/>
  <c r="I26" i="29" s="1"/>
  <c r="N26" i="29"/>
  <c r="F27" i="29"/>
  <c r="K27" i="29"/>
  <c r="L27" i="29"/>
  <c r="M27" i="29" s="1"/>
  <c r="I27" i="29" s="1"/>
  <c r="N27" i="29"/>
  <c r="F28" i="29"/>
  <c r="K28" i="29"/>
  <c r="L28" i="29" s="1"/>
  <c r="M28" i="29" s="1"/>
  <c r="I28" i="29" s="1"/>
  <c r="N28" i="29"/>
  <c r="F29" i="29"/>
  <c r="K29" i="29"/>
  <c r="L29" i="29"/>
  <c r="M29" i="29" s="1"/>
  <c r="I29" i="29" s="1"/>
  <c r="N29" i="29"/>
  <c r="F30" i="29"/>
  <c r="K30" i="29"/>
  <c r="L30" i="29" s="1"/>
  <c r="M30" i="29" s="1"/>
  <c r="I30" i="29" s="1"/>
  <c r="N30" i="29"/>
  <c r="F31" i="29"/>
  <c r="K31" i="29"/>
  <c r="L31" i="29"/>
  <c r="M31" i="29" s="1"/>
  <c r="I31" i="29" s="1"/>
  <c r="N31" i="29"/>
  <c r="F32" i="29"/>
  <c r="K32" i="29"/>
  <c r="L32" i="29" s="1"/>
  <c r="M32" i="29" s="1"/>
  <c r="I32" i="29" s="1"/>
  <c r="N32" i="29"/>
  <c r="F33" i="29"/>
  <c r="K33" i="29"/>
  <c r="L33" i="29"/>
  <c r="M33" i="29" s="1"/>
  <c r="I33" i="29" s="1"/>
  <c r="N33" i="29"/>
  <c r="F34" i="29"/>
  <c r="K34" i="29"/>
  <c r="L34" i="29" s="1"/>
  <c r="M34" i="29" s="1"/>
  <c r="I34" i="29" s="1"/>
  <c r="N34" i="29"/>
  <c r="F35" i="29"/>
  <c r="K35" i="29"/>
  <c r="L35" i="29"/>
  <c r="M35" i="29" s="1"/>
  <c r="I35" i="29" s="1"/>
  <c r="N35" i="29"/>
  <c r="F36" i="29"/>
  <c r="K36" i="29"/>
  <c r="L36" i="29" s="1"/>
  <c r="M36" i="29" s="1"/>
  <c r="I36" i="29" s="1"/>
  <c r="N36" i="29"/>
  <c r="F37" i="29"/>
  <c r="K37" i="29"/>
  <c r="L37" i="29"/>
  <c r="M37" i="29" s="1"/>
  <c r="I37" i="29" s="1"/>
  <c r="N37" i="29"/>
  <c r="F38" i="29"/>
  <c r="K38" i="29"/>
  <c r="L38" i="29" s="1"/>
  <c r="M38" i="29" s="1"/>
  <c r="I38" i="29" s="1"/>
  <c r="N38" i="29"/>
  <c r="F39" i="29"/>
  <c r="K39" i="29"/>
  <c r="L39" i="29"/>
  <c r="M39" i="29" s="1"/>
  <c r="I39" i="29" s="1"/>
  <c r="N39" i="29"/>
  <c r="F40" i="29"/>
  <c r="K40" i="29"/>
  <c r="L40" i="29" s="1"/>
  <c r="M40" i="29" s="1"/>
  <c r="I40" i="29" s="1"/>
  <c r="N40" i="29"/>
  <c r="F41" i="29"/>
  <c r="K41" i="29"/>
  <c r="L41" i="29"/>
  <c r="M41" i="29" s="1"/>
  <c r="I41" i="29" s="1"/>
  <c r="N41" i="29"/>
  <c r="F42" i="29"/>
  <c r="K42" i="29"/>
  <c r="L42" i="29" s="1"/>
  <c r="M42" i="29" s="1"/>
  <c r="I42" i="29" s="1"/>
  <c r="N42" i="29"/>
  <c r="F43" i="29"/>
  <c r="K43" i="29"/>
  <c r="L43" i="29"/>
  <c r="M43" i="29" s="1"/>
  <c r="I43" i="29" s="1"/>
  <c r="N43" i="29"/>
  <c r="F44" i="29"/>
  <c r="K44" i="29"/>
  <c r="L44" i="29" s="1"/>
  <c r="M44" i="29" s="1"/>
  <c r="I44" i="29" s="1"/>
  <c r="N44" i="29"/>
  <c r="F45" i="29"/>
  <c r="K45" i="29"/>
  <c r="L45" i="29"/>
  <c r="M45" i="29" s="1"/>
  <c r="I45" i="29" s="1"/>
  <c r="N45" i="29"/>
  <c r="F46" i="29"/>
  <c r="K46" i="29"/>
  <c r="L46" i="29" s="1"/>
  <c r="M46" i="29" s="1"/>
  <c r="I46" i="29" s="1"/>
  <c r="N46" i="29"/>
  <c r="F47" i="29"/>
  <c r="K47" i="29"/>
  <c r="L47" i="29"/>
  <c r="M47" i="29" s="1"/>
  <c r="I47" i="29" s="1"/>
  <c r="N47" i="29"/>
  <c r="F48" i="29"/>
  <c r="K48" i="29"/>
  <c r="L48" i="29" s="1"/>
  <c r="M48" i="29" s="1"/>
  <c r="I48" i="29" s="1"/>
  <c r="N48" i="29"/>
  <c r="F49" i="29"/>
  <c r="K49" i="29"/>
  <c r="L49" i="29"/>
  <c r="M49" i="29" s="1"/>
  <c r="I49" i="29" s="1"/>
  <c r="N49" i="29"/>
  <c r="F50" i="29"/>
  <c r="K50" i="29"/>
  <c r="L50" i="29" s="1"/>
  <c r="M50" i="29" s="1"/>
  <c r="I50" i="29" s="1"/>
  <c r="N50" i="29"/>
  <c r="F51" i="29"/>
  <c r="K51" i="29"/>
  <c r="L51" i="29"/>
  <c r="M51" i="29" s="1"/>
  <c r="I51" i="29" s="1"/>
  <c r="N51" i="29"/>
  <c r="F52" i="29"/>
  <c r="K52" i="29"/>
  <c r="L52" i="29" s="1"/>
  <c r="M52" i="29" s="1"/>
  <c r="I52" i="29" s="1"/>
  <c r="N52" i="29"/>
  <c r="F53" i="29"/>
  <c r="K53" i="29"/>
  <c r="L53" i="29"/>
  <c r="M53" i="29" s="1"/>
  <c r="I53" i="29" s="1"/>
  <c r="N53" i="29"/>
  <c r="D54" i="29"/>
  <c r="F54" i="29"/>
  <c r="N54" i="29" s="1"/>
  <c r="K54" i="29"/>
  <c r="L54" i="29" s="1"/>
  <c r="M54" i="29" s="1"/>
  <c r="I54" i="29" s="1"/>
  <c r="D55" i="29"/>
  <c r="F55" i="29" s="1"/>
  <c r="K55" i="29"/>
  <c r="L55" i="29" s="1"/>
  <c r="M55" i="29" s="1"/>
  <c r="I55" i="29" s="1"/>
  <c r="F56" i="29"/>
  <c r="K56" i="29"/>
  <c r="L56" i="29" s="1"/>
  <c r="M56" i="29" s="1"/>
  <c r="I56" i="29" s="1"/>
  <c r="N56" i="29"/>
  <c r="F57" i="29"/>
  <c r="K57" i="29"/>
  <c r="L57" i="29" s="1"/>
  <c r="M57" i="29" s="1"/>
  <c r="I57" i="29" s="1"/>
  <c r="N57" i="29"/>
  <c r="F58" i="29"/>
  <c r="K58" i="29"/>
  <c r="L58" i="29" s="1"/>
  <c r="M58" i="29" s="1"/>
  <c r="I58" i="29" s="1"/>
  <c r="N58" i="29"/>
  <c r="F59" i="29"/>
  <c r="K59" i="29"/>
  <c r="L59" i="29" s="1"/>
  <c r="M59" i="29" s="1"/>
  <c r="I59" i="29" s="1"/>
  <c r="N59" i="29"/>
  <c r="F60" i="29"/>
  <c r="K60" i="29"/>
  <c r="L60" i="29" s="1"/>
  <c r="M60" i="29" s="1"/>
  <c r="I60" i="29" s="1"/>
  <c r="N60" i="29"/>
  <c r="F61" i="29"/>
  <c r="K61" i="29"/>
  <c r="L61" i="29" s="1"/>
  <c r="M61" i="29" s="1"/>
  <c r="I61" i="29" s="1"/>
  <c r="N61" i="29"/>
  <c r="F62" i="29"/>
  <c r="K62" i="29"/>
  <c r="L62" i="29" s="1"/>
  <c r="M62" i="29" s="1"/>
  <c r="I62" i="29" s="1"/>
  <c r="N62" i="29"/>
  <c r="F63" i="29"/>
  <c r="K63" i="29"/>
  <c r="L63" i="29" s="1"/>
  <c r="M63" i="29" s="1"/>
  <c r="I63" i="29" s="1"/>
  <c r="N63" i="29"/>
  <c r="D64" i="29"/>
  <c r="F64" i="29"/>
  <c r="N64" i="29" s="1"/>
  <c r="K64" i="29"/>
  <c r="L64" i="29"/>
  <c r="M64" i="29" s="1"/>
  <c r="I64" i="29" s="1"/>
  <c r="F65" i="29"/>
  <c r="N65" i="29" s="1"/>
  <c r="K65" i="29"/>
  <c r="L65" i="29"/>
  <c r="M65" i="29" s="1"/>
  <c r="I65" i="29" s="1"/>
  <c r="D66" i="29"/>
  <c r="F66" i="29" s="1"/>
  <c r="N66" i="29" s="1"/>
  <c r="K66" i="29"/>
  <c r="L66" i="29" s="1"/>
  <c r="M66" i="29" s="1"/>
  <c r="I66" i="29" s="1"/>
  <c r="F67" i="29"/>
  <c r="K67" i="29"/>
  <c r="L67" i="29" s="1"/>
  <c r="M67" i="29" s="1"/>
  <c r="I67" i="29" s="1"/>
  <c r="N67" i="29"/>
  <c r="F68" i="29"/>
  <c r="K68" i="29"/>
  <c r="L68" i="29" s="1"/>
  <c r="M68" i="29" s="1"/>
  <c r="I68" i="29" s="1"/>
  <c r="N68" i="29"/>
  <c r="F69" i="29"/>
  <c r="N69" i="29" s="1"/>
  <c r="K69" i="29"/>
  <c r="L69" i="29" s="1"/>
  <c r="M69" i="29" s="1"/>
  <c r="I69" i="29" s="1"/>
  <c r="F70" i="29"/>
  <c r="N70" i="29" s="1"/>
  <c r="K70" i="29"/>
  <c r="L70" i="29" s="1"/>
  <c r="M70" i="29" s="1"/>
  <c r="I70" i="29" s="1"/>
  <c r="F71" i="29"/>
  <c r="N71" i="29" s="1"/>
  <c r="K71" i="29"/>
  <c r="L71" i="29" s="1"/>
  <c r="M71" i="29" s="1"/>
  <c r="I71" i="29" s="1"/>
  <c r="D72" i="29"/>
  <c r="K72" i="29"/>
  <c r="L72" i="29"/>
  <c r="M72" i="29" s="1"/>
  <c r="D73" i="29"/>
  <c r="F73" i="29" s="1"/>
  <c r="N73" i="29" s="1"/>
  <c r="K73" i="29"/>
  <c r="L73" i="29" s="1"/>
  <c r="M73" i="29" s="1"/>
  <c r="I73" i="29"/>
  <c r="F74" i="29"/>
  <c r="K74" i="29"/>
  <c r="L74" i="29" s="1"/>
  <c r="M74" i="29"/>
  <c r="I74" i="29" s="1"/>
  <c r="N74" i="29"/>
  <c r="F75" i="29"/>
  <c r="K75" i="29"/>
  <c r="L75" i="29" s="1"/>
  <c r="M75" i="29"/>
  <c r="I75" i="29" s="1"/>
  <c r="N75" i="29"/>
  <c r="F76" i="29"/>
  <c r="K76" i="29"/>
  <c r="L76" i="29" s="1"/>
  <c r="M76" i="29"/>
  <c r="I76" i="29" s="1"/>
  <c r="N76" i="29"/>
  <c r="F77" i="29"/>
  <c r="K77" i="29"/>
  <c r="L77" i="29" s="1"/>
  <c r="M77" i="29"/>
  <c r="I77" i="29"/>
  <c r="N77" i="29"/>
  <c r="F78" i="29"/>
  <c r="K78" i="29"/>
  <c r="L78" i="29" s="1"/>
  <c r="M78" i="29" s="1"/>
  <c r="I78" i="29"/>
  <c r="N78" i="29"/>
  <c r="F79" i="29"/>
  <c r="K79" i="29"/>
  <c r="L79" i="29" s="1"/>
  <c r="M79" i="29" s="1"/>
  <c r="I79" i="29" s="1"/>
  <c r="N79" i="29"/>
  <c r="D80" i="29"/>
  <c r="F80" i="29"/>
  <c r="N80" i="29" s="1"/>
  <c r="K80" i="29"/>
  <c r="L80" i="29"/>
  <c r="M80" i="29"/>
  <c r="I80" i="29" s="1"/>
  <c r="D81" i="29"/>
  <c r="F81" i="29" s="1"/>
  <c r="N81" i="29" s="1"/>
  <c r="K81" i="29"/>
  <c r="L81" i="29" s="1"/>
  <c r="M81" i="29" s="1"/>
  <c r="I81" i="29" s="1"/>
  <c r="F82" i="29"/>
  <c r="K82" i="29"/>
  <c r="L82" i="29" s="1"/>
  <c r="M82" i="29" s="1"/>
  <c r="I82" i="29" s="1"/>
  <c r="N82" i="29"/>
  <c r="F83" i="29"/>
  <c r="K83" i="29"/>
  <c r="L83" i="29"/>
  <c r="M83" i="29" s="1"/>
  <c r="I83" i="29" s="1"/>
  <c r="N83" i="29"/>
  <c r="N93" i="29"/>
  <c r="B3" i="28"/>
  <c r="C3" i="28"/>
  <c r="D3" i="28"/>
  <c r="B4" i="28"/>
  <c r="C4" i="28"/>
  <c r="D4" i="28"/>
  <c r="B5" i="28"/>
  <c r="C5" i="28"/>
  <c r="D5" i="28"/>
  <c r="B6" i="28"/>
  <c r="C6" i="28"/>
  <c r="D6" i="28"/>
  <c r="B7" i="28"/>
  <c r="C7" i="28"/>
  <c r="D7" i="28"/>
  <c r="B8" i="28"/>
  <c r="C8" i="28"/>
  <c r="D8" i="28"/>
  <c r="D9" i="28"/>
  <c r="B10" i="28"/>
  <c r="C10" i="28"/>
  <c r="D10" i="28"/>
  <c r="B11" i="28"/>
  <c r="C11" i="28"/>
  <c r="D11" i="28"/>
  <c r="B12" i="28"/>
  <c r="C12" i="28"/>
  <c r="D12" i="28"/>
  <c r="D13" i="28"/>
  <c r="E15" i="28"/>
  <c r="F15" i="28"/>
  <c r="F19" i="28" s="1"/>
  <c r="F22" i="28" s="1"/>
  <c r="G15" i="28"/>
  <c r="G19" i="28" s="1"/>
  <c r="E19" i="28"/>
  <c r="E22" i="28" s="1"/>
  <c r="G22" i="28"/>
  <c r="F3" i="27"/>
  <c r="F4" i="27"/>
  <c r="F5" i="27"/>
  <c r="G6" i="27"/>
  <c r="H6" i="27"/>
  <c r="I6" i="27"/>
  <c r="E17" i="27"/>
  <c r="E19" i="27"/>
  <c r="G20" i="27"/>
  <c r="G22" i="27" s="1"/>
  <c r="H20" i="27"/>
  <c r="H22" i="27" s="1"/>
  <c r="I20" i="27"/>
  <c r="I22" i="27"/>
  <c r="C3" i="26"/>
  <c r="D3" i="26"/>
  <c r="C25" i="28" s="1"/>
  <c r="E3" i="26"/>
  <c r="C4" i="26"/>
  <c r="D4" i="26"/>
  <c r="C5" i="26"/>
  <c r="D5" i="26"/>
  <c r="C27" i="28" s="1"/>
  <c r="F6" i="26"/>
  <c r="G6" i="26"/>
  <c r="H6" i="26"/>
  <c r="C8" i="26"/>
  <c r="C9" i="26" s="1"/>
  <c r="D8" i="26"/>
  <c r="E8" i="26"/>
  <c r="E9" i="26" s="1"/>
  <c r="F9" i="26"/>
  <c r="G9" i="26"/>
  <c r="H9" i="26"/>
  <c r="C12" i="26"/>
  <c r="D12" i="26"/>
  <c r="E12" i="26"/>
  <c r="E15" i="26" s="1"/>
  <c r="D13" i="26"/>
  <c r="C14" i="26"/>
  <c r="D14" i="26"/>
  <c r="F15" i="26"/>
  <c r="F19" i="26" s="1"/>
  <c r="G15" i="26"/>
  <c r="H15" i="26"/>
  <c r="H19" i="26" s="1"/>
  <c r="G19" i="26"/>
  <c r="C24" i="26"/>
  <c r="D24" i="26"/>
  <c r="E24" i="26"/>
  <c r="C25" i="26"/>
  <c r="D25" i="26"/>
  <c r="E25" i="26"/>
  <c r="C26" i="26"/>
  <c r="D26" i="26"/>
  <c r="E26" i="26"/>
  <c r="F27" i="26"/>
  <c r="G27" i="26"/>
  <c r="H27" i="26"/>
  <c r="C28" i="26"/>
  <c r="C29" i="26" s="1"/>
  <c r="D28" i="26"/>
  <c r="E28" i="26"/>
  <c r="E29" i="26" s="1"/>
  <c r="D29" i="26"/>
  <c r="F29" i="26"/>
  <c r="G29" i="26"/>
  <c r="H29" i="26"/>
  <c r="D6" i="25"/>
  <c r="E6" i="25"/>
  <c r="F6" i="25"/>
  <c r="C10" i="25"/>
  <c r="E12" i="25"/>
  <c r="F12" i="25"/>
  <c r="E14" i="25"/>
  <c r="F14" i="25"/>
  <c r="E16" i="25"/>
  <c r="F16" i="25"/>
  <c r="D18" i="25"/>
  <c r="E18" i="25"/>
  <c r="F18" i="25"/>
  <c r="C20" i="25"/>
  <c r="C22" i="25"/>
  <c r="D27" i="25"/>
  <c r="E27" i="25"/>
  <c r="F27" i="25"/>
  <c r="C29" i="25"/>
  <c r="C31" i="25"/>
  <c r="C33" i="25"/>
  <c r="C35" i="25"/>
  <c r="D37" i="25"/>
  <c r="E37" i="25"/>
  <c r="F37" i="25"/>
  <c r="C39" i="25"/>
  <c r="C41" i="25"/>
  <c r="D43" i="25"/>
  <c r="E43" i="25"/>
  <c r="C46" i="25"/>
  <c r="C48" i="25"/>
  <c r="D50" i="25"/>
  <c r="D58" i="25" s="1"/>
  <c r="E50" i="25"/>
  <c r="F50" i="25"/>
  <c r="C52" i="25"/>
  <c r="C54" i="25"/>
  <c r="C56" i="25"/>
  <c r="E58" i="25"/>
  <c r="F58" i="25"/>
  <c r="E4" i="18"/>
  <c r="E6" i="18"/>
  <c r="E8" i="18"/>
  <c r="E12" i="18"/>
  <c r="E14" i="18"/>
  <c r="E16" i="18"/>
  <c r="E20" i="18"/>
  <c r="F22" i="18"/>
  <c r="G22" i="18"/>
  <c r="H22" i="18"/>
  <c r="H26" i="18" s="1"/>
  <c r="E24" i="18"/>
  <c r="G26" i="18"/>
  <c r="E4" i="25" s="1"/>
  <c r="E4" i="19"/>
  <c r="E6" i="19"/>
  <c r="E8" i="19"/>
  <c r="E10" i="19"/>
  <c r="D12" i="25" s="1"/>
  <c r="E12" i="19"/>
  <c r="E14" i="19"/>
  <c r="E18" i="19"/>
  <c r="G25" i="19"/>
  <c r="E27" i="19"/>
  <c r="E29" i="19"/>
  <c r="E31" i="19"/>
  <c r="E33" i="19"/>
  <c r="E35" i="19"/>
  <c r="E3" i="12"/>
  <c r="E4" i="12"/>
  <c r="H4" i="12"/>
  <c r="E5" i="12"/>
  <c r="H5" i="12"/>
  <c r="E6" i="12"/>
  <c r="H6" i="12"/>
  <c r="E7" i="12"/>
  <c r="H7" i="12" s="1"/>
  <c r="E8" i="12"/>
  <c r="H8" i="12"/>
  <c r="E9" i="12"/>
  <c r="H9" i="12"/>
  <c r="E10" i="12"/>
  <c r="H10" i="12"/>
  <c r="E11" i="12"/>
  <c r="H11" i="12" s="1"/>
  <c r="E12" i="12"/>
  <c r="H12" i="12"/>
  <c r="E13" i="12"/>
  <c r="H13" i="12"/>
  <c r="E14" i="12"/>
  <c r="H14" i="12"/>
  <c r="E15" i="12"/>
  <c r="H15" i="12" s="1"/>
  <c r="E16" i="12"/>
  <c r="H16" i="12"/>
  <c r="E17" i="12"/>
  <c r="H17" i="12"/>
  <c r="E18" i="12"/>
  <c r="H18" i="12"/>
  <c r="E19" i="12"/>
  <c r="H19" i="12" s="1"/>
  <c r="E20" i="12"/>
  <c r="H20" i="12"/>
  <c r="E21" i="12"/>
  <c r="H21" i="12"/>
  <c r="E22" i="12"/>
  <c r="H22" i="12"/>
  <c r="E23" i="12"/>
  <c r="H23" i="12" s="1"/>
  <c r="E24" i="12"/>
  <c r="H24" i="12"/>
  <c r="E25" i="12"/>
  <c r="H25" i="12"/>
  <c r="E26" i="12"/>
  <c r="H26" i="12"/>
  <c r="E27" i="12"/>
  <c r="H27" i="12" s="1"/>
  <c r="E28" i="12"/>
  <c r="H28" i="12"/>
  <c r="E29" i="12"/>
  <c r="H29" i="12"/>
  <c r="E30" i="12"/>
  <c r="H30" i="12"/>
  <c r="E31" i="12"/>
  <c r="H31" i="12" s="1"/>
  <c r="E32" i="12"/>
  <c r="H32" i="12"/>
  <c r="E33" i="12"/>
  <c r="H33" i="12"/>
  <c r="E34" i="12"/>
  <c r="H34" i="12"/>
  <c r="C40" i="12"/>
  <c r="D40" i="12"/>
  <c r="F40" i="12"/>
  <c r="G40" i="12"/>
  <c r="I40" i="12"/>
  <c r="J40" i="12"/>
  <c r="K40" i="12"/>
  <c r="L10" i="4" s="1"/>
  <c r="L61" i="4" s="1"/>
  <c r="D7" i="11"/>
  <c r="D9" i="11" s="1"/>
  <c r="E7" i="11"/>
  <c r="E9" i="11" s="1"/>
  <c r="B27" i="15" s="1"/>
  <c r="F7" i="11"/>
  <c r="G7" i="11"/>
  <c r="G9" i="11" s="1"/>
  <c r="G27" i="15" s="1"/>
  <c r="C27" i="25" s="1"/>
  <c r="H7" i="11"/>
  <c r="H9" i="11" s="1"/>
  <c r="I7" i="11"/>
  <c r="I9" i="11" s="1"/>
  <c r="I27" i="15" s="1"/>
  <c r="F9" i="11"/>
  <c r="F19" i="11"/>
  <c r="G19" i="11" s="1"/>
  <c r="K19" i="11"/>
  <c r="L19" i="11"/>
  <c r="M19" i="11"/>
  <c r="F20" i="11"/>
  <c r="K20" i="11"/>
  <c r="G20" i="11"/>
  <c r="L20" i="11"/>
  <c r="H20" i="11"/>
  <c r="G20" i="29" s="1"/>
  <c r="M20" i="11"/>
  <c r="I20" i="11" s="1"/>
  <c r="H20" i="29" s="1"/>
  <c r="N20" i="11"/>
  <c r="F21" i="11"/>
  <c r="N21" i="11" s="1"/>
  <c r="K21" i="11"/>
  <c r="G21" i="11"/>
  <c r="L21" i="11"/>
  <c r="H21" i="11" s="1"/>
  <c r="G21" i="29" s="1"/>
  <c r="M21" i="11"/>
  <c r="I21" i="11" s="1"/>
  <c r="H21" i="29" s="1"/>
  <c r="F22" i="11"/>
  <c r="N22" i="11" s="1"/>
  <c r="K22" i="11"/>
  <c r="L22" i="11"/>
  <c r="H22" i="11" s="1"/>
  <c r="G22" i="29" s="1"/>
  <c r="F23" i="11"/>
  <c r="N23" i="11" s="1"/>
  <c r="K23" i="11"/>
  <c r="G23" i="11"/>
  <c r="L23" i="11"/>
  <c r="M23" i="11" s="1"/>
  <c r="I23" i="11" s="1"/>
  <c r="H23" i="29" s="1"/>
  <c r="H23" i="11"/>
  <c r="G23" i="29" s="1"/>
  <c r="F24" i="11"/>
  <c r="N24" i="11" s="1"/>
  <c r="K24" i="11"/>
  <c r="G24" i="11"/>
  <c r="L24" i="11"/>
  <c r="H24" i="11" s="1"/>
  <c r="G24" i="29" s="1"/>
  <c r="M24" i="11"/>
  <c r="I24" i="11" s="1"/>
  <c r="H24" i="29" s="1"/>
  <c r="F25" i="11"/>
  <c r="K25" i="11"/>
  <c r="G25" i="11"/>
  <c r="L25" i="11"/>
  <c r="M25" i="11" s="1"/>
  <c r="I25" i="11" s="1"/>
  <c r="H25" i="29" s="1"/>
  <c r="H25" i="11"/>
  <c r="G25" i="29" s="1"/>
  <c r="N25" i="11"/>
  <c r="F26" i="11"/>
  <c r="K26" i="11"/>
  <c r="G26" i="11"/>
  <c r="L26" i="11"/>
  <c r="H26" i="11"/>
  <c r="G26" i="29" s="1"/>
  <c r="M26" i="11"/>
  <c r="I26" i="11" s="1"/>
  <c r="H26" i="29" s="1"/>
  <c r="N26" i="11"/>
  <c r="F27" i="11"/>
  <c r="G27" i="11" s="1"/>
  <c r="K27" i="11"/>
  <c r="L27" i="11"/>
  <c r="M27" i="11"/>
  <c r="N27" i="11"/>
  <c r="F28" i="11"/>
  <c r="G28" i="11" s="1"/>
  <c r="K28" i="11"/>
  <c r="L28" i="11"/>
  <c r="M28" i="11"/>
  <c r="N28" i="11"/>
  <c r="F29" i="11"/>
  <c r="N29" i="11" s="1"/>
  <c r="K29" i="11"/>
  <c r="L29" i="11"/>
  <c r="H29" i="11" s="1"/>
  <c r="G29" i="29" s="1"/>
  <c r="M29" i="11"/>
  <c r="F30" i="11"/>
  <c r="N30" i="11" s="1"/>
  <c r="K30" i="11"/>
  <c r="L30" i="11"/>
  <c r="H30" i="11" s="1"/>
  <c r="G30" i="29" s="1"/>
  <c r="F31" i="11"/>
  <c r="N31" i="11" s="1"/>
  <c r="K31" i="11"/>
  <c r="G31" i="11"/>
  <c r="L31" i="11"/>
  <c r="M31" i="11" s="1"/>
  <c r="I31" i="11" s="1"/>
  <c r="H31" i="29" s="1"/>
  <c r="H31" i="11"/>
  <c r="G31" i="29" s="1"/>
  <c r="F32" i="11"/>
  <c r="N32" i="11" s="1"/>
  <c r="K32" i="11"/>
  <c r="G32" i="11"/>
  <c r="L32" i="11"/>
  <c r="H32" i="11" s="1"/>
  <c r="G32" i="29" s="1"/>
  <c r="M32" i="11"/>
  <c r="I32" i="11" s="1"/>
  <c r="H32" i="29" s="1"/>
  <c r="F33" i="11"/>
  <c r="K33" i="11"/>
  <c r="G33" i="11"/>
  <c r="L33" i="11"/>
  <c r="M33" i="11" s="1"/>
  <c r="I33" i="11" s="1"/>
  <c r="H33" i="29" s="1"/>
  <c r="H33" i="11"/>
  <c r="G33" i="29" s="1"/>
  <c r="N33" i="11"/>
  <c r="F34" i="11"/>
  <c r="K34" i="11"/>
  <c r="G34" i="11"/>
  <c r="L34" i="11"/>
  <c r="H34" i="11"/>
  <c r="G34" i="29" s="1"/>
  <c r="M34" i="11"/>
  <c r="I34" i="11" s="1"/>
  <c r="H34" i="29" s="1"/>
  <c r="N34" i="11"/>
  <c r="F35" i="11"/>
  <c r="G35" i="11" s="1"/>
  <c r="K35" i="11"/>
  <c r="L35" i="11"/>
  <c r="M35" i="11"/>
  <c r="I35" i="11" s="1"/>
  <c r="H35" i="29" s="1"/>
  <c r="F36" i="11"/>
  <c r="G36" i="11" s="1"/>
  <c r="K36" i="11"/>
  <c r="L36" i="11"/>
  <c r="M36" i="11"/>
  <c r="N36" i="11"/>
  <c r="F37" i="11"/>
  <c r="N37" i="11" s="1"/>
  <c r="K37" i="11"/>
  <c r="G37" i="11"/>
  <c r="L37" i="11"/>
  <c r="H37" i="11" s="1"/>
  <c r="G37" i="29" s="1"/>
  <c r="M37" i="11"/>
  <c r="F38" i="11"/>
  <c r="N38" i="11" s="1"/>
  <c r="K38" i="11"/>
  <c r="L38" i="11"/>
  <c r="H38" i="11" s="1"/>
  <c r="G38" i="29" s="1"/>
  <c r="F39" i="11"/>
  <c r="N39" i="11" s="1"/>
  <c r="K39" i="11"/>
  <c r="G39" i="11"/>
  <c r="L39" i="11"/>
  <c r="M39" i="11" s="1"/>
  <c r="I39" i="11" s="1"/>
  <c r="H39" i="29" s="1"/>
  <c r="H39" i="11"/>
  <c r="G39" i="29" s="1"/>
  <c r="F40" i="11"/>
  <c r="N40" i="11" s="1"/>
  <c r="K40" i="11"/>
  <c r="G40" i="11"/>
  <c r="L40" i="11"/>
  <c r="H40" i="11" s="1"/>
  <c r="G40" i="29" s="1"/>
  <c r="M40" i="11"/>
  <c r="I40" i="11" s="1"/>
  <c r="H40" i="29" s="1"/>
  <c r="F41" i="11"/>
  <c r="K41" i="11"/>
  <c r="G41" i="11"/>
  <c r="L41" i="11"/>
  <c r="M41" i="11" s="1"/>
  <c r="I41" i="11" s="1"/>
  <c r="H41" i="29" s="1"/>
  <c r="H41" i="11"/>
  <c r="G41" i="29" s="1"/>
  <c r="N41" i="11"/>
  <c r="F42" i="11"/>
  <c r="K42" i="11"/>
  <c r="G42" i="11"/>
  <c r="L42" i="11"/>
  <c r="H42" i="11"/>
  <c r="G42" i="29" s="1"/>
  <c r="M42" i="11"/>
  <c r="I42" i="11" s="1"/>
  <c r="H42" i="29" s="1"/>
  <c r="N42" i="11"/>
  <c r="F43" i="11"/>
  <c r="G43" i="11" s="1"/>
  <c r="K43" i="11"/>
  <c r="L43" i="11"/>
  <c r="M43" i="11"/>
  <c r="F44" i="11"/>
  <c r="G44" i="11" s="1"/>
  <c r="K44" i="11"/>
  <c r="L44" i="11"/>
  <c r="M44" i="11"/>
  <c r="N44" i="11"/>
  <c r="F45" i="11"/>
  <c r="N45" i="11" s="1"/>
  <c r="K45" i="11"/>
  <c r="G45" i="11"/>
  <c r="L45" i="11"/>
  <c r="H45" i="11" s="1"/>
  <c r="G45" i="29" s="1"/>
  <c r="M45" i="11"/>
  <c r="F46" i="11"/>
  <c r="N46" i="11" s="1"/>
  <c r="K46" i="11"/>
  <c r="L46" i="11"/>
  <c r="H46" i="11" s="1"/>
  <c r="G46" i="29" s="1"/>
  <c r="F47" i="11"/>
  <c r="N47" i="11" s="1"/>
  <c r="K47" i="11"/>
  <c r="G47" i="11"/>
  <c r="L47" i="11"/>
  <c r="M47" i="11" s="1"/>
  <c r="I47" i="11" s="1"/>
  <c r="H47" i="29" s="1"/>
  <c r="H47" i="11"/>
  <c r="G47" i="29" s="1"/>
  <c r="F48" i="11"/>
  <c r="N48" i="11" s="1"/>
  <c r="K48" i="11"/>
  <c r="G48" i="11"/>
  <c r="L48" i="11"/>
  <c r="H48" i="11" s="1"/>
  <c r="G48" i="29" s="1"/>
  <c r="M48" i="11"/>
  <c r="I48" i="11" s="1"/>
  <c r="H48" i="29" s="1"/>
  <c r="F49" i="11"/>
  <c r="K49" i="11"/>
  <c r="G49" i="11"/>
  <c r="L49" i="11"/>
  <c r="M49" i="11" s="1"/>
  <c r="I49" i="11" s="1"/>
  <c r="H49" i="29" s="1"/>
  <c r="H49" i="11"/>
  <c r="G49" i="29" s="1"/>
  <c r="N49" i="11"/>
  <c r="F50" i="11"/>
  <c r="K50" i="11"/>
  <c r="G50" i="11"/>
  <c r="L50" i="11"/>
  <c r="H50" i="11"/>
  <c r="G50" i="29" s="1"/>
  <c r="M50" i="11"/>
  <c r="I50" i="11" s="1"/>
  <c r="H50" i="29" s="1"/>
  <c r="N50" i="11"/>
  <c r="F51" i="11"/>
  <c r="G51" i="11" s="1"/>
  <c r="K51" i="11"/>
  <c r="L51" i="11"/>
  <c r="M51" i="11"/>
  <c r="F52" i="11"/>
  <c r="G52" i="11" s="1"/>
  <c r="K52" i="11"/>
  <c r="L52" i="11"/>
  <c r="M52" i="11"/>
  <c r="N52" i="11"/>
  <c r="F53" i="11"/>
  <c r="N53" i="11" s="1"/>
  <c r="K53" i="11"/>
  <c r="G53" i="11"/>
  <c r="L53" i="11"/>
  <c r="H53" i="11" s="1"/>
  <c r="G53" i="29" s="1"/>
  <c r="M53" i="11"/>
  <c r="D54" i="11"/>
  <c r="F54" i="11" s="1"/>
  <c r="K54" i="11"/>
  <c r="G54" i="11" s="1"/>
  <c r="L54" i="11"/>
  <c r="M54" i="11" s="1"/>
  <c r="I54" i="11" s="1"/>
  <c r="H54" i="29" s="1"/>
  <c r="D55" i="11"/>
  <c r="F55" i="11"/>
  <c r="N55" i="11" s="1"/>
  <c r="K55" i="11"/>
  <c r="G55" i="11" s="1"/>
  <c r="L55" i="11"/>
  <c r="H55" i="11" s="1"/>
  <c r="G55" i="29" s="1"/>
  <c r="F56" i="11"/>
  <c r="N56" i="11" s="1"/>
  <c r="K56" i="11"/>
  <c r="G56" i="11"/>
  <c r="L56" i="11"/>
  <c r="H56" i="11" s="1"/>
  <c r="G56" i="29" s="1"/>
  <c r="F57" i="11"/>
  <c r="N57" i="11" s="1"/>
  <c r="K57" i="11"/>
  <c r="G57" i="11"/>
  <c r="L57" i="11"/>
  <c r="H57" i="11" s="1"/>
  <c r="G57" i="29" s="1"/>
  <c r="M57" i="11"/>
  <c r="I57" i="11"/>
  <c r="H57" i="29" s="1"/>
  <c r="F58" i="11"/>
  <c r="N58" i="11" s="1"/>
  <c r="K58" i="11"/>
  <c r="G58" i="11" s="1"/>
  <c r="F59" i="11"/>
  <c r="N59" i="11" s="1"/>
  <c r="K59" i="11"/>
  <c r="G59" i="11" s="1"/>
  <c r="L59" i="11"/>
  <c r="H59" i="11" s="1"/>
  <c r="G59" i="29" s="1"/>
  <c r="F60" i="11"/>
  <c r="N60" i="11" s="1"/>
  <c r="K60" i="11"/>
  <c r="L60" i="11" s="1"/>
  <c r="G60" i="11"/>
  <c r="F61" i="11"/>
  <c r="N61" i="11" s="1"/>
  <c r="K61" i="11"/>
  <c r="G61" i="11"/>
  <c r="L61" i="11"/>
  <c r="H61" i="11" s="1"/>
  <c r="G61" i="29" s="1"/>
  <c r="M61" i="11"/>
  <c r="I61" i="11" s="1"/>
  <c r="H61" i="29" s="1"/>
  <c r="F62" i="11"/>
  <c r="K62" i="11"/>
  <c r="G62" i="11"/>
  <c r="L62" i="11"/>
  <c r="M62" i="11" s="1"/>
  <c r="I62" i="11" s="1"/>
  <c r="H62" i="29" s="1"/>
  <c r="H62" i="11"/>
  <c r="G62" i="29" s="1"/>
  <c r="N62" i="11"/>
  <c r="F63" i="11"/>
  <c r="K63" i="11"/>
  <c r="G63" i="11"/>
  <c r="L63" i="11"/>
  <c r="M63" i="11" s="1"/>
  <c r="I63" i="11" s="1"/>
  <c r="H63" i="29" s="1"/>
  <c r="H63" i="11"/>
  <c r="G63" i="29" s="1"/>
  <c r="N63" i="11"/>
  <c r="D64" i="11"/>
  <c r="F64" i="11"/>
  <c r="N64" i="11" s="1"/>
  <c r="K64" i="11"/>
  <c r="G64" i="11"/>
  <c r="L64" i="11"/>
  <c r="H64" i="11" s="1"/>
  <c r="G64" i="29" s="1"/>
  <c r="M64" i="11"/>
  <c r="I64" i="11" s="1"/>
  <c r="H64" i="29" s="1"/>
  <c r="F65" i="11"/>
  <c r="N65" i="11" s="1"/>
  <c r="K65" i="11"/>
  <c r="G65" i="11"/>
  <c r="L65" i="11"/>
  <c r="H65" i="11" s="1"/>
  <c r="G65" i="29" s="1"/>
  <c r="M65" i="11"/>
  <c r="I65" i="11" s="1"/>
  <c r="H65" i="29" s="1"/>
  <c r="D66" i="11"/>
  <c r="F66" i="11"/>
  <c r="N66" i="11" s="1"/>
  <c r="K66" i="11"/>
  <c r="L66" i="11" s="1"/>
  <c r="G66" i="11"/>
  <c r="F67" i="11"/>
  <c r="N67" i="11" s="1"/>
  <c r="K67" i="11"/>
  <c r="L67" i="11" s="1"/>
  <c r="G67" i="11"/>
  <c r="F68" i="11"/>
  <c r="N68" i="11" s="1"/>
  <c r="K68" i="11"/>
  <c r="L68" i="11" s="1"/>
  <c r="G68" i="11"/>
  <c r="F69" i="11"/>
  <c r="N69" i="11" s="1"/>
  <c r="K69" i="11"/>
  <c r="L69" i="11" s="1"/>
  <c r="G69" i="11"/>
  <c r="F70" i="11"/>
  <c r="N70" i="11" s="1"/>
  <c r="K70" i="11"/>
  <c r="L70" i="11" s="1"/>
  <c r="G70" i="11"/>
  <c r="F71" i="11"/>
  <c r="N71" i="11" s="1"/>
  <c r="K71" i="11"/>
  <c r="L71" i="11" s="1"/>
  <c r="G71" i="11"/>
  <c r="D72" i="11"/>
  <c r="F72" i="11"/>
  <c r="N72" i="11" s="1"/>
  <c r="K72" i="11"/>
  <c r="G72" i="11" s="1"/>
  <c r="L72" i="11"/>
  <c r="H72" i="11" s="1"/>
  <c r="G72" i="29" s="1"/>
  <c r="D73" i="11"/>
  <c r="F73" i="11"/>
  <c r="N73" i="11" s="1"/>
  <c r="K73" i="11"/>
  <c r="L73" i="11" s="1"/>
  <c r="G73" i="11"/>
  <c r="F74" i="11"/>
  <c r="N74" i="11" s="1"/>
  <c r="K74" i="11"/>
  <c r="L74" i="11" s="1"/>
  <c r="G74" i="11"/>
  <c r="F75" i="11"/>
  <c r="N75" i="11" s="1"/>
  <c r="K75" i="11"/>
  <c r="L75" i="11" s="1"/>
  <c r="G75" i="11"/>
  <c r="F76" i="11"/>
  <c r="N76" i="11" s="1"/>
  <c r="K76" i="11"/>
  <c r="L76" i="11" s="1"/>
  <c r="G76" i="11"/>
  <c r="F77" i="11"/>
  <c r="N77" i="11" s="1"/>
  <c r="K77" i="11"/>
  <c r="L77" i="11" s="1"/>
  <c r="G77" i="11"/>
  <c r="F78" i="11"/>
  <c r="N78" i="11" s="1"/>
  <c r="K78" i="11"/>
  <c r="L78" i="11" s="1"/>
  <c r="G78" i="11"/>
  <c r="F79" i="11"/>
  <c r="N79" i="11" s="1"/>
  <c r="K79" i="11"/>
  <c r="L79" i="11" s="1"/>
  <c r="G79" i="11"/>
  <c r="D80" i="11"/>
  <c r="F80" i="11" s="1"/>
  <c r="K80" i="11"/>
  <c r="G80" i="11" s="1"/>
  <c r="D81" i="11"/>
  <c r="F81" i="11"/>
  <c r="H81" i="11" s="1"/>
  <c r="G81" i="29" s="1"/>
  <c r="K81" i="11"/>
  <c r="G81" i="11" s="1"/>
  <c r="L81" i="11"/>
  <c r="M81" i="11"/>
  <c r="I81" i="11"/>
  <c r="H81" i="29" s="1"/>
  <c r="F82" i="11"/>
  <c r="H82" i="11" s="1"/>
  <c r="G82" i="29" s="1"/>
  <c r="K82" i="11"/>
  <c r="G82" i="11" s="1"/>
  <c r="L82" i="11"/>
  <c r="M82" i="11"/>
  <c r="F83" i="11"/>
  <c r="H83" i="11" s="1"/>
  <c r="G83" i="29" s="1"/>
  <c r="K83" i="11"/>
  <c r="G83" i="11" s="1"/>
  <c r="L83" i="11"/>
  <c r="M83" i="11"/>
  <c r="H84" i="11"/>
  <c r="I84" i="11" s="1"/>
  <c r="H85" i="11"/>
  <c r="G85" i="29" s="1"/>
  <c r="I85" i="11"/>
  <c r="H85" i="29" s="1"/>
  <c r="I85" i="29" s="1"/>
  <c r="I88" i="11"/>
  <c r="I91" i="11" s="1"/>
  <c r="I95" i="11" s="1"/>
  <c r="C9" i="10"/>
  <c r="B9" i="28" s="1"/>
  <c r="D9" i="10"/>
  <c r="C9" i="28" s="1"/>
  <c r="E15" i="10"/>
  <c r="E19" i="10" s="1"/>
  <c r="F15" i="10"/>
  <c r="G15" i="10"/>
  <c r="F3" i="13"/>
  <c r="E3" i="27" s="1"/>
  <c r="D5" i="13"/>
  <c r="E5" i="13"/>
  <c r="D5" i="27" s="1"/>
  <c r="F5" i="13"/>
  <c r="E5" i="27" s="1"/>
  <c r="G6" i="13"/>
  <c r="H6" i="13"/>
  <c r="I6" i="13"/>
  <c r="D16" i="13"/>
  <c r="E16" i="13"/>
  <c r="F16" i="13"/>
  <c r="E16" i="27" s="1"/>
  <c r="D17" i="13"/>
  <c r="E17" i="13"/>
  <c r="D17" i="27" s="1"/>
  <c r="D18" i="13"/>
  <c r="E18" i="13"/>
  <c r="F18" i="13"/>
  <c r="E18" i="27" s="1"/>
  <c r="D19" i="13"/>
  <c r="E19" i="13"/>
  <c r="D19" i="27" s="1"/>
  <c r="C6" i="9"/>
  <c r="C4" i="4" s="1"/>
  <c r="D6" i="9"/>
  <c r="E6" i="9"/>
  <c r="C9" i="9"/>
  <c r="D9" i="9"/>
  <c r="E9" i="9"/>
  <c r="F9" i="9"/>
  <c r="C15" i="9"/>
  <c r="D15" i="9"/>
  <c r="E15" i="9"/>
  <c r="E6" i="4" s="1"/>
  <c r="C19" i="9"/>
  <c r="C27" i="9"/>
  <c r="D3" i="13" s="1"/>
  <c r="D4" i="13" s="1"/>
  <c r="D27" i="9"/>
  <c r="E3" i="13" s="1"/>
  <c r="E27" i="9"/>
  <c r="F27" i="9"/>
  <c r="G27" i="9"/>
  <c r="H27" i="9"/>
  <c r="C29" i="9"/>
  <c r="D29" i="9"/>
  <c r="E29" i="9"/>
  <c r="F29" i="9"/>
  <c r="G29" i="9"/>
  <c r="H29" i="9"/>
  <c r="D33" i="9"/>
  <c r="E33" i="9"/>
  <c r="G33" i="9"/>
  <c r="H33" i="9"/>
  <c r="D34" i="9"/>
  <c r="E34" i="9"/>
  <c r="G34" i="9"/>
  <c r="H34" i="9"/>
  <c r="D35" i="9"/>
  <c r="E35" i="9"/>
  <c r="G35" i="9"/>
  <c r="H35" i="9"/>
  <c r="D37" i="9"/>
  <c r="E37" i="9"/>
  <c r="B6" i="15"/>
  <c r="C6" i="15"/>
  <c r="B7" i="15"/>
  <c r="C7" i="15"/>
  <c r="G6" i="15"/>
  <c r="C6" i="25" s="1"/>
  <c r="H6" i="15"/>
  <c r="H8" i="15"/>
  <c r="I8" i="15"/>
  <c r="E10" i="15"/>
  <c r="F10" i="15"/>
  <c r="B10" i="25" s="1"/>
  <c r="C12" i="15"/>
  <c r="C13" i="15"/>
  <c r="F12" i="15" s="1"/>
  <c r="B12" i="25" s="1"/>
  <c r="H12" i="15"/>
  <c r="I12" i="15"/>
  <c r="B15" i="15"/>
  <c r="C15" i="15"/>
  <c r="H14" i="15"/>
  <c r="I14" i="15"/>
  <c r="B16" i="15"/>
  <c r="E16" i="15" s="1"/>
  <c r="B17" i="15"/>
  <c r="C17" i="15"/>
  <c r="H16" i="15"/>
  <c r="I16" i="15"/>
  <c r="B18" i="15"/>
  <c r="C18" i="15"/>
  <c r="B19" i="15"/>
  <c r="C19" i="15"/>
  <c r="H18" i="15"/>
  <c r="I18" i="15"/>
  <c r="E20" i="15"/>
  <c r="F20" i="15"/>
  <c r="B20" i="25" s="1"/>
  <c r="E22" i="15"/>
  <c r="F22" i="15"/>
  <c r="B22" i="25" s="1"/>
  <c r="C27" i="15"/>
  <c r="F27" i="15"/>
  <c r="B27" i="25" s="1"/>
  <c r="E29" i="15"/>
  <c r="F29" i="15"/>
  <c r="B29" i="25" s="1"/>
  <c r="E31" i="15"/>
  <c r="F31" i="15"/>
  <c r="B31" i="25" s="1"/>
  <c r="E33" i="15"/>
  <c r="F33" i="15"/>
  <c r="B33" i="25" s="1"/>
  <c r="E35" i="15"/>
  <c r="F35" i="15"/>
  <c r="B35" i="25" s="1"/>
  <c r="B37" i="15"/>
  <c r="C37" i="15"/>
  <c r="C43" i="15" s="1"/>
  <c r="B38" i="15"/>
  <c r="B44" i="15" s="1"/>
  <c r="C38" i="15"/>
  <c r="C44" i="15" s="1"/>
  <c r="H37" i="15"/>
  <c r="I37" i="15"/>
  <c r="E39" i="15"/>
  <c r="F39" i="15"/>
  <c r="B39" i="25" s="1"/>
  <c r="E41" i="15"/>
  <c r="F41" i="15"/>
  <c r="B41" i="25" s="1"/>
  <c r="E46" i="15"/>
  <c r="F46" i="15"/>
  <c r="B46" i="25" s="1"/>
  <c r="E48" i="15"/>
  <c r="F48" i="15"/>
  <c r="B48" i="25" s="1"/>
  <c r="B50" i="15"/>
  <c r="B58" i="15" s="1"/>
  <c r="C50" i="15"/>
  <c r="B51" i="15"/>
  <c r="B59" i="15" s="1"/>
  <c r="C51" i="15"/>
  <c r="C59" i="15" s="1"/>
  <c r="G50" i="15"/>
  <c r="C50" i="25" s="1"/>
  <c r="H50" i="15"/>
  <c r="H58" i="15" s="1"/>
  <c r="I50" i="15"/>
  <c r="I58" i="15" s="1"/>
  <c r="E52" i="15"/>
  <c r="F52" i="15"/>
  <c r="B52" i="25" s="1"/>
  <c r="E54" i="15"/>
  <c r="F54" i="15"/>
  <c r="B54" i="25" s="1"/>
  <c r="E56" i="15"/>
  <c r="F56" i="15"/>
  <c r="B56" i="25" s="1"/>
  <c r="B62" i="15"/>
  <c r="C6" i="4"/>
  <c r="G6" i="4" s="1"/>
  <c r="G10" i="4"/>
  <c r="H10" i="4"/>
  <c r="C10" i="18" s="1"/>
  <c r="I10" i="4"/>
  <c r="D10" i="18" s="1"/>
  <c r="G12" i="4"/>
  <c r="H12" i="4"/>
  <c r="C12" i="18" s="1"/>
  <c r="I12" i="4"/>
  <c r="D12" i="18" s="1"/>
  <c r="G16" i="4"/>
  <c r="H16" i="4"/>
  <c r="C16" i="18" s="1"/>
  <c r="I16" i="4"/>
  <c r="D16" i="18" s="1"/>
  <c r="G18" i="4"/>
  <c r="H18" i="4"/>
  <c r="C18" i="18" s="1"/>
  <c r="I18" i="4"/>
  <c r="D18" i="18" s="1"/>
  <c r="G20" i="4"/>
  <c r="H20" i="4"/>
  <c r="C20" i="18" s="1"/>
  <c r="I20" i="4"/>
  <c r="D20" i="18" s="1"/>
  <c r="C23" i="4"/>
  <c r="C28" i="14" s="1"/>
  <c r="E23" i="4"/>
  <c r="E27" i="4" s="1"/>
  <c r="C5" i="15" s="1"/>
  <c r="G24" i="4"/>
  <c r="C24" i="18"/>
  <c r="D24" i="18"/>
  <c r="H4" i="14"/>
  <c r="C4" i="19" s="1"/>
  <c r="I4" i="14"/>
  <c r="D6" i="14"/>
  <c r="H6" i="14" s="1"/>
  <c r="C6" i="19" s="1"/>
  <c r="E6" i="14"/>
  <c r="I6" i="14" s="1"/>
  <c r="D6" i="19" s="1"/>
  <c r="G6" i="14"/>
  <c r="G8" i="14"/>
  <c r="H8" i="14"/>
  <c r="C8" i="19" s="1"/>
  <c r="I8" i="14"/>
  <c r="D8" i="19" s="1"/>
  <c r="C10" i="14"/>
  <c r="B12" i="15" s="1"/>
  <c r="B13" i="15"/>
  <c r="H10" i="14"/>
  <c r="C10" i="19" s="1"/>
  <c r="I10" i="14"/>
  <c r="D10" i="19" s="1"/>
  <c r="G14" i="14"/>
  <c r="H14" i="14"/>
  <c r="C14" i="19" s="1"/>
  <c r="I14" i="14"/>
  <c r="D14" i="19" s="1"/>
  <c r="G18" i="14"/>
  <c r="H18" i="14"/>
  <c r="C18" i="19" s="1"/>
  <c r="I18" i="14"/>
  <c r="D18" i="19" s="1"/>
  <c r="G22" i="14"/>
  <c r="H22" i="14"/>
  <c r="I22" i="14"/>
  <c r="D22" i="19" s="1"/>
  <c r="J22" i="14"/>
  <c r="C23" i="14"/>
  <c r="G23" i="14"/>
  <c r="G29" i="14"/>
  <c r="H29" i="14"/>
  <c r="C29" i="19" s="1"/>
  <c r="I29" i="14"/>
  <c r="D29" i="19" s="1"/>
  <c r="E31" i="14"/>
  <c r="I31" i="14" s="1"/>
  <c r="G31" i="14"/>
  <c r="H31" i="14"/>
  <c r="C31" i="19" s="1"/>
  <c r="E33" i="14"/>
  <c r="G33" i="14"/>
  <c r="H33" i="14"/>
  <c r="C33" i="19" s="1"/>
  <c r="I33" i="14"/>
  <c r="D33" i="19" s="1"/>
  <c r="G35" i="14"/>
  <c r="H35" i="14"/>
  <c r="C35" i="19" s="1"/>
  <c r="I35" i="14"/>
  <c r="D35" i="19" s="1"/>
  <c r="G19" i="10" l="1"/>
  <c r="G22" i="10" s="1"/>
  <c r="L14" i="4"/>
  <c r="L36" i="4" s="1"/>
  <c r="L37" i="4" s="1"/>
  <c r="F19" i="10"/>
  <c r="K14" i="4"/>
  <c r="H27" i="15"/>
  <c r="K6" i="14"/>
  <c r="L6" i="14" s="1"/>
  <c r="D16" i="25"/>
  <c r="D14" i="25"/>
  <c r="I87" i="11"/>
  <c r="I43" i="15"/>
  <c r="C26" i="28"/>
  <c r="B26" i="28"/>
  <c r="B27" i="28"/>
  <c r="D16" i="27"/>
  <c r="G16" i="13"/>
  <c r="F16" i="27" s="1"/>
  <c r="G19" i="13"/>
  <c r="D18" i="27"/>
  <c r="D28" i="27" s="1"/>
  <c r="H18" i="13"/>
  <c r="G18" i="13"/>
  <c r="G17" i="13"/>
  <c r="J44" i="12"/>
  <c r="K10" i="4"/>
  <c r="K44" i="12"/>
  <c r="I44" i="12"/>
  <c r="J10" i="4"/>
  <c r="C10" i="30"/>
  <c r="C16" i="30"/>
  <c r="C27" i="30"/>
  <c r="E32" i="30"/>
  <c r="C32" i="30" s="1"/>
  <c r="C8" i="30"/>
  <c r="E24" i="30"/>
  <c r="C24" i="30" s="1"/>
  <c r="C11" i="30"/>
  <c r="F26" i="27"/>
  <c r="F6" i="27"/>
  <c r="C27" i="26"/>
  <c r="F15" i="9"/>
  <c r="H13" i="9"/>
  <c r="G15" i="9"/>
  <c r="H15" i="9"/>
  <c r="H9" i="9"/>
  <c r="G9" i="9"/>
  <c r="E26" i="27"/>
  <c r="D26" i="27"/>
  <c r="E37" i="26"/>
  <c r="E20" i="13"/>
  <c r="H34" i="26"/>
  <c r="E27" i="26"/>
  <c r="D27" i="27"/>
  <c r="G34" i="26"/>
  <c r="E27" i="27"/>
  <c r="G33" i="26"/>
  <c r="G5" i="9"/>
  <c r="H5" i="9" s="1"/>
  <c r="F6" i="9"/>
  <c r="F19" i="9" s="1"/>
  <c r="E5" i="26"/>
  <c r="E35" i="26" s="1"/>
  <c r="D15" i="26"/>
  <c r="C15" i="26"/>
  <c r="D20" i="13"/>
  <c r="E4" i="4"/>
  <c r="E12" i="14" s="1"/>
  <c r="E28" i="27"/>
  <c r="D19" i="9"/>
  <c r="E4" i="26"/>
  <c r="D4" i="4"/>
  <c r="D12" i="14" s="1"/>
  <c r="G6" i="9"/>
  <c r="H6" i="9"/>
  <c r="H19" i="9" s="1"/>
  <c r="D25" i="28"/>
  <c r="E33" i="26"/>
  <c r="L52" i="4"/>
  <c r="F50" i="15"/>
  <c r="B50" i="25" s="1"/>
  <c r="E18" i="15"/>
  <c r="G58" i="15"/>
  <c r="C58" i="25" s="1"/>
  <c r="F6" i="15"/>
  <c r="B6" i="25" s="1"/>
  <c r="B13" i="10"/>
  <c r="E6" i="15"/>
  <c r="H43" i="15"/>
  <c r="I6" i="4"/>
  <c r="D6" i="18" s="1"/>
  <c r="C12" i="14"/>
  <c r="C20" i="14" s="1"/>
  <c r="F43" i="15"/>
  <c r="B43" i="25" s="1"/>
  <c r="F37" i="15"/>
  <c r="B37" i="25" s="1"/>
  <c r="G16" i="14"/>
  <c r="C58" i="15"/>
  <c r="F58" i="15" s="1"/>
  <c r="B58" i="25" s="1"/>
  <c r="F18" i="15"/>
  <c r="B18" i="25" s="1"/>
  <c r="G12" i="15"/>
  <c r="C12" i="25" s="1"/>
  <c r="D28" i="14"/>
  <c r="B9" i="15" s="1"/>
  <c r="C27" i="4"/>
  <c r="C26" i="14" s="1"/>
  <c r="D24" i="14" s="1"/>
  <c r="H84" i="29"/>
  <c r="I84" i="29" s="1"/>
  <c r="I86" i="11"/>
  <c r="F89" i="11"/>
  <c r="N80" i="11"/>
  <c r="H77" i="11"/>
  <c r="G77" i="29" s="1"/>
  <c r="M77" i="11"/>
  <c r="I77" i="11" s="1"/>
  <c r="H77" i="29" s="1"/>
  <c r="M67" i="11"/>
  <c r="I67" i="11" s="1"/>
  <c r="H67" i="29" s="1"/>
  <c r="H67" i="11"/>
  <c r="G67" i="29" s="1"/>
  <c r="D6" i="13"/>
  <c r="H74" i="11"/>
  <c r="G74" i="29" s="1"/>
  <c r="M74" i="11"/>
  <c r="I74" i="11" s="1"/>
  <c r="H74" i="29" s="1"/>
  <c r="E26" i="14"/>
  <c r="E27" i="15"/>
  <c r="B43" i="15"/>
  <c r="E43" i="15" s="1"/>
  <c r="D31" i="19"/>
  <c r="G16" i="15"/>
  <c r="C16" i="25" s="1"/>
  <c r="D26" i="14"/>
  <c r="B5" i="15"/>
  <c r="D28" i="28"/>
  <c r="H79" i="11"/>
  <c r="G79" i="29" s="1"/>
  <c r="M79" i="11"/>
  <c r="I79" i="11" s="1"/>
  <c r="H79" i="29" s="1"/>
  <c r="M69" i="11"/>
  <c r="I69" i="11" s="1"/>
  <c r="H69" i="29" s="1"/>
  <c r="H69" i="11"/>
  <c r="G69" i="29" s="1"/>
  <c r="E58" i="15"/>
  <c r="H76" i="11"/>
  <c r="G76" i="29" s="1"/>
  <c r="M76" i="11"/>
  <c r="I76" i="11" s="1"/>
  <c r="H76" i="29" s="1"/>
  <c r="M66" i="11"/>
  <c r="I66" i="11" s="1"/>
  <c r="H66" i="29" s="1"/>
  <c r="H66" i="11"/>
  <c r="G66" i="29" s="1"/>
  <c r="M60" i="11"/>
  <c r="I60" i="11" s="1"/>
  <c r="H60" i="29" s="1"/>
  <c r="H60" i="11"/>
  <c r="G60" i="29" s="1"/>
  <c r="H73" i="11"/>
  <c r="G73" i="29" s="1"/>
  <c r="M73" i="11"/>
  <c r="I73" i="11" s="1"/>
  <c r="H73" i="29" s="1"/>
  <c r="M71" i="11"/>
  <c r="I71" i="11" s="1"/>
  <c r="H71" i="29" s="1"/>
  <c r="H71" i="11"/>
  <c r="G71" i="29" s="1"/>
  <c r="E22" i="19"/>
  <c r="K22" i="14"/>
  <c r="H75" i="11"/>
  <c r="G75" i="29" s="1"/>
  <c r="M75" i="11"/>
  <c r="I75" i="11" s="1"/>
  <c r="H75" i="29" s="1"/>
  <c r="H78" i="11"/>
  <c r="G78" i="29" s="1"/>
  <c r="M78" i="11"/>
  <c r="I78" i="11" s="1"/>
  <c r="H78" i="29" s="1"/>
  <c r="M68" i="11"/>
  <c r="I68" i="11" s="1"/>
  <c r="H68" i="29" s="1"/>
  <c r="H68" i="11"/>
  <c r="G68" i="29" s="1"/>
  <c r="E12" i="15"/>
  <c r="D3" i="27"/>
  <c r="E4" i="13"/>
  <c r="M70" i="11"/>
  <c r="I70" i="11" s="1"/>
  <c r="H70" i="29" s="1"/>
  <c r="H70" i="11"/>
  <c r="G70" i="29" s="1"/>
  <c r="G29" i="11"/>
  <c r="D4" i="19"/>
  <c r="D6" i="4"/>
  <c r="E50" i="15"/>
  <c r="E19" i="9"/>
  <c r="D89" i="11"/>
  <c r="N83" i="11"/>
  <c r="N82" i="11"/>
  <c r="N81" i="11"/>
  <c r="M56" i="11"/>
  <c r="I56" i="11" s="1"/>
  <c r="H56" i="29" s="1"/>
  <c r="G46" i="11"/>
  <c r="G38" i="11"/>
  <c r="G30" i="11"/>
  <c r="G22" i="11"/>
  <c r="G89" i="11" s="1"/>
  <c r="F94" i="11"/>
  <c r="I83" i="11"/>
  <c r="H83" i="29" s="1"/>
  <c r="I82" i="11"/>
  <c r="H82" i="29" s="1"/>
  <c r="N51" i="11"/>
  <c r="N43" i="11"/>
  <c r="N35" i="11"/>
  <c r="N19" i="11"/>
  <c r="C22" i="19"/>
  <c r="F72" i="29"/>
  <c r="N72" i="29" s="1"/>
  <c r="D29" i="27"/>
  <c r="G10" i="14"/>
  <c r="E37" i="15"/>
  <c r="C16" i="15"/>
  <c r="F16" i="15" s="1"/>
  <c r="B16" i="25" s="1"/>
  <c r="F93" i="11"/>
  <c r="I51" i="11"/>
  <c r="H51" i="29" s="1"/>
  <c r="I43" i="11"/>
  <c r="H43" i="29" s="1"/>
  <c r="I27" i="11"/>
  <c r="H27" i="29" s="1"/>
  <c r="I19" i="11"/>
  <c r="F43" i="25"/>
  <c r="F92" i="11"/>
  <c r="I52" i="11"/>
  <c r="H52" i="29" s="1"/>
  <c r="H51" i="11"/>
  <c r="G51" i="29" s="1"/>
  <c r="I44" i="11"/>
  <c r="H44" i="29" s="1"/>
  <c r="H43" i="11"/>
  <c r="G43" i="29" s="1"/>
  <c r="I36" i="11"/>
  <c r="H36" i="29" s="1"/>
  <c r="H35" i="11"/>
  <c r="G35" i="29" s="1"/>
  <c r="I28" i="11"/>
  <c r="H28" i="29" s="1"/>
  <c r="H27" i="11"/>
  <c r="G27" i="29" s="1"/>
  <c r="H19" i="11"/>
  <c r="H3" i="12"/>
  <c r="H40" i="12" s="1"/>
  <c r="E40" i="12"/>
  <c r="H25" i="19"/>
  <c r="F4" i="25"/>
  <c r="G4" i="4"/>
  <c r="F4" i="13"/>
  <c r="E4" i="27" s="1"/>
  <c r="E6" i="27" s="1"/>
  <c r="N54" i="11"/>
  <c r="I53" i="11"/>
  <c r="H53" i="29" s="1"/>
  <c r="H52" i="11"/>
  <c r="G52" i="29" s="1"/>
  <c r="I45" i="11"/>
  <c r="H45" i="29" s="1"/>
  <c r="H44" i="11"/>
  <c r="G44" i="29" s="1"/>
  <c r="I37" i="11"/>
  <c r="H37" i="29" s="1"/>
  <c r="H36" i="11"/>
  <c r="G36" i="29" s="1"/>
  <c r="I29" i="11"/>
  <c r="H29" i="29" s="1"/>
  <c r="H28" i="11"/>
  <c r="G28" i="29" s="1"/>
  <c r="L80" i="11"/>
  <c r="M72" i="11"/>
  <c r="I72" i="11" s="1"/>
  <c r="H72" i="29" s="1"/>
  <c r="M59" i="11"/>
  <c r="I59" i="11" s="1"/>
  <c r="H59" i="29" s="1"/>
  <c r="L58" i="11"/>
  <c r="M46" i="11"/>
  <c r="I46" i="11" s="1"/>
  <c r="H46" i="29" s="1"/>
  <c r="M38" i="11"/>
  <c r="I38" i="11" s="1"/>
  <c r="H38" i="29" s="1"/>
  <c r="M30" i="11"/>
  <c r="I30" i="11" s="1"/>
  <c r="H30" i="29" s="1"/>
  <c r="M22" i="11"/>
  <c r="I22" i="11" s="1"/>
  <c r="H22" i="29" s="1"/>
  <c r="F26" i="18"/>
  <c r="F27" i="19"/>
  <c r="F20" i="13"/>
  <c r="M55" i="11"/>
  <c r="I55" i="11" s="1"/>
  <c r="H55" i="29" s="1"/>
  <c r="H54" i="11"/>
  <c r="G54" i="29" s="1"/>
  <c r="G35" i="26"/>
  <c r="H35" i="26"/>
  <c r="D37" i="26"/>
  <c r="D9" i="26"/>
  <c r="N55" i="29"/>
  <c r="F93" i="29"/>
  <c r="F89" i="29"/>
  <c r="F94" i="29"/>
  <c r="D15" i="28"/>
  <c r="D19" i="28" s="1"/>
  <c r="D22" i="28" s="1"/>
  <c r="C25" i="30"/>
  <c r="E20" i="30"/>
  <c r="C20" i="30"/>
  <c r="C6" i="30"/>
  <c r="D27" i="26"/>
  <c r="D89" i="29"/>
  <c r="C33" i="30"/>
  <c r="E28" i="30"/>
  <c r="C28" i="30"/>
  <c r="H33" i="26"/>
  <c r="D27" i="28"/>
  <c r="B25" i="28"/>
  <c r="C6" i="26"/>
  <c r="E20" i="27"/>
  <c r="C9" i="30"/>
  <c r="E29" i="27"/>
  <c r="D35" i="26"/>
  <c r="F7" i="29"/>
  <c r="F9" i="29" s="1"/>
  <c r="C17" i="30"/>
  <c r="E12" i="30"/>
  <c r="C12" i="30" s="1"/>
  <c r="C31" i="30"/>
  <c r="C23" i="30"/>
  <c r="C15" i="30"/>
  <c r="C7" i="30"/>
  <c r="D33" i="26"/>
  <c r="D6" i="26"/>
  <c r="H40" i="30"/>
  <c r="H41" i="30" s="1"/>
  <c r="C4" i="30"/>
  <c r="D34" i="26"/>
  <c r="F28" i="18"/>
  <c r="H28" i="18"/>
  <c r="F22" i="10" l="1"/>
  <c r="I4" i="4"/>
  <c r="I59" i="4" s="1"/>
  <c r="B15" i="10"/>
  <c r="C14" i="4" s="1"/>
  <c r="G14" i="4" s="1"/>
  <c r="B32" i="10"/>
  <c r="H17" i="13"/>
  <c r="I17" i="13"/>
  <c r="F17" i="27"/>
  <c r="F27" i="27" s="1"/>
  <c r="C19" i="26"/>
  <c r="I18" i="13"/>
  <c r="F18" i="27"/>
  <c r="D20" i="27"/>
  <c r="H19" i="13"/>
  <c r="F19" i="27"/>
  <c r="G20" i="13"/>
  <c r="G22" i="13" s="1"/>
  <c r="E6" i="26"/>
  <c r="E19" i="26" s="1"/>
  <c r="H16" i="13"/>
  <c r="I16" i="13" s="1"/>
  <c r="K22" i="4"/>
  <c r="K61" i="4"/>
  <c r="K39" i="4"/>
  <c r="K40" i="4" s="1"/>
  <c r="K36" i="4"/>
  <c r="K37" i="4" s="1"/>
  <c r="G3" i="7"/>
  <c r="G5" i="7" s="1"/>
  <c r="E10" i="18"/>
  <c r="J61" i="4"/>
  <c r="J39" i="4"/>
  <c r="J40" i="4" s="1"/>
  <c r="J36" i="4"/>
  <c r="J37" i="4" s="1"/>
  <c r="C40" i="30"/>
  <c r="E40" i="30"/>
  <c r="H4" i="4"/>
  <c r="H61" i="4" s="1"/>
  <c r="C13" i="10"/>
  <c r="F28" i="27"/>
  <c r="D13" i="10"/>
  <c r="D22" i="13"/>
  <c r="C8" i="4" s="1"/>
  <c r="D19" i="26"/>
  <c r="D26" i="28"/>
  <c r="E34" i="26"/>
  <c r="I61" i="4"/>
  <c r="G61" i="4"/>
  <c r="E62" i="15"/>
  <c r="G59" i="4"/>
  <c r="G12" i="14"/>
  <c r="G44" i="14" s="1"/>
  <c r="B19" i="10"/>
  <c r="B22" i="10" s="1"/>
  <c r="B25" i="15"/>
  <c r="E28" i="14"/>
  <c r="C9" i="15" s="1"/>
  <c r="C25" i="15" s="1"/>
  <c r="E24" i="14"/>
  <c r="C14" i="15"/>
  <c r="F14" i="15" s="1"/>
  <c r="B14" i="25" s="1"/>
  <c r="I12" i="14"/>
  <c r="I44" i="14" s="1"/>
  <c r="I51" i="4" s="1"/>
  <c r="E6" i="13"/>
  <c r="E22" i="13" s="1"/>
  <c r="D8" i="4" s="1"/>
  <c r="D4" i="27"/>
  <c r="D6" i="27" s="1"/>
  <c r="D22" i="27" s="1"/>
  <c r="L22" i="14"/>
  <c r="D8" i="25"/>
  <c r="G27" i="19"/>
  <c r="H58" i="11"/>
  <c r="G58" i="29" s="1"/>
  <c r="M58" i="11"/>
  <c r="I58" i="11" s="1"/>
  <c r="H58" i="29" s="1"/>
  <c r="F22" i="19"/>
  <c r="N90" i="29"/>
  <c r="G19" i="29"/>
  <c r="B14" i="15"/>
  <c r="E14" i="15" s="1"/>
  <c r="H12" i="14"/>
  <c r="H44" i="14" s="1"/>
  <c r="F6" i="13"/>
  <c r="F22" i="13" s="1"/>
  <c r="E8" i="4" s="1"/>
  <c r="H80" i="11"/>
  <c r="G80" i="29" s="1"/>
  <c r="M80" i="11"/>
  <c r="I80" i="11" s="1"/>
  <c r="H80" i="29" s="1"/>
  <c r="D4" i="18"/>
  <c r="D4" i="25"/>
  <c r="F25" i="19"/>
  <c r="E22" i="27"/>
  <c r="H19" i="29"/>
  <c r="I72" i="29"/>
  <c r="I89" i="29" s="1"/>
  <c r="F92" i="29"/>
  <c r="H6" i="4"/>
  <c r="C6" i="18" s="1"/>
  <c r="N92" i="29"/>
  <c r="N94" i="29" s="1"/>
  <c r="G28" i="18"/>
  <c r="C36" i="4" l="1"/>
  <c r="C37" i="4" s="1"/>
  <c r="G51" i="4"/>
  <c r="G54" i="4" s="1"/>
  <c r="C15" i="10"/>
  <c r="C19" i="10" s="1"/>
  <c r="C32" i="10"/>
  <c r="B13" i="28"/>
  <c r="B15" i="28" s="1"/>
  <c r="B19" i="28" s="1"/>
  <c r="C13" i="28"/>
  <c r="C15" i="28" s="1"/>
  <c r="C19" i="28" s="1"/>
  <c r="D32" i="10"/>
  <c r="F20" i="27"/>
  <c r="F22" i="27" s="1"/>
  <c r="D24" i="25"/>
  <c r="D61" i="25" s="1"/>
  <c r="I19" i="13"/>
  <c r="I20" i="13" s="1"/>
  <c r="I22" i="13" s="1"/>
  <c r="H20" i="13"/>
  <c r="H22" i="13" s="1"/>
  <c r="C4" i="18"/>
  <c r="F29" i="27"/>
  <c r="D15" i="10"/>
  <c r="D19" i="10" s="1"/>
  <c r="H59" i="4"/>
  <c r="G11" i="7"/>
  <c r="G13" i="7" s="1"/>
  <c r="G16" i="7" s="1"/>
  <c r="G7" i="7"/>
  <c r="G8" i="7" s="1"/>
  <c r="K26" i="4"/>
  <c r="K28" i="4" s="1"/>
  <c r="C39" i="4"/>
  <c r="C40" i="4" s="1"/>
  <c r="C3" i="7"/>
  <c r="C5" i="7" s="1"/>
  <c r="C7" i="7" s="1"/>
  <c r="C8" i="7" s="1"/>
  <c r="C22" i="4"/>
  <c r="C26" i="4" s="1"/>
  <c r="C42" i="4" s="1"/>
  <c r="G8" i="4"/>
  <c r="G36" i="4" s="1"/>
  <c r="G37" i="4" s="1"/>
  <c r="I54" i="4"/>
  <c r="H51" i="4"/>
  <c r="G20" i="14"/>
  <c r="I8" i="4"/>
  <c r="I89" i="11"/>
  <c r="L12" i="4" s="1"/>
  <c r="H8" i="4"/>
  <c r="H89" i="29"/>
  <c r="C12" i="19"/>
  <c r="E8" i="25"/>
  <c r="E24" i="25" s="1"/>
  <c r="E61" i="25" s="1"/>
  <c r="H27" i="19"/>
  <c r="F8" i="25" s="1"/>
  <c r="F24" i="25" s="1"/>
  <c r="F61" i="25" s="1"/>
  <c r="G22" i="19"/>
  <c r="D12" i="19"/>
  <c r="G14" i="15"/>
  <c r="C14" i="25" s="1"/>
  <c r="H89" i="11"/>
  <c r="G89" i="29"/>
  <c r="L59" i="4" l="1"/>
  <c r="L22" i="4"/>
  <c r="L26" i="4" s="1"/>
  <c r="I6" i="15"/>
  <c r="H3" i="7"/>
  <c r="H5" i="7" s="1"/>
  <c r="L39" i="4"/>
  <c r="L40" i="4" s="1"/>
  <c r="D14" i="4"/>
  <c r="D39" i="4" s="1"/>
  <c r="D40" i="4" s="1"/>
  <c r="B28" i="28"/>
  <c r="C28" i="28"/>
  <c r="H57" i="4"/>
  <c r="I57" i="4"/>
  <c r="G39" i="4"/>
  <c r="G40" i="4" s="1"/>
  <c r="C11" i="7"/>
  <c r="C13" i="7" s="1"/>
  <c r="C16" i="7" s="1"/>
  <c r="C19" i="7" s="1"/>
  <c r="C21" i="7" s="1"/>
  <c r="C28" i="4"/>
  <c r="C25" i="14"/>
  <c r="D23" i="14" s="1"/>
  <c r="C27" i="14"/>
  <c r="G27" i="14" s="1"/>
  <c r="E14" i="4"/>
  <c r="I14" i="4" s="1"/>
  <c r="I36" i="4" s="1"/>
  <c r="I37" i="4" s="1"/>
  <c r="G47" i="4"/>
  <c r="G19" i="7"/>
  <c r="H4" i="15"/>
  <c r="H24" i="15" s="1"/>
  <c r="H61" i="15" s="1"/>
  <c r="K25" i="14"/>
  <c r="K42" i="4"/>
  <c r="G22" i="4"/>
  <c r="G26" i="4" s="1"/>
  <c r="G42" i="4" s="1"/>
  <c r="G57" i="4"/>
  <c r="H52" i="4"/>
  <c r="H54" i="4"/>
  <c r="I52" i="4"/>
  <c r="J52" i="4"/>
  <c r="C22" i="10"/>
  <c r="D3" i="7"/>
  <c r="D5" i="7" s="1"/>
  <c r="D11" i="7" s="1"/>
  <c r="D13" i="7" s="1"/>
  <c r="D16" i="7" s="1"/>
  <c r="D36" i="4"/>
  <c r="D37" i="4" s="1"/>
  <c r="C8" i="18"/>
  <c r="H22" i="19"/>
  <c r="H14" i="4"/>
  <c r="H39" i="4" s="1"/>
  <c r="H40" i="4" s="1"/>
  <c r="D22" i="4"/>
  <c r="H22" i="4" s="1"/>
  <c r="C22" i="18" s="1"/>
  <c r="D8" i="18"/>
  <c r="H7" i="7" l="1"/>
  <c r="H8" i="7" s="1"/>
  <c r="H11" i="7"/>
  <c r="H13" i="7" s="1"/>
  <c r="H16" i="7" s="1"/>
  <c r="H19" i="7" s="1"/>
  <c r="L28" i="4"/>
  <c r="L25" i="14"/>
  <c r="L42" i="4"/>
  <c r="I4" i="15"/>
  <c r="I24" i="15" s="1"/>
  <c r="I61" i="15" s="1"/>
  <c r="I39" i="4"/>
  <c r="I40" i="4" s="1"/>
  <c r="E3" i="7"/>
  <c r="E5" i="7" s="1"/>
  <c r="E7" i="7" s="1"/>
  <c r="E8" i="7" s="1"/>
  <c r="H36" i="4"/>
  <c r="H37" i="4" s="1"/>
  <c r="D14" i="18"/>
  <c r="C22" i="28" s="1"/>
  <c r="C37" i="14"/>
  <c r="C40" i="14" s="1"/>
  <c r="G25" i="14"/>
  <c r="G37" i="14" s="1"/>
  <c r="G40" i="14" s="1"/>
  <c r="E36" i="4"/>
  <c r="E37" i="4" s="1"/>
  <c r="E22" i="4"/>
  <c r="I22" i="4" s="1"/>
  <c r="D22" i="18" s="1"/>
  <c r="E39" i="4"/>
  <c r="E40" i="4" s="1"/>
  <c r="D22" i="10"/>
  <c r="D7" i="7"/>
  <c r="D8" i="7" s="1"/>
  <c r="D19" i="7" s="1"/>
  <c r="D21" i="7" s="1"/>
  <c r="H23" i="14"/>
  <c r="H45" i="4" s="1"/>
  <c r="C14" i="18"/>
  <c r="H26" i="4"/>
  <c r="H42" i="4" s="1"/>
  <c r="D27" i="14"/>
  <c r="D26" i="4"/>
  <c r="D42" i="4" s="1"/>
  <c r="D26" i="18" l="1"/>
  <c r="E26" i="4"/>
  <c r="E11" i="7"/>
  <c r="E13" i="7" s="1"/>
  <c r="E16" i="7" s="1"/>
  <c r="E19" i="7" s="1"/>
  <c r="E21" i="7" s="1"/>
  <c r="I26" i="4"/>
  <c r="I42" i="4" s="1"/>
  <c r="E28" i="4"/>
  <c r="E42" i="4"/>
  <c r="E25" i="14"/>
  <c r="I25" i="14" s="1"/>
  <c r="D25" i="19" s="1"/>
  <c r="C4" i="15"/>
  <c r="F4" i="15" s="1"/>
  <c r="B4" i="25" s="1"/>
  <c r="E27" i="14"/>
  <c r="B8" i="15"/>
  <c r="E8" i="15" s="1"/>
  <c r="H27" i="14"/>
  <c r="C27" i="19" s="1"/>
  <c r="C26" i="18"/>
  <c r="B22" i="28"/>
  <c r="D28" i="4"/>
  <c r="B4" i="15"/>
  <c r="D25" i="14"/>
  <c r="C23" i="19"/>
  <c r="B24" i="15" l="1"/>
  <c r="E4" i="15"/>
  <c r="H25" i="14"/>
  <c r="D37" i="14"/>
  <c r="E23" i="14"/>
  <c r="I27" i="14"/>
  <c r="C8" i="15"/>
  <c r="F8" i="15" l="1"/>
  <c r="B8" i="25" s="1"/>
  <c r="C24" i="15"/>
  <c r="D27" i="19"/>
  <c r="G8" i="15"/>
  <c r="E37" i="14"/>
  <c r="I23" i="14"/>
  <c r="I45" i="4" s="1"/>
  <c r="C25" i="19"/>
  <c r="C37" i="19" s="1"/>
  <c r="H37" i="14"/>
  <c r="E24" i="15"/>
  <c r="E61" i="15" s="1"/>
  <c r="E63" i="15" s="1"/>
  <c r="B61" i="15"/>
  <c r="B63" i="15" s="1"/>
  <c r="C8" i="25" l="1"/>
  <c r="D16" i="14"/>
  <c r="C62" i="15"/>
  <c r="F24" i="15"/>
  <c r="C61" i="15"/>
  <c r="D23" i="19"/>
  <c r="D37" i="19" s="1"/>
  <c r="J23" i="14"/>
  <c r="J45" i="4" s="1"/>
  <c r="I37" i="14"/>
  <c r="F62" i="15"/>
  <c r="B62" i="25" s="1"/>
  <c r="C63" i="15" l="1"/>
  <c r="E16" i="14" s="1"/>
  <c r="H16" i="14"/>
  <c r="Q47" i="4" s="1"/>
  <c r="H47" i="4" s="1"/>
  <c r="D20" i="14"/>
  <c r="D40" i="14" s="1"/>
  <c r="B24" i="25"/>
  <c r="B61" i="25" s="1"/>
  <c r="B63" i="25" s="1"/>
  <c r="F61" i="15"/>
  <c r="F63" i="15" s="1"/>
  <c r="B66" i="15"/>
  <c r="E23" i="19"/>
  <c r="G62" i="15" l="1"/>
  <c r="C62" i="25"/>
  <c r="I16" i="14"/>
  <c r="R47" i="4" s="1"/>
  <c r="I47" i="4" s="1"/>
  <c r="E20" i="14"/>
  <c r="E40" i="14" s="1"/>
  <c r="C66" i="15"/>
  <c r="C16" i="19"/>
  <c r="C20" i="19" s="1"/>
  <c r="C40" i="19" s="1"/>
  <c r="H20" i="14"/>
  <c r="H40" i="14" s="1"/>
  <c r="E66" i="15"/>
  <c r="D16" i="19" l="1"/>
  <c r="I20" i="14"/>
  <c r="I40" i="14" s="1"/>
  <c r="F66" i="15"/>
  <c r="D20" i="19" l="1"/>
  <c r="D40" i="19" s="1"/>
  <c r="B66" i="25"/>
  <c r="F3" i="7"/>
  <c r="F5" i="7" s="1"/>
  <c r="G18" i="15"/>
  <c r="C18" i="25" s="1"/>
  <c r="E18" i="18"/>
  <c r="G37" i="15"/>
  <c r="G43" i="15" s="1"/>
  <c r="J22" i="4"/>
  <c r="E22" i="18" s="1"/>
  <c r="E26" i="18" l="1"/>
  <c r="C43" i="25"/>
  <c r="F7" i="7"/>
  <c r="F8" i="7" s="1"/>
  <c r="F11" i="7"/>
  <c r="F13" i="7" s="1"/>
  <c r="F16" i="7" s="1"/>
  <c r="C37" i="25"/>
  <c r="J26" i="4"/>
  <c r="F19" i="7" l="1"/>
  <c r="J42" i="4"/>
  <c r="G4" i="15"/>
  <c r="J25" i="14"/>
  <c r="J28" i="4"/>
  <c r="J37" i="14" l="1"/>
  <c r="E25" i="19"/>
  <c r="K23" i="14"/>
  <c r="G24" i="15"/>
  <c r="C4" i="25"/>
  <c r="C24" i="25" l="1"/>
  <c r="C61" i="25" s="1"/>
  <c r="C63" i="25" s="1"/>
  <c r="G61" i="15"/>
  <c r="G63" i="15" s="1"/>
  <c r="L23" i="14"/>
  <c r="K45" i="4"/>
  <c r="K37" i="14"/>
  <c r="F23" i="19"/>
  <c r="E37" i="19"/>
  <c r="G23" i="19" l="1"/>
  <c r="F37" i="19"/>
  <c r="J16" i="14"/>
  <c r="G66" i="15"/>
  <c r="H62" i="15"/>
  <c r="H63" i="15" s="1"/>
  <c r="L37" i="14"/>
  <c r="L45" i="4"/>
  <c r="D62" i="25"/>
  <c r="D63" i="25" s="1"/>
  <c r="I62" i="15" l="1"/>
  <c r="I63" i="15" s="1"/>
  <c r="K16" i="14"/>
  <c r="H66" i="15" s="1"/>
  <c r="S47" i="4"/>
  <c r="J47" i="4" s="1"/>
  <c r="E16" i="19"/>
  <c r="J20" i="14"/>
  <c r="J40" i="14" s="1"/>
  <c r="F16" i="19"/>
  <c r="F20" i="19" s="1"/>
  <c r="F40" i="19" s="1"/>
  <c r="E62" i="25"/>
  <c r="E63" i="25" s="1"/>
  <c r="H23" i="19"/>
  <c r="H37" i="19" s="1"/>
  <c r="G37" i="19"/>
  <c r="D66" i="25" l="1"/>
  <c r="G16" i="19"/>
  <c r="G20" i="19" s="1"/>
  <c r="G40" i="19" s="1"/>
  <c r="F62" i="25"/>
  <c r="F63" i="25" s="1"/>
  <c r="E20" i="19"/>
  <c r="E40" i="19" s="1"/>
  <c r="C66" i="25"/>
  <c r="K20" i="14"/>
  <c r="K40" i="14" s="1"/>
  <c r="T47" i="4"/>
  <c r="K47" i="4" s="1"/>
  <c r="L16" i="14"/>
  <c r="I66" i="15" s="1"/>
  <c r="E66" i="25" l="1"/>
  <c r="L20" i="14"/>
  <c r="L40" i="14" s="1"/>
  <c r="U47" i="4"/>
  <c r="L47" i="4" s="1"/>
  <c r="H16" i="19"/>
  <c r="H20" i="19" s="1"/>
  <c r="H40" i="19" s="1"/>
  <c r="F66" i="25" l="1"/>
</calcChain>
</file>

<file path=xl/sharedStrings.xml><?xml version="1.0" encoding="utf-8"?>
<sst xmlns="http://schemas.openxmlformats.org/spreadsheetml/2006/main" count="935" uniqueCount="277">
  <si>
    <t>1) Planung in guten Zeiten</t>
  </si>
  <si>
    <t>Historischer Wert und Adjustments</t>
  </si>
  <si>
    <t>Angepasste Werte</t>
  </si>
  <si>
    <t>Balance Sheet</t>
  </si>
  <si>
    <t>t-2</t>
  </si>
  <si>
    <t>t-1</t>
  </si>
  <si>
    <t>t0</t>
  </si>
  <si>
    <t>t1</t>
  </si>
  <si>
    <t>t2</t>
  </si>
  <si>
    <t>t3</t>
  </si>
  <si>
    <t>Immaterielle Vermögensgegenstände</t>
  </si>
  <si>
    <t>adjustments</t>
  </si>
  <si>
    <t>Sachanlagen</t>
  </si>
  <si>
    <t>Finanzanlagen</t>
  </si>
  <si>
    <t>Vorräte</t>
  </si>
  <si>
    <t>Forderungen aus L und L</t>
  </si>
  <si>
    <t>sonstige Vermögensgegenstände</t>
  </si>
  <si>
    <t>Liquide Mittel</t>
  </si>
  <si>
    <t>aut</t>
  </si>
  <si>
    <t>Rechnungsabgrenzungsposten</t>
  </si>
  <si>
    <t>Assets</t>
  </si>
  <si>
    <t>Gezeichnetes Kapital</t>
  </si>
  <si>
    <t>Gewinnvortrag/Verlustvortrag</t>
  </si>
  <si>
    <t>Profit/Loss</t>
  </si>
  <si>
    <t>Steuerrückstellungen</t>
  </si>
  <si>
    <t>sonstige Rückstellungen</t>
  </si>
  <si>
    <t>erhaltene Anzahlungen</t>
  </si>
  <si>
    <t>Verbindlichkeiten aus L und L</t>
  </si>
  <si>
    <t>Bankverbindlichkeiten</t>
  </si>
  <si>
    <t>Equity &amp; Liabilities</t>
  </si>
  <si>
    <t>Profit &amp; Losses</t>
  </si>
  <si>
    <t>Umsatzerlöse</t>
  </si>
  <si>
    <t>sonstige betriebliche Erträge</t>
  </si>
  <si>
    <t>Materialaufwand / Transport</t>
  </si>
  <si>
    <t>Personalaufwand</t>
  </si>
  <si>
    <t>Abschreibungen</t>
  </si>
  <si>
    <t>sonstige betriebliche Aufwendungen</t>
  </si>
  <si>
    <t>Erträge aus Beteiligungen</t>
  </si>
  <si>
    <t>Zinserträge</t>
  </si>
  <si>
    <t>Zinsaufwendungen</t>
  </si>
  <si>
    <t>Ertragsteuern</t>
  </si>
  <si>
    <t>sonstige Steuern</t>
  </si>
  <si>
    <t>Profit/Loss after adjustments</t>
  </si>
  <si>
    <t>Vor Adjustments</t>
  </si>
  <si>
    <t>Cash Flow Statement</t>
  </si>
  <si>
    <t>Periodenergebnis</t>
  </si>
  <si>
    <t>Abschreibungen auf Gegenstände des Anlagevermögens</t>
  </si>
  <si>
    <t>Veränderungen der Rückstellungen</t>
  </si>
  <si>
    <t>Sonstige zahlungsunwirksame Veränderungen</t>
  </si>
  <si>
    <t>Veränderungen der Vorräte</t>
  </si>
  <si>
    <t>Veränderungen der Forderungen und übrigen Aktiva</t>
  </si>
  <si>
    <t>Veränderungen der Verbindlichkeiten und übrigen Passiva</t>
  </si>
  <si>
    <t>Zinsergebnis</t>
  </si>
  <si>
    <t>Einzahlungen aus außerordentlichen Posten</t>
  </si>
  <si>
    <t>Auszahlungen aus außerordentlichen Posten</t>
  </si>
  <si>
    <t>Cashflow aus laufender Geschäftstätigkeit</t>
  </si>
  <si>
    <t>Auszahlungen für Investitionen in Gegenstände des Anlagevermögens</t>
  </si>
  <si>
    <t>Einzahlungen aus dem Abgang von Gegenständen des Anlagevermögens</t>
  </si>
  <si>
    <t>Auszahlungen im Rahmen der kurz- und mittelfristigen Finanzdisposition</t>
  </si>
  <si>
    <t>Einzahlungen im Rahmen der kurz- und mittelfristigen Finanzdisposition</t>
  </si>
  <si>
    <t>Erhaltene Dividenden</t>
  </si>
  <si>
    <t>Erhaltene Zinsen</t>
  </si>
  <si>
    <t>Cashflow aus der Investitionstätigkeit</t>
  </si>
  <si>
    <t>Einzahlung aus der Aufnahme von Finanzverbindlichkeiten</t>
  </si>
  <si>
    <t>Auszahlungen aus der Tilgung von Finanzverbindlichkeiten</t>
  </si>
  <si>
    <t>Gezahlte Zinsen</t>
  </si>
  <si>
    <t>Dividenden an Gesellschafter</t>
  </si>
  <si>
    <t>Cashflow aus der Finanzierungstätigkeit</t>
  </si>
  <si>
    <t>Zahlungswirksame Veränderungen des Finanzmittelfonds</t>
  </si>
  <si>
    <t>Finanzmittelfonds am Anfang der Periode</t>
  </si>
  <si>
    <t>Finanzmittelfonds am Ende der Periode</t>
  </si>
  <si>
    <t>Revenues</t>
  </si>
  <si>
    <t>4000 10</t>
  </si>
  <si>
    <t>Erlöse Stoßstangen Inland</t>
  </si>
  <si>
    <t>4400 20</t>
  </si>
  <si>
    <t>Erlöse Stoßstangen China</t>
  </si>
  <si>
    <t>4125 01</t>
  </si>
  <si>
    <t>Erlöse Stoßstangen Russland</t>
  </si>
  <si>
    <t>Sum</t>
  </si>
  <si>
    <t>4400 13</t>
  </si>
  <si>
    <t>Erlöse Aschenbecher Russland</t>
  </si>
  <si>
    <t>sbE</t>
  </si>
  <si>
    <t>4336 03</t>
  </si>
  <si>
    <t>Erlöse Verkauf Abfallprodukte</t>
  </si>
  <si>
    <t>Erlös Veräußerung AV</t>
  </si>
  <si>
    <t>Sonstiges</t>
  </si>
  <si>
    <t>Revenue</t>
  </si>
  <si>
    <t>Nachrichtlich: verkaufte Stückzahlen</t>
  </si>
  <si>
    <t>Stoßstangen Inland</t>
  </si>
  <si>
    <t>Stoßstangen China</t>
  </si>
  <si>
    <t>Stoßstangen Russland</t>
  </si>
  <si>
    <t>Aschenbecher Russland</t>
  </si>
  <si>
    <t>Materialaufwand</t>
  </si>
  <si>
    <t>Kunstoffgranulat</t>
  </si>
  <si>
    <t>Lacke</t>
  </si>
  <si>
    <t>Melassen</t>
  </si>
  <si>
    <t>RHB</t>
  </si>
  <si>
    <t>Transportkosten</t>
  </si>
  <si>
    <t>Inland</t>
  </si>
  <si>
    <t>China</t>
  </si>
  <si>
    <t>Russland Stoßstangen</t>
  </si>
  <si>
    <t>Russland Aschenbecher</t>
  </si>
  <si>
    <t>Other Expenses</t>
  </si>
  <si>
    <t>Produktionsverlegung</t>
  </si>
  <si>
    <t>Reisekosten Inland</t>
  </si>
  <si>
    <t>Reisekosten China</t>
  </si>
  <si>
    <t>Reisekosten Russland</t>
  </si>
  <si>
    <t>Miete</t>
  </si>
  <si>
    <t>Bürobedarf</t>
  </si>
  <si>
    <t>Gas, Strom, Wasser</t>
  </si>
  <si>
    <t>Jahresabschluss / Prüfungskosten</t>
  </si>
  <si>
    <t>Bierstreitigkeiten</t>
  </si>
  <si>
    <t>Rechts- und Beratungskosten</t>
  </si>
  <si>
    <t>Marketing/Vertriebskosten</t>
  </si>
  <si>
    <t>Capital Expenses</t>
  </si>
  <si>
    <t>EDV-Software</t>
  </si>
  <si>
    <t>Büroeinrichtung</t>
  </si>
  <si>
    <t>Betriebs- und Geschäftsausstattung</t>
  </si>
  <si>
    <t>Produktionsanlagen</t>
  </si>
  <si>
    <t>CAPEX</t>
  </si>
  <si>
    <t>Anlagengüter bis 31.12.t0</t>
  </si>
  <si>
    <t>Inventarbezeichnung</t>
  </si>
  <si>
    <t>AHK-Datum (t-)</t>
  </si>
  <si>
    <t>AHK</t>
  </si>
  <si>
    <t>ND</t>
  </si>
  <si>
    <t>AfA prt</t>
  </si>
  <si>
    <t>Betriebs- und Geschäftsausstattung (Porsche)</t>
  </si>
  <si>
    <t>Büroeinrichtung t1</t>
  </si>
  <si>
    <t>Betriebs- und Geschäftsausstattung t1</t>
  </si>
  <si>
    <t>Büroeinrichtung t2</t>
  </si>
  <si>
    <t>Betriebs- und Geschäftsausstattung t2</t>
  </si>
  <si>
    <t>Ggf. Produktionsanlage t2</t>
  </si>
  <si>
    <t>Staff</t>
  </si>
  <si>
    <t>PersNr.</t>
  </si>
  <si>
    <t>Name</t>
  </si>
  <si>
    <t>Gesamtbrutto</t>
  </si>
  <si>
    <t>bAV</t>
  </si>
  <si>
    <t>SV</t>
  </si>
  <si>
    <t>Umlage</t>
  </si>
  <si>
    <t>tax</t>
  </si>
  <si>
    <t>Gesamt 12/t0</t>
  </si>
  <si>
    <t>A. Uto</t>
  </si>
  <si>
    <t>P. Rap</t>
  </si>
  <si>
    <t>Buchhalter 2</t>
  </si>
  <si>
    <t>Buchhalter 3</t>
  </si>
  <si>
    <t>Controller</t>
  </si>
  <si>
    <t>Sales Leiter</t>
  </si>
  <si>
    <t>Sales 2</t>
  </si>
  <si>
    <t>Sales 3</t>
  </si>
  <si>
    <t>Sales 4</t>
  </si>
  <si>
    <t>Sales 5</t>
  </si>
  <si>
    <t>Sales 6</t>
  </si>
  <si>
    <t>Sales 7</t>
  </si>
  <si>
    <t>Sales 8</t>
  </si>
  <si>
    <t>Logistiker Leiter</t>
  </si>
  <si>
    <t>Logistiker 2</t>
  </si>
  <si>
    <t>Logistiker 3</t>
  </si>
  <si>
    <t>Entwickler Leiter</t>
  </si>
  <si>
    <t>Entwickler 2</t>
  </si>
  <si>
    <t>Entwickler 3</t>
  </si>
  <si>
    <t>Entwickler 4</t>
  </si>
  <si>
    <t>Blue Collar Leiter</t>
  </si>
  <si>
    <t>Blue Collar 2</t>
  </si>
  <si>
    <t>Blue Collar 3</t>
  </si>
  <si>
    <t>Blue Collar 4</t>
  </si>
  <si>
    <t>Blue Collar 5</t>
  </si>
  <si>
    <t>Blue Collar 6</t>
  </si>
  <si>
    <t>Blue Collar 7</t>
  </si>
  <si>
    <t>Blue Collar 8</t>
  </si>
  <si>
    <t>Blue Collar 9</t>
  </si>
  <si>
    <t>Blue Collar 10</t>
  </si>
  <si>
    <t>Blue Collar 11</t>
  </si>
  <si>
    <t>Blue Collar 12</t>
  </si>
  <si>
    <t>NN 1</t>
  </si>
  <si>
    <t>NN 2</t>
  </si>
  <si>
    <t>NN 3</t>
  </si>
  <si>
    <t>NN 4</t>
  </si>
  <si>
    <t>NN 5</t>
  </si>
  <si>
    <t>Taxes</t>
  </si>
  <si>
    <t>EBT</t>
  </si>
  <si>
    <t>nBA</t>
  </si>
  <si>
    <t>KSt</t>
  </si>
  <si>
    <t>SolZ</t>
  </si>
  <si>
    <t>§ 7 GewStG</t>
  </si>
  <si>
    <t>§ 8 GewStG</t>
  </si>
  <si>
    <t>GewSt</t>
  </si>
  <si>
    <t>2) Planung in der Krise</t>
  </si>
  <si>
    <t>Quote Transportkosten</t>
  </si>
  <si>
    <t>Marketing/Vertrieb</t>
  </si>
  <si>
    <t>Profitability</t>
  </si>
  <si>
    <t>Liquidity</t>
  </si>
  <si>
    <t>Net Working Capital</t>
  </si>
  <si>
    <t>Current Assets</t>
  </si>
  <si>
    <t>Current liabilites</t>
  </si>
  <si>
    <t>MA to Rev</t>
  </si>
  <si>
    <t>D&amp;A to Rev</t>
  </si>
  <si>
    <t>Werttreiber</t>
  </si>
  <si>
    <t>-&gt;Side calc</t>
  </si>
  <si>
    <t>Net debt; haben hier net cash</t>
  </si>
  <si>
    <t>EBITDA</t>
  </si>
  <si>
    <t>EBITDA-Margin</t>
  </si>
  <si>
    <t>EBIT</t>
  </si>
  <si>
    <t>EBIT-Margin</t>
  </si>
  <si>
    <t>Umsatzrentabilität</t>
  </si>
  <si>
    <t>Reported</t>
  </si>
  <si>
    <t>Adjusted</t>
  </si>
  <si>
    <t>Debt to Equity</t>
  </si>
  <si>
    <t>Net debt/ EBITDA</t>
  </si>
  <si>
    <t xml:space="preserve">Solvency/Leverage </t>
  </si>
  <si>
    <t>Net Working Capital Change</t>
  </si>
  <si>
    <t>Net Working Capital Intensity</t>
  </si>
  <si>
    <t>PersonExp to Rev</t>
  </si>
  <si>
    <t>Side Calcs</t>
  </si>
  <si>
    <t>Growth Inland</t>
  </si>
  <si>
    <t>Growth China</t>
  </si>
  <si>
    <t>Growth Russland</t>
  </si>
  <si>
    <t>&lt;- Assumption: 15% Wachstum p.a.</t>
  </si>
  <si>
    <t>&lt;- Assumption: 5% Wachstum p.a.</t>
  </si>
  <si>
    <t>&lt;- Assumption: 3% Wachstum p.a.</t>
  </si>
  <si>
    <t>&lt;- Assumption: 6% Wachstum p.a.</t>
  </si>
  <si>
    <t>&lt;-tbd</t>
  </si>
  <si>
    <t>Preis-&gt;</t>
  </si>
  <si>
    <t>Melasse Total Bedarf</t>
  </si>
  <si>
    <t>Vertrag "Super Deal"</t>
  </si>
  <si>
    <t>Weiterer Bedarf</t>
  </si>
  <si>
    <t>Blue Collar Leiter 2</t>
  </si>
  <si>
    <t>Blue Collar 13</t>
  </si>
  <si>
    <t>Blue Collar 14</t>
  </si>
  <si>
    <t>Logistiker 1</t>
  </si>
  <si>
    <t>Sales 9</t>
  </si>
  <si>
    <t>Blue Collar MA</t>
  </si>
  <si>
    <t>Logisitker</t>
  </si>
  <si>
    <t>Sales</t>
  </si>
  <si>
    <t>Average Salary</t>
  </si>
  <si>
    <t>Average SV</t>
  </si>
  <si>
    <t>Average Umlage</t>
  </si>
  <si>
    <t>&lt;- Assumption: 5% Wachstum p.a. siehe REV_sbE</t>
  </si>
  <si>
    <t>&lt;- Assumption: 11% Wachstum p.a.</t>
  </si>
  <si>
    <t>&lt;- Gewichteter Umsatzwachstum nach Sparte Russland -&gt; da Umsatzwachstum 1zu1 Verhätnis zu Reisekosten</t>
  </si>
  <si>
    <t>h EUR</t>
  </si>
  <si>
    <t>h Gesamt</t>
  </si>
  <si>
    <t>(5 Wochen)</t>
  </si>
  <si>
    <t>&lt;- Assumption: 16% vom Gesamtumsatz</t>
  </si>
  <si>
    <t>Umsatz Gesamt</t>
  </si>
  <si>
    <t>Marketing/Vertrieb vom Gesamtumsatz</t>
  </si>
  <si>
    <t>Wachstum Bürobedarf</t>
  </si>
  <si>
    <t>Mittelwert-&gt;</t>
  </si>
  <si>
    <t>&lt;- Assumption: 16% Wachstum; Mittelwert aus vergangenen Jahre</t>
  </si>
  <si>
    <t>Median</t>
  </si>
  <si>
    <t>tbd</t>
  </si>
  <si>
    <t>UV raus lassen bei 6% Steigerung</t>
  </si>
  <si>
    <t>Zins / 1 - Zins Formel</t>
  </si>
  <si>
    <t>Forderungen für BS Berechnung-&gt;&gt;</t>
  </si>
  <si>
    <t>&lt;- Verb LuL = Verbindlichkeiten/MA</t>
  </si>
  <si>
    <t>EBITDA - Margin</t>
  </si>
  <si>
    <t xml:space="preserve">EBIT </t>
  </si>
  <si>
    <t>EBIT - Margin</t>
  </si>
  <si>
    <t>Umsätze</t>
  </si>
  <si>
    <t>Gewinn</t>
  </si>
  <si>
    <t>Profitabilität</t>
  </si>
  <si>
    <t>Materialaufwand / Umsatz</t>
  </si>
  <si>
    <t>D&amp;A / Umsatz</t>
  </si>
  <si>
    <t>PersExp / Umsatz</t>
  </si>
  <si>
    <t>Liquidität</t>
  </si>
  <si>
    <t>NWC</t>
  </si>
  <si>
    <t>NWC Intensität</t>
  </si>
  <si>
    <t>NWC change</t>
  </si>
  <si>
    <t>PnL</t>
  </si>
  <si>
    <t>BS</t>
  </si>
  <si>
    <t>Current Liabilities</t>
  </si>
  <si>
    <t>Verschuldung</t>
  </si>
  <si>
    <t>Equity</t>
  </si>
  <si>
    <t>Liabilities</t>
  </si>
  <si>
    <t>Net debt to EBITDA</t>
  </si>
  <si>
    <t>Cash</t>
  </si>
  <si>
    <t>Net debt</t>
  </si>
  <si>
    <t>EK-Rendite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</si>
</sst>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##,###,##0.00"/>
    <numFmt numFmtId="166" formatCode="_-* #,##0_-;\-* #,##0_-;_-* &quot;-&quot;??_-;_-@_-"/>
    <numFmt numFmtId="167" formatCode="_-* #,##0.0_-;\-* #,##0.0_-;_-* &quot;-&quot;??_-;_-@_-"/>
    <numFmt numFmtId="168" formatCode="#,##0.00000"/>
    <numFmt numFmtId="169" formatCode="#,##0.0"/>
    <numFmt numFmtId="170" formatCode="0.0"/>
    <numFmt numFmtId="171" formatCode="0.0%"/>
    <numFmt numFmtId="172" formatCode="_-* #,##0.000_-;\-* #,##0.000_-;_-* &quot;-&quot;??_-;_-@_-"/>
    <numFmt numFmtId="173" formatCode="0.000"/>
  </numFmts>
  <fonts count="37" x14ac:knownFonts="1">
    <font>
      <sz val="11"/>
      <color theme="1"/>
      <name val="Trebuchet MS"/>
      <family val="2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color theme="0"/>
      <name val="Trebuchet MS"/>
      <family val="2"/>
      <scheme val="minor"/>
    </font>
    <font>
      <sz val="10"/>
      <color theme="1"/>
      <name val="Arial"/>
      <family val="2"/>
    </font>
    <font>
      <sz val="10"/>
      <color theme="1"/>
      <name val="Trebuchet MS"/>
      <family val="2"/>
      <scheme val="minor"/>
    </font>
    <font>
      <sz val="10"/>
      <color theme="0"/>
      <name val="Trebuchet MS"/>
      <family val="2"/>
      <scheme val="minor"/>
    </font>
    <font>
      <i/>
      <sz val="8"/>
      <color theme="2"/>
      <name val="Trebuchet MS"/>
      <family val="2"/>
    </font>
    <font>
      <sz val="8"/>
      <name val="Trebuchet MS"/>
      <family val="2"/>
    </font>
    <font>
      <sz val="10"/>
      <color theme="4"/>
      <name val="Trebuchet MS"/>
      <family val="2"/>
    </font>
    <font>
      <sz val="8"/>
      <color theme="2" tint="-0.249977111117893"/>
      <name val="Trebuchet MS"/>
      <family val="2"/>
    </font>
    <font>
      <sz val="8"/>
      <color theme="4" tint="-0.499984740745262"/>
      <name val="Trebuchet MS"/>
      <family val="2"/>
    </font>
    <font>
      <sz val="10"/>
      <color theme="4" tint="-0.249977111117893"/>
      <name val="Trebuchet MS"/>
      <family val="2"/>
    </font>
    <font>
      <i/>
      <sz val="10"/>
      <color theme="5"/>
      <name val="Trebuchet MS"/>
      <family val="2"/>
    </font>
    <font>
      <sz val="10"/>
      <color theme="5"/>
      <name val="Trebuchet MS"/>
      <family val="2"/>
    </font>
    <font>
      <sz val="6"/>
      <color theme="1"/>
      <name val="Trebuchet MS"/>
      <family val="2"/>
    </font>
    <font>
      <sz val="6"/>
      <color theme="9"/>
      <name val="Trebuchet MS"/>
      <family val="2"/>
    </font>
    <font>
      <sz val="6"/>
      <color theme="3"/>
      <name val="Trebuchet MS"/>
      <family val="2"/>
    </font>
    <font>
      <sz val="6"/>
      <color rgb="FFFF0000"/>
      <name val="Trebuchet MS"/>
      <family val="2"/>
    </font>
    <font>
      <i/>
      <sz val="6"/>
      <color theme="5"/>
      <name val="Trebuchet MS"/>
      <family val="2"/>
    </font>
    <font>
      <sz val="14"/>
      <color rgb="FF404040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  <font>
      <i/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5"/>
      <color theme="1"/>
      <name val="Trebuchet MS"/>
      <family val="2"/>
    </font>
    <font>
      <i/>
      <sz val="10"/>
      <color theme="0"/>
      <name val="Trebuchet MS"/>
      <family val="2"/>
    </font>
    <font>
      <b/>
      <i/>
      <sz val="10"/>
      <color theme="5"/>
      <name val="Trebuchet MS"/>
      <family val="2"/>
    </font>
    <font>
      <sz val="10"/>
      <color rgb="FF02A5E2"/>
      <name val="Trebuchet MS"/>
      <family val="2"/>
    </font>
    <font>
      <b/>
      <sz val="11"/>
      <color theme="1"/>
      <name val="Trebuchet MS"/>
      <family val="2"/>
    </font>
    <font>
      <i/>
      <sz val="11"/>
      <color theme="1"/>
      <name val="Trebuchet MS"/>
      <family val="2"/>
    </font>
    <font>
      <sz val="11"/>
      <color theme="0"/>
      <name val="Trebuchet MS"/>
      <family val="2"/>
    </font>
    <font>
      <b/>
      <sz val="11"/>
      <color theme="0"/>
      <name val="Trebuchet MS"/>
      <family val="2"/>
    </font>
    <font>
      <b/>
      <i/>
      <sz val="11"/>
      <color theme="1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8002E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rgb="FFD9D9D9"/>
      </top>
      <bottom/>
      <diagonal/>
    </border>
    <border>
      <left style="thin">
        <color theme="0"/>
      </left>
      <right style="thin">
        <color theme="0"/>
      </right>
      <top/>
      <bottom style="thin">
        <color rgb="FFD9D9D9"/>
      </bottom>
      <diagonal/>
    </border>
    <border>
      <left style="thin">
        <color rgb="FFD9D9D9"/>
      </left>
      <right style="thin">
        <color theme="0"/>
      </right>
      <top style="thin">
        <color rgb="FFD9D9D9"/>
      </top>
      <bottom/>
      <diagonal/>
    </border>
    <border>
      <left style="thin">
        <color theme="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theme="0"/>
      </right>
      <top/>
      <bottom style="thin">
        <color rgb="FFD9D9D9"/>
      </bottom>
      <diagonal/>
    </border>
    <border>
      <left style="thin">
        <color theme="0"/>
      </left>
      <right style="thin">
        <color rgb="FFD9D9D9"/>
      </right>
      <top/>
      <bottom style="thin">
        <color rgb="FFD9D9D9"/>
      </bottom>
      <diagonal/>
    </border>
    <border>
      <left style="thin">
        <color theme="1" tint="0.79998168889431442"/>
      </left>
      <right style="thin">
        <color theme="0"/>
      </right>
      <top style="thin">
        <color theme="1" tint="0.7999816888943144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79998168889431442"/>
      </top>
      <bottom style="thin">
        <color theme="0"/>
      </bottom>
      <diagonal/>
    </border>
    <border>
      <left style="thin">
        <color theme="0"/>
      </left>
      <right style="thin">
        <color theme="1" tint="0.79998168889431442"/>
      </right>
      <top style="thin">
        <color theme="1" tint="0.79998168889431442"/>
      </top>
      <bottom style="thin">
        <color theme="0"/>
      </bottom>
      <diagonal/>
    </border>
    <border>
      <left style="thin">
        <color rgb="FFD9D9D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D9D9D9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theme="0"/>
      </right>
      <top style="thin">
        <color theme="0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D9D9D9"/>
      </bottom>
      <diagonal/>
    </border>
    <border>
      <left style="thin">
        <color theme="0"/>
      </left>
      <right style="thin">
        <color rgb="FFD9D9D9"/>
      </right>
      <top style="thin">
        <color theme="0"/>
      </top>
      <bottom style="thin">
        <color rgb="FFD9D9D9"/>
      </bottom>
      <diagonal/>
    </border>
    <border>
      <left style="thin">
        <color rgb="FFD9D9D9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D9D9D9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/>
      </right>
      <top style="thin">
        <color rgb="FFD9D9D9"/>
      </top>
      <bottom/>
      <diagonal/>
    </border>
    <border>
      <left/>
      <right style="thin">
        <color theme="0"/>
      </right>
      <top/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/>
      <diagonal/>
    </border>
    <border>
      <left style="thin">
        <color indexed="64"/>
      </left>
      <right style="thin">
        <color rgb="FFD9D9D9"/>
      </right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FFFFFF"/>
      </right>
      <top style="thin">
        <color rgb="FFD9D9D9"/>
      </top>
      <bottom/>
      <diagonal/>
    </border>
    <border>
      <left style="thin">
        <color rgb="FFD9D9D9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D9D9D9"/>
      </right>
      <top style="thin">
        <color rgb="FFD9D9D9"/>
      </top>
      <bottom/>
      <diagonal/>
    </border>
    <border>
      <left style="thin">
        <color rgb="FFFFFFFF"/>
      </left>
      <right style="thin">
        <color rgb="FFD9D9D9"/>
      </right>
      <top/>
      <bottom style="thin">
        <color rgb="FFD9D9D9"/>
      </bottom>
      <diagonal/>
    </border>
  </borders>
  <cellStyleXfs count="9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>
      <alignment vertical="center"/>
    </xf>
    <xf numFmtId="0" fontId="2" fillId="0" borderId="0"/>
    <xf numFmtId="0" fontId="1" fillId="10" borderId="0" applyNumberFormat="0" applyBorder="0" applyAlignment="0" applyProtection="0"/>
    <xf numFmtId="164" fontId="4" fillId="0" borderId="0" applyFont="0" applyFill="0" applyBorder="0" applyAlignment="0" applyProtection="0"/>
  </cellStyleXfs>
  <cellXfs count="281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8" fillId="4" borderId="0" xfId="4" applyFont="1"/>
    <xf numFmtId="0" fontId="3" fillId="0" borderId="0" xfId="0" applyFont="1" applyAlignment="1">
      <alignment horizontal="left"/>
    </xf>
    <xf numFmtId="14" fontId="8" fillId="4" borderId="0" xfId="4" applyNumberFormat="1" applyFont="1" applyAlignment="1">
      <alignment horizontal="right"/>
    </xf>
    <xf numFmtId="3" fontId="3" fillId="0" borderId="0" xfId="0" applyNumberFormat="1" applyFont="1"/>
    <xf numFmtId="14" fontId="8" fillId="2" borderId="0" xfId="2" applyNumberFormat="1" applyFont="1" applyAlignment="1">
      <alignment horizontal="right"/>
    </xf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horizontal="left"/>
    </xf>
    <xf numFmtId="0" fontId="8" fillId="3" borderId="1" xfId="3" applyFont="1" applyBorder="1"/>
    <xf numFmtId="0" fontId="8" fillId="3" borderId="1" xfId="3" applyFont="1" applyBorder="1" applyAlignment="1">
      <alignment horizontal="left"/>
    </xf>
    <xf numFmtId="3" fontId="12" fillId="5" borderId="0" xfId="0" applyNumberFormat="1" applyFont="1" applyFill="1"/>
    <xf numFmtId="4" fontId="3" fillId="0" borderId="0" xfId="0" applyNumberFormat="1" applyFont="1"/>
    <xf numFmtId="0" fontId="8" fillId="3" borderId="0" xfId="3" applyFont="1"/>
    <xf numFmtId="3" fontId="8" fillId="3" borderId="0" xfId="3" applyNumberFormat="1" applyFont="1"/>
    <xf numFmtId="3" fontId="3" fillId="7" borderId="0" xfId="0" applyNumberFormat="1" applyFont="1" applyFill="1"/>
    <xf numFmtId="0" fontId="8" fillId="7" borderId="0" xfId="4" applyFont="1" applyFill="1" applyAlignment="1">
      <alignment vertical="center"/>
    </xf>
    <xf numFmtId="49" fontId="7" fillId="6" borderId="2" xfId="6" applyNumberFormat="1" applyFont="1" applyFill="1" applyBorder="1" applyAlignment="1">
      <alignment horizontal="right"/>
    </xf>
    <xf numFmtId="49" fontId="7" fillId="6" borderId="2" xfId="6" applyNumberFormat="1" applyFont="1" applyFill="1" applyBorder="1" applyAlignment="1">
      <alignment horizontal="left"/>
    </xf>
    <xf numFmtId="49" fontId="7" fillId="7" borderId="0" xfId="6" applyNumberFormat="1" applyFont="1" applyFill="1" applyAlignment="1">
      <alignment horizontal="left"/>
    </xf>
    <xf numFmtId="49" fontId="7" fillId="7" borderId="0" xfId="6" applyNumberFormat="1" applyFont="1" applyFill="1" applyAlignment="1">
      <alignment horizontal="right"/>
    </xf>
    <xf numFmtId="0" fontId="8" fillId="7" borderId="0" xfId="3" applyFont="1" applyFill="1"/>
    <xf numFmtId="165" fontId="7" fillId="7" borderId="0" xfId="6" applyNumberFormat="1" applyFont="1" applyFill="1" applyAlignment="1">
      <alignment horizontal="right"/>
    </xf>
    <xf numFmtId="9" fontId="3" fillId="7" borderId="0" xfId="1" applyFont="1" applyFill="1"/>
    <xf numFmtId="0" fontId="3" fillId="6" borderId="2" xfId="0" applyFont="1" applyFill="1" applyBorder="1"/>
    <xf numFmtId="0" fontId="8" fillId="2" borderId="0" xfId="2" applyFont="1"/>
    <xf numFmtId="0" fontId="8" fillId="2" borderId="0" xfId="2" applyFont="1" applyAlignment="1">
      <alignment vertical="center"/>
    </xf>
    <xf numFmtId="4" fontId="3" fillId="7" borderId="0" xfId="0" applyNumberFormat="1" applyFont="1" applyFill="1"/>
    <xf numFmtId="0" fontId="15" fillId="7" borderId="0" xfId="0" applyFont="1" applyFill="1"/>
    <xf numFmtId="3" fontId="15" fillId="7" borderId="0" xfId="0" applyNumberFormat="1" applyFont="1" applyFill="1"/>
    <xf numFmtId="9" fontId="15" fillId="7" borderId="0" xfId="1" applyFont="1" applyFill="1"/>
    <xf numFmtId="0" fontId="8" fillId="3" borderId="3" xfId="3" applyFont="1" applyBorder="1"/>
    <xf numFmtId="0" fontId="8" fillId="3" borderId="3" xfId="3" applyFont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8" fillId="9" borderId="0" xfId="2" applyFont="1" applyFill="1" applyAlignment="1">
      <alignment horizontal="right"/>
    </xf>
    <xf numFmtId="0" fontId="8" fillId="3" borderId="0" xfId="3" applyFont="1" applyAlignment="1">
      <alignment horizontal="left"/>
    </xf>
    <xf numFmtId="3" fontId="3" fillId="6" borderId="2" xfId="0" applyNumberFormat="1" applyFont="1" applyFill="1" applyBorder="1"/>
    <xf numFmtId="0" fontId="16" fillId="7" borderId="0" xfId="0" applyFont="1" applyFill="1"/>
    <xf numFmtId="3" fontId="16" fillId="7" borderId="0" xfId="0" applyNumberFormat="1" applyFont="1" applyFill="1"/>
    <xf numFmtId="10" fontId="16" fillId="7" borderId="0" xfId="1" applyNumberFormat="1" applyFont="1" applyFill="1"/>
    <xf numFmtId="0" fontId="8" fillId="7" borderId="0" xfId="4" applyFont="1" applyFill="1"/>
    <xf numFmtId="0" fontId="8" fillId="7" borderId="0" xfId="2" applyFont="1" applyFill="1"/>
    <xf numFmtId="0" fontId="8" fillId="7" borderId="0" xfId="2" applyFont="1" applyFill="1" applyAlignment="1">
      <alignment vertical="center"/>
    </xf>
    <xf numFmtId="0" fontId="8" fillId="4" borderId="0" xfId="4" applyFont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/>
    <xf numFmtId="0" fontId="17" fillId="7" borderId="0" xfId="0" applyFont="1" applyFill="1"/>
    <xf numFmtId="0" fontId="8" fillId="4" borderId="0" xfId="4" applyFont="1" applyAlignment="1">
      <alignment horizontal="left"/>
    </xf>
    <xf numFmtId="14" fontId="8" fillId="4" borderId="0" xfId="4" applyNumberFormat="1" applyFont="1"/>
    <xf numFmtId="0" fontId="21" fillId="7" borderId="0" xfId="0" applyFont="1" applyFill="1"/>
    <xf numFmtId="0" fontId="8" fillId="4" borderId="4" xfId="4" applyFont="1" applyBorder="1"/>
    <xf numFmtId="0" fontId="8" fillId="8" borderId="5" xfId="4" applyFont="1" applyFill="1" applyBorder="1" applyAlignment="1">
      <alignment horizontal="right"/>
    </xf>
    <xf numFmtId="0" fontId="8" fillId="4" borderId="4" xfId="4" applyFont="1" applyBorder="1" applyAlignment="1">
      <alignment horizontal="left"/>
    </xf>
    <xf numFmtId="0" fontId="8" fillId="8" borderId="6" xfId="4" applyFont="1" applyFill="1" applyBorder="1" applyAlignment="1">
      <alignment horizontal="left"/>
    </xf>
    <xf numFmtId="14" fontId="8" fillId="8" borderId="6" xfId="4" applyNumberFormat="1" applyFont="1" applyFill="1" applyBorder="1" applyAlignment="1">
      <alignment horizontal="right"/>
    </xf>
    <xf numFmtId="0" fontId="8" fillId="8" borderId="6" xfId="4" applyFont="1" applyFill="1" applyBorder="1" applyAlignment="1">
      <alignment horizontal="right"/>
    </xf>
    <xf numFmtId="0" fontId="3" fillId="6" borderId="1" xfId="0" applyFont="1" applyFill="1" applyBorder="1"/>
    <xf numFmtId="3" fontId="3" fillId="6" borderId="1" xfId="0" applyNumberFormat="1" applyFont="1" applyFill="1" applyBorder="1"/>
    <xf numFmtId="164" fontId="3" fillId="7" borderId="0" xfId="8" applyFont="1" applyFill="1"/>
    <xf numFmtId="14" fontId="8" fillId="0" borderId="0" xfId="4" applyNumberFormat="1" applyFont="1" applyFill="1" applyBorder="1" applyAlignment="1">
      <alignment horizontal="right"/>
    </xf>
    <xf numFmtId="9" fontId="3" fillId="0" borderId="0" xfId="1" applyFont="1" applyFill="1" applyBorder="1"/>
    <xf numFmtId="0" fontId="3" fillId="5" borderId="0" xfId="0" quotePrefix="1" applyFont="1" applyFill="1"/>
    <xf numFmtId="1" fontId="3" fillId="7" borderId="0" xfId="0" applyNumberFormat="1" applyFont="1" applyFill="1"/>
    <xf numFmtId="166" fontId="3" fillId="7" borderId="0" xfId="8" applyNumberFormat="1" applyFont="1" applyFill="1"/>
    <xf numFmtId="0" fontId="9" fillId="0" borderId="0" xfId="0" applyFont="1" applyAlignment="1">
      <alignment horizontal="right"/>
    </xf>
    <xf numFmtId="167" fontId="3" fillId="7" borderId="0" xfId="8" applyNumberFormat="1" applyFont="1" applyFill="1"/>
    <xf numFmtId="0" fontId="3" fillId="7" borderId="0" xfId="0" quotePrefix="1" applyFont="1" applyFill="1"/>
    <xf numFmtId="166" fontId="3" fillId="7" borderId="0" xfId="0" applyNumberFormat="1" applyFont="1" applyFill="1"/>
    <xf numFmtId="168" fontId="3" fillId="7" borderId="0" xfId="0" applyNumberFormat="1" applyFont="1" applyFill="1"/>
    <xf numFmtId="169" fontId="3" fillId="7" borderId="0" xfId="0" applyNumberFormat="1" applyFont="1" applyFill="1"/>
    <xf numFmtId="166" fontId="7" fillId="6" borderId="2" xfId="8" applyNumberFormat="1" applyFont="1" applyFill="1" applyBorder="1" applyAlignment="1">
      <alignment horizontal="right"/>
    </xf>
    <xf numFmtId="166" fontId="3" fillId="0" borderId="14" xfId="8" applyNumberFormat="1" applyFont="1" applyBorder="1" applyAlignment="1">
      <alignment horizontal="center" vertical="center"/>
    </xf>
    <xf numFmtId="166" fontId="3" fillId="0" borderId="0" xfId="8" applyNumberFormat="1" applyFont="1" applyAlignment="1">
      <alignment horizontal="center" vertical="center"/>
    </xf>
    <xf numFmtId="166" fontId="3" fillId="7" borderId="0" xfId="8" applyNumberFormat="1" applyFont="1" applyFill="1" applyAlignment="1">
      <alignment vertical="center"/>
    </xf>
    <xf numFmtId="166" fontId="3" fillId="0" borderId="0" xfId="8" applyNumberFormat="1" applyFont="1"/>
    <xf numFmtId="166" fontId="8" fillId="3" borderId="0" xfId="8" applyNumberFormat="1" applyFont="1" applyFill="1"/>
    <xf numFmtId="166" fontId="8" fillId="0" borderId="0" xfId="8" applyNumberFormat="1" applyFont="1" applyFill="1" applyBorder="1"/>
    <xf numFmtId="166" fontId="18" fillId="7" borderId="0" xfId="8" applyNumberFormat="1" applyFont="1" applyFill="1"/>
    <xf numFmtId="166" fontId="9" fillId="7" borderId="0" xfId="8" applyNumberFormat="1" applyFont="1" applyFill="1" applyAlignment="1">
      <alignment horizontal="right"/>
    </xf>
    <xf numFmtId="166" fontId="12" fillId="5" borderId="0" xfId="8" applyNumberFormat="1" applyFont="1" applyFill="1"/>
    <xf numFmtId="166" fontId="12" fillId="0" borderId="0" xfId="8" applyNumberFormat="1" applyFont="1"/>
    <xf numFmtId="166" fontId="8" fillId="3" borderId="3" xfId="8" applyNumberFormat="1" applyFont="1" applyFill="1" applyBorder="1"/>
    <xf numFmtId="166" fontId="12" fillId="7" borderId="0" xfId="8" applyNumberFormat="1" applyFont="1" applyFill="1"/>
    <xf numFmtId="166" fontId="11" fillId="11" borderId="22" xfId="8" applyNumberFormat="1" applyFont="1" applyFill="1" applyBorder="1" applyAlignment="1">
      <alignment horizontal="center"/>
    </xf>
    <xf numFmtId="166" fontId="11" fillId="11" borderId="23" xfId="8" applyNumberFormat="1" applyFont="1" applyFill="1" applyBorder="1" applyAlignment="1">
      <alignment horizontal="center"/>
    </xf>
    <xf numFmtId="166" fontId="11" fillId="11" borderId="24" xfId="8" applyNumberFormat="1" applyFont="1" applyFill="1" applyBorder="1" applyAlignment="1">
      <alignment horizontal="center"/>
    </xf>
    <xf numFmtId="166" fontId="12" fillId="11" borderId="0" xfId="8" applyNumberFormat="1" applyFont="1" applyFill="1"/>
    <xf numFmtId="166" fontId="9" fillId="7" borderId="0" xfId="8" applyNumberFormat="1" applyFont="1" applyFill="1" applyAlignment="1">
      <alignment horizontal="left"/>
    </xf>
    <xf numFmtId="166" fontId="19" fillId="7" borderId="0" xfId="8" applyNumberFormat="1" applyFont="1" applyFill="1"/>
    <xf numFmtId="166" fontId="19" fillId="0" borderId="0" xfId="8" applyNumberFormat="1" applyFont="1"/>
    <xf numFmtId="166" fontId="8" fillId="3" borderId="1" xfId="8" applyNumberFormat="1" applyFont="1" applyFill="1" applyBorder="1"/>
    <xf numFmtId="166" fontId="3" fillId="6" borderId="8" xfId="8" applyNumberFormat="1" applyFont="1" applyFill="1" applyBorder="1"/>
    <xf numFmtId="166" fontId="9" fillId="7" borderId="13" xfId="8" applyNumberFormat="1" applyFont="1" applyFill="1" applyBorder="1" applyAlignment="1">
      <alignment horizontal="right"/>
    </xf>
    <xf numFmtId="166" fontId="12" fillId="11" borderId="13" xfId="8" applyNumberFormat="1" applyFont="1" applyFill="1" applyBorder="1"/>
    <xf numFmtId="166" fontId="9" fillId="0" borderId="0" xfId="8" applyNumberFormat="1" applyFont="1" applyAlignment="1">
      <alignment horizontal="right"/>
    </xf>
    <xf numFmtId="166" fontId="11" fillId="7" borderId="0" xfId="8" applyNumberFormat="1" applyFont="1" applyFill="1"/>
    <xf numFmtId="166" fontId="12" fillId="5" borderId="13" xfId="8" applyNumberFormat="1" applyFont="1" applyFill="1" applyBorder="1"/>
    <xf numFmtId="166" fontId="17" fillId="7" borderId="0" xfId="8" applyNumberFormat="1" applyFont="1" applyFill="1"/>
    <xf numFmtId="166" fontId="13" fillId="0" borderId="0" xfId="8" applyNumberFormat="1" applyFont="1" applyFill="1" applyBorder="1"/>
    <xf numFmtId="166" fontId="7" fillId="7" borderId="0" xfId="8" applyNumberFormat="1" applyFont="1" applyFill="1" applyAlignment="1">
      <alignment horizontal="right"/>
    </xf>
    <xf numFmtId="166" fontId="3" fillId="7" borderId="0" xfId="8" applyNumberFormat="1" applyFont="1" applyFill="1" applyAlignment="1">
      <alignment horizontal="right"/>
    </xf>
    <xf numFmtId="166" fontId="8" fillId="4" borderId="0" xfId="8" applyNumberFormat="1" applyFont="1" applyFill="1" applyAlignment="1">
      <alignment horizontal="right"/>
    </xf>
    <xf numFmtId="166" fontId="8" fillId="2" borderId="0" xfId="8" applyNumberFormat="1" applyFont="1" applyFill="1" applyAlignment="1">
      <alignment horizontal="right"/>
    </xf>
    <xf numFmtId="166" fontId="8" fillId="3" borderId="0" xfId="8" applyNumberFormat="1" applyFont="1" applyFill="1" applyBorder="1"/>
    <xf numFmtId="166" fontId="17" fillId="7" borderId="0" xfId="8" applyNumberFormat="1" applyFont="1" applyFill="1" applyAlignment="1">
      <alignment horizontal="right"/>
    </xf>
    <xf numFmtId="166" fontId="3" fillId="6" borderId="2" xfId="8" applyNumberFormat="1" applyFont="1" applyFill="1" applyBorder="1"/>
    <xf numFmtId="166" fontId="16" fillId="7" borderId="0" xfId="8" applyNumberFormat="1" applyFont="1" applyFill="1"/>
    <xf numFmtId="166" fontId="8" fillId="2" borderId="0" xfId="8" applyNumberFormat="1" applyFont="1" applyFill="1"/>
    <xf numFmtId="166" fontId="8" fillId="2" borderId="0" xfId="8" applyNumberFormat="1" applyFont="1" applyFill="1" applyAlignment="1">
      <alignment vertical="center"/>
    </xf>
    <xf numFmtId="166" fontId="14" fillId="7" borderId="0" xfId="8" applyNumberFormat="1" applyFont="1" applyFill="1" applyAlignment="1">
      <alignment horizontal="right"/>
    </xf>
    <xf numFmtId="166" fontId="20" fillId="7" borderId="0" xfId="8" applyNumberFormat="1" applyFont="1" applyFill="1"/>
    <xf numFmtId="166" fontId="3" fillId="0" borderId="0" xfId="8" applyNumberFormat="1" applyFont="1" applyAlignment="1">
      <alignment horizontal="right"/>
    </xf>
    <xf numFmtId="166" fontId="11" fillId="7" borderId="35" xfId="8" applyNumberFormat="1" applyFont="1" applyFill="1" applyBorder="1" applyAlignment="1">
      <alignment horizontal="right"/>
    </xf>
    <xf numFmtId="166" fontId="11" fillId="7" borderId="35" xfId="8" applyNumberFormat="1" applyFont="1" applyFill="1" applyBorder="1"/>
    <xf numFmtId="166" fontId="14" fillId="7" borderId="35" xfId="8" applyNumberFormat="1" applyFont="1" applyFill="1" applyBorder="1"/>
    <xf numFmtId="166" fontId="3" fillId="11" borderId="34" xfId="8" applyNumberFormat="1" applyFont="1" applyFill="1" applyBorder="1"/>
    <xf numFmtId="166" fontId="3" fillId="11" borderId="40" xfId="8" applyNumberFormat="1" applyFont="1" applyFill="1" applyBorder="1"/>
    <xf numFmtId="166" fontId="3" fillId="7" borderId="35" xfId="8" applyNumberFormat="1" applyFont="1" applyFill="1" applyBorder="1"/>
    <xf numFmtId="166" fontId="3" fillId="7" borderId="9" xfId="8" applyNumberFormat="1" applyFont="1" applyFill="1" applyBorder="1"/>
    <xf numFmtId="166" fontId="11" fillId="7" borderId="9" xfId="8" applyNumberFormat="1" applyFont="1" applyFill="1" applyBorder="1" applyAlignment="1">
      <alignment horizontal="right"/>
    </xf>
    <xf numFmtId="166" fontId="11" fillId="7" borderId="41" xfId="8" applyNumberFormat="1" applyFont="1" applyFill="1" applyBorder="1" applyAlignment="1">
      <alignment horizontal="right"/>
    </xf>
    <xf numFmtId="166" fontId="11" fillId="7" borderId="9" xfId="8" applyNumberFormat="1" applyFont="1" applyFill="1" applyBorder="1"/>
    <xf numFmtId="0" fontId="22" fillId="0" borderId="0" xfId="0" applyFont="1"/>
    <xf numFmtId="166" fontId="3" fillId="12" borderId="0" xfId="8" applyNumberFormat="1" applyFont="1" applyFill="1"/>
    <xf numFmtId="0" fontId="24" fillId="13" borderId="8" xfId="0" applyFont="1" applyFill="1" applyBorder="1"/>
    <xf numFmtId="0" fontId="23" fillId="13" borderId="8" xfId="0" applyFont="1" applyFill="1" applyBorder="1"/>
    <xf numFmtId="0" fontId="3" fillId="0" borderId="8" xfId="0" applyFont="1" applyBorder="1"/>
    <xf numFmtId="0" fontId="23" fillId="13" borderId="43" xfId="0" applyFont="1" applyFill="1" applyBorder="1"/>
    <xf numFmtId="0" fontId="3" fillId="7" borderId="44" xfId="0" applyFont="1" applyFill="1" applyBorder="1" applyAlignment="1">
      <alignment horizontal="left"/>
    </xf>
    <xf numFmtId="0" fontId="25" fillId="7" borderId="44" xfId="0" applyFont="1" applyFill="1" applyBorder="1" applyAlignment="1">
      <alignment horizontal="left"/>
    </xf>
    <xf numFmtId="9" fontId="25" fillId="7" borderId="0" xfId="1" applyFont="1" applyFill="1" applyBorder="1"/>
    <xf numFmtId="9" fontId="25" fillId="7" borderId="45" xfId="1" applyFont="1" applyFill="1" applyBorder="1"/>
    <xf numFmtId="9" fontId="25" fillId="7" borderId="7" xfId="1" applyFont="1" applyFill="1" applyBorder="1"/>
    <xf numFmtId="0" fontId="3" fillId="0" borderId="7" xfId="0" applyFont="1" applyBorder="1"/>
    <xf numFmtId="9" fontId="25" fillId="7" borderId="47" xfId="1" applyFont="1" applyFill="1" applyBorder="1"/>
    <xf numFmtId="0" fontId="3" fillId="7" borderId="46" xfId="0" applyFont="1" applyFill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7" borderId="45" xfId="0" applyFont="1" applyFill="1" applyBorder="1"/>
    <xf numFmtId="0" fontId="26" fillId="7" borderId="0" xfId="0" applyFont="1" applyFill="1"/>
    <xf numFmtId="171" fontId="3" fillId="0" borderId="0" xfId="1" applyNumberFormat="1" applyFont="1" applyBorder="1"/>
    <xf numFmtId="171" fontId="25" fillId="0" borderId="0" xfId="1" applyNumberFormat="1" applyFont="1" applyBorder="1"/>
    <xf numFmtId="171" fontId="25" fillId="0" borderId="45" xfId="1" applyNumberFormat="1" applyFont="1" applyBorder="1"/>
    <xf numFmtId="0" fontId="26" fillId="7" borderId="44" xfId="0" applyFont="1" applyFill="1" applyBorder="1" applyAlignment="1">
      <alignment horizontal="left"/>
    </xf>
    <xf numFmtId="166" fontId="26" fillId="7" borderId="45" xfId="0" applyNumberFormat="1" applyFont="1" applyFill="1" applyBorder="1"/>
    <xf numFmtId="0" fontId="26" fillId="0" borderId="0" xfId="0" applyFont="1"/>
    <xf numFmtId="166" fontId="26" fillId="7" borderId="45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left"/>
    </xf>
    <xf numFmtId="0" fontId="26" fillId="7" borderId="46" xfId="0" applyFont="1" applyFill="1" applyBorder="1" applyAlignment="1">
      <alignment horizontal="left"/>
    </xf>
    <xf numFmtId="0" fontId="25" fillId="7" borderId="0" xfId="0" applyFont="1" applyFill="1"/>
    <xf numFmtId="0" fontId="27" fillId="7" borderId="0" xfId="0" applyFont="1" applyFill="1"/>
    <xf numFmtId="0" fontId="23" fillId="0" borderId="45" xfId="0" applyFont="1" applyBorder="1"/>
    <xf numFmtId="0" fontId="26" fillId="7" borderId="0" xfId="0" quotePrefix="1" applyFont="1" applyFill="1"/>
    <xf numFmtId="170" fontId="26" fillId="7" borderId="0" xfId="0" applyNumberFormat="1" applyFont="1" applyFill="1"/>
    <xf numFmtId="0" fontId="26" fillId="0" borderId="44" xfId="0" applyFont="1" applyBorder="1" applyAlignment="1">
      <alignment horizontal="left"/>
    </xf>
    <xf numFmtId="171" fontId="26" fillId="7" borderId="0" xfId="1" applyNumberFormat="1" applyFont="1" applyFill="1" applyBorder="1"/>
    <xf numFmtId="0" fontId="26" fillId="0" borderId="46" xfId="0" applyFont="1" applyBorder="1" applyAlignment="1">
      <alignment horizontal="left"/>
    </xf>
    <xf numFmtId="171" fontId="26" fillId="7" borderId="7" xfId="1" applyNumberFormat="1" applyFont="1" applyFill="1" applyBorder="1"/>
    <xf numFmtId="171" fontId="26" fillId="7" borderId="47" xfId="1" applyNumberFormat="1" applyFont="1" applyFill="1" applyBorder="1"/>
    <xf numFmtId="9" fontId="25" fillId="7" borderId="0" xfId="1" applyFont="1" applyFill="1"/>
    <xf numFmtId="9" fontId="27" fillId="7" borderId="0" xfId="1" applyFont="1" applyFill="1"/>
    <xf numFmtId="167" fontId="25" fillId="7" borderId="0" xfId="8" applyNumberFormat="1" applyFont="1" applyFill="1"/>
    <xf numFmtId="172" fontId="3" fillId="7" borderId="0" xfId="0" applyNumberFormat="1" applyFont="1" applyFill="1"/>
    <xf numFmtId="0" fontId="29" fillId="13" borderId="45" xfId="0" applyFont="1" applyFill="1" applyBorder="1"/>
    <xf numFmtId="0" fontId="27" fillId="7" borderId="44" xfId="0" applyFont="1" applyFill="1" applyBorder="1" applyAlignment="1">
      <alignment horizontal="left"/>
    </xf>
    <xf numFmtId="173" fontId="3" fillId="7" borderId="0" xfId="0" applyNumberFormat="1" applyFont="1" applyFill="1"/>
    <xf numFmtId="43" fontId="16" fillId="7" borderId="0" xfId="8" applyNumberFormat="1" applyFont="1" applyFill="1"/>
    <xf numFmtId="1" fontId="27" fillId="7" borderId="0" xfId="0" applyNumberFormat="1" applyFont="1" applyFill="1"/>
    <xf numFmtId="166" fontId="27" fillId="7" borderId="0" xfId="0" applyNumberFormat="1" applyFont="1" applyFill="1"/>
    <xf numFmtId="1" fontId="3" fillId="7" borderId="35" xfId="0" applyNumberFormat="1" applyFont="1" applyFill="1" applyBorder="1"/>
    <xf numFmtId="166" fontId="3" fillId="7" borderId="35" xfId="0" applyNumberFormat="1" applyFont="1" applyFill="1" applyBorder="1"/>
    <xf numFmtId="9" fontId="3" fillId="7" borderId="0" xfId="0" applyNumberFormat="1" applyFont="1" applyFill="1"/>
    <xf numFmtId="10" fontId="3" fillId="7" borderId="0" xfId="1" applyNumberFormat="1" applyFont="1" applyFill="1"/>
    <xf numFmtId="10" fontId="27" fillId="7" borderId="0" xfId="1" applyNumberFormat="1" applyFont="1" applyFill="1"/>
    <xf numFmtId="3" fontId="25" fillId="7" borderId="0" xfId="0" applyNumberFormat="1" applyFont="1" applyFill="1"/>
    <xf numFmtId="0" fontId="30" fillId="7" borderId="0" xfId="0" applyFont="1" applyFill="1"/>
    <xf numFmtId="9" fontId="27" fillId="5" borderId="0" xfId="1" applyFont="1" applyFill="1"/>
    <xf numFmtId="0" fontId="28" fillId="0" borderId="42" xfId="0" applyFont="1" applyBorder="1" applyAlignment="1">
      <alignment horizontal="left"/>
    </xf>
    <xf numFmtId="0" fontId="3" fillId="0" borderId="43" xfId="0" applyFont="1" applyBorder="1"/>
    <xf numFmtId="0" fontId="26" fillId="0" borderId="45" xfId="0" applyFont="1" applyBorder="1"/>
    <xf numFmtId="0" fontId="26" fillId="0" borderId="7" xfId="0" applyFont="1" applyBorder="1"/>
    <xf numFmtId="0" fontId="26" fillId="0" borderId="47" xfId="0" applyFont="1" applyBorder="1"/>
    <xf numFmtId="0" fontId="3" fillId="0" borderId="42" xfId="0" applyFont="1" applyBorder="1"/>
    <xf numFmtId="0" fontId="26" fillId="0" borderId="44" xfId="0" applyFont="1" applyBorder="1"/>
    <xf numFmtId="171" fontId="26" fillId="7" borderId="45" xfId="1" applyNumberFormat="1" applyFont="1" applyFill="1" applyBorder="1"/>
    <xf numFmtId="0" fontId="3" fillId="0" borderId="44" xfId="0" applyFont="1" applyBorder="1"/>
    <xf numFmtId="0" fontId="3" fillId="0" borderId="45" xfId="0" applyFont="1" applyBorder="1"/>
    <xf numFmtId="0" fontId="26" fillId="0" borderId="46" xfId="0" applyFont="1" applyBorder="1"/>
    <xf numFmtId="1" fontId="26" fillId="0" borderId="0" xfId="0" applyNumberFormat="1" applyFont="1"/>
    <xf numFmtId="0" fontId="25" fillId="0" borderId="0" xfId="0" applyFont="1"/>
    <xf numFmtId="1" fontId="26" fillId="0" borderId="45" xfId="0" applyNumberFormat="1" applyFont="1" applyBorder="1"/>
    <xf numFmtId="0" fontId="25" fillId="0" borderId="44" xfId="0" applyFont="1" applyBorder="1" applyAlignment="1">
      <alignment horizontal="left"/>
    </xf>
    <xf numFmtId="171" fontId="27" fillId="0" borderId="7" xfId="1" applyNumberFormat="1" applyFont="1" applyBorder="1"/>
    <xf numFmtId="171" fontId="27" fillId="0" borderId="47" xfId="1" applyNumberFormat="1" applyFont="1" applyBorder="1"/>
    <xf numFmtId="0" fontId="3" fillId="7" borderId="8" xfId="0" applyFont="1" applyFill="1" applyBorder="1"/>
    <xf numFmtId="0" fontId="3" fillId="7" borderId="43" xfId="0" applyFont="1" applyFill="1" applyBorder="1"/>
    <xf numFmtId="0" fontId="27" fillId="0" borderId="0" xfId="0" applyFont="1"/>
    <xf numFmtId="0" fontId="24" fillId="0" borderId="0" xfId="0" applyFont="1"/>
    <xf numFmtId="0" fontId="23" fillId="0" borderId="0" xfId="0" applyFont="1"/>
    <xf numFmtId="0" fontId="3" fillId="7" borderId="7" xfId="0" applyFont="1" applyFill="1" applyBorder="1"/>
    <xf numFmtId="0" fontId="3" fillId="7" borderId="47" xfId="0" applyFont="1" applyFill="1" applyBorder="1"/>
    <xf numFmtId="0" fontId="29" fillId="13" borderId="0" xfId="0" applyFont="1" applyFill="1"/>
    <xf numFmtId="166" fontId="26" fillId="7" borderId="0" xfId="0" applyNumberFormat="1" applyFont="1" applyFill="1" applyAlignment="1">
      <alignment horizontal="center"/>
    </xf>
    <xf numFmtId="166" fontId="26" fillId="7" borderId="0" xfId="0" applyNumberFormat="1" applyFont="1" applyFill="1"/>
    <xf numFmtId="171" fontId="27" fillId="7" borderId="7" xfId="1" applyNumberFormat="1" applyFont="1" applyFill="1" applyBorder="1"/>
    <xf numFmtId="171" fontId="27" fillId="7" borderId="47" xfId="1" applyNumberFormat="1" applyFont="1" applyFill="1" applyBorder="1"/>
    <xf numFmtId="1" fontId="25" fillId="7" borderId="0" xfId="0" applyNumberFormat="1" applyFont="1" applyFill="1"/>
    <xf numFmtId="0" fontId="27" fillId="7" borderId="45" xfId="0" applyFont="1" applyFill="1" applyBorder="1"/>
    <xf numFmtId="0" fontId="26" fillId="7" borderId="45" xfId="0" applyFont="1" applyFill="1" applyBorder="1"/>
    <xf numFmtId="0" fontId="25" fillId="0" borderId="45" xfId="0" applyFont="1" applyBorder="1"/>
    <xf numFmtId="171" fontId="3" fillId="0" borderId="45" xfId="1" applyNumberFormat="1" applyFont="1" applyBorder="1"/>
    <xf numFmtId="0" fontId="29" fillId="13" borderId="8" xfId="0" applyFont="1" applyFill="1" applyBorder="1"/>
    <xf numFmtId="0" fontId="29" fillId="13" borderId="43" xfId="0" applyFont="1" applyFill="1" applyBorder="1"/>
    <xf numFmtId="0" fontId="32" fillId="0" borderId="0" xfId="0" applyFont="1"/>
    <xf numFmtId="0" fontId="33" fillId="0" borderId="0" xfId="0" applyFont="1"/>
    <xf numFmtId="0" fontId="34" fillId="15" borderId="0" xfId="0" applyFont="1" applyFill="1"/>
    <xf numFmtId="0" fontId="35" fillId="15" borderId="0" xfId="0" applyFont="1" applyFill="1"/>
    <xf numFmtId="1" fontId="32" fillId="0" borderId="0" xfId="0" applyNumberFormat="1" applyFont="1"/>
    <xf numFmtId="9" fontId="33" fillId="0" borderId="0" xfId="1" applyFont="1"/>
    <xf numFmtId="0" fontId="36" fillId="0" borderId="0" xfId="0" applyFont="1"/>
    <xf numFmtId="9" fontId="36" fillId="0" borderId="0" xfId="1" applyFont="1"/>
    <xf numFmtId="0" fontId="35" fillId="15" borderId="0" xfId="0" applyFont="1" applyFill="1" applyAlignment="1">
      <alignment horizontal="right"/>
    </xf>
    <xf numFmtId="0" fontId="3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2" fillId="0" borderId="0" xfId="0" applyFont="1" applyAlignment="1">
      <alignment horizontal="left" indent="1"/>
    </xf>
    <xf numFmtId="0" fontId="36" fillId="0" borderId="0" xfId="0" applyFont="1" applyAlignment="1">
      <alignment horizontal="left" indent="1"/>
    </xf>
    <xf numFmtId="0" fontId="9" fillId="7" borderId="15" xfId="0" applyFont="1" applyFill="1" applyBorder="1" applyAlignment="1">
      <alignment horizontal="left" vertical="center"/>
    </xf>
    <xf numFmtId="166" fontId="11" fillId="0" borderId="9" xfId="8" applyNumberFormat="1" applyFont="1" applyBorder="1" applyAlignment="1">
      <alignment horizontal="center" vertical="center"/>
    </xf>
    <xf numFmtId="166" fontId="11" fillId="0" borderId="10" xfId="8" applyNumberFormat="1" applyFont="1" applyBorder="1" applyAlignment="1">
      <alignment horizontal="center" vertical="center"/>
    </xf>
    <xf numFmtId="166" fontId="11" fillId="11" borderId="25" xfId="8" applyNumberFormat="1" applyFont="1" applyFill="1" applyBorder="1" applyAlignment="1">
      <alignment horizontal="center" vertical="center"/>
    </xf>
    <xf numFmtId="166" fontId="11" fillId="11" borderId="28" xfId="8" applyNumberFormat="1" applyFont="1" applyFill="1" applyBorder="1" applyAlignment="1">
      <alignment horizontal="center" vertical="center"/>
    </xf>
    <xf numFmtId="166" fontId="11" fillId="11" borderId="26" xfId="8" applyNumberFormat="1" applyFont="1" applyFill="1" applyBorder="1" applyAlignment="1">
      <alignment horizontal="center" vertical="center"/>
    </xf>
    <xf numFmtId="166" fontId="11" fillId="11" borderId="29" xfId="8" applyNumberFormat="1" applyFont="1" applyFill="1" applyBorder="1" applyAlignment="1">
      <alignment horizontal="center" vertical="center"/>
    </xf>
    <xf numFmtId="166" fontId="11" fillId="11" borderId="27" xfId="8" applyNumberFormat="1" applyFont="1" applyFill="1" applyBorder="1" applyAlignment="1">
      <alignment horizontal="center" vertical="center"/>
    </xf>
    <xf numFmtId="166" fontId="11" fillId="11" borderId="30" xfId="8" applyNumberFormat="1" applyFont="1" applyFill="1" applyBorder="1" applyAlignment="1">
      <alignment horizontal="center" vertical="center"/>
    </xf>
    <xf numFmtId="166" fontId="11" fillId="11" borderId="18" xfId="8" applyNumberFormat="1" applyFont="1" applyFill="1" applyBorder="1" applyAlignment="1">
      <alignment horizontal="center" vertical="center"/>
    </xf>
    <xf numFmtId="166" fontId="11" fillId="11" borderId="20" xfId="8" applyNumberFormat="1" applyFont="1" applyFill="1" applyBorder="1" applyAlignment="1">
      <alignment horizontal="center" vertical="center"/>
    </xf>
    <xf numFmtId="166" fontId="11" fillId="11" borderId="16" xfId="8" applyNumberFormat="1" applyFont="1" applyFill="1" applyBorder="1" applyAlignment="1">
      <alignment horizontal="center" vertical="center"/>
    </xf>
    <xf numFmtId="166" fontId="11" fillId="11" borderId="17" xfId="8" applyNumberFormat="1" applyFont="1" applyFill="1" applyBorder="1" applyAlignment="1">
      <alignment horizontal="center" vertical="center"/>
    </xf>
    <xf numFmtId="166" fontId="11" fillId="11" borderId="19" xfId="8" applyNumberFormat="1" applyFont="1" applyFill="1" applyBorder="1" applyAlignment="1">
      <alignment horizontal="center" vertical="center"/>
    </xf>
    <xf numFmtId="166" fontId="11" fillId="11" borderId="21" xfId="8" applyNumberFormat="1" applyFont="1" applyFill="1" applyBorder="1" applyAlignment="1">
      <alignment horizontal="center" vertical="center"/>
    </xf>
    <xf numFmtId="166" fontId="3" fillId="7" borderId="0" xfId="8" applyNumberFormat="1" applyFont="1" applyFill="1" applyAlignment="1">
      <alignment horizontal="right" vertical="center"/>
    </xf>
    <xf numFmtId="166" fontId="31" fillId="14" borderId="52" xfId="0" applyNumberFormat="1" applyFont="1" applyFill="1" applyBorder="1" applyAlignment="1">
      <alignment horizontal="center" vertical="center"/>
    </xf>
    <xf numFmtId="166" fontId="31" fillId="14" borderId="53" xfId="0" applyNumberFormat="1" applyFont="1" applyFill="1" applyBorder="1" applyAlignment="1">
      <alignment horizontal="center" vertical="center"/>
    </xf>
    <xf numFmtId="166" fontId="31" fillId="14" borderId="48" xfId="0" applyNumberFormat="1" applyFont="1" applyFill="1" applyBorder="1" applyAlignment="1">
      <alignment horizontal="center" vertical="center"/>
    </xf>
    <xf numFmtId="166" fontId="31" fillId="14" borderId="49" xfId="0" applyNumberFormat="1" applyFont="1" applyFill="1" applyBorder="1" applyAlignment="1">
      <alignment horizontal="center" vertical="center"/>
    </xf>
    <xf numFmtId="166" fontId="31" fillId="14" borderId="50" xfId="0" applyNumberFormat="1" applyFont="1" applyFill="1" applyBorder="1" applyAlignment="1">
      <alignment horizontal="center" vertical="center"/>
    </xf>
    <xf numFmtId="166" fontId="31" fillId="14" borderId="51" xfId="0" applyNumberFormat="1" applyFont="1" applyFill="1" applyBorder="1" applyAlignment="1">
      <alignment horizontal="center" vertical="center"/>
    </xf>
    <xf numFmtId="166" fontId="11" fillId="0" borderId="38" xfId="8" applyNumberFormat="1" applyFont="1" applyBorder="1" applyAlignment="1">
      <alignment horizontal="center" vertical="center"/>
    </xf>
    <xf numFmtId="166" fontId="11" fillId="0" borderId="39" xfId="8" applyNumberFormat="1" applyFont="1" applyBorder="1" applyAlignment="1">
      <alignment horizontal="center" vertical="center"/>
    </xf>
    <xf numFmtId="166" fontId="8" fillId="3" borderId="8" xfId="8" applyNumberFormat="1" applyFont="1" applyFill="1" applyBorder="1" applyAlignment="1">
      <alignment horizontal="right" vertical="center"/>
    </xf>
    <xf numFmtId="166" fontId="8" fillId="3" borderId="0" xfId="8" applyNumberFormat="1" applyFont="1" applyFill="1" applyBorder="1" applyAlignment="1">
      <alignment horizontal="right" vertical="center"/>
    </xf>
    <xf numFmtId="166" fontId="8" fillId="3" borderId="7" xfId="8" applyNumberFormat="1" applyFont="1" applyFill="1" applyBorder="1" applyAlignment="1">
      <alignment horizontal="right" vertical="center"/>
    </xf>
    <xf numFmtId="166" fontId="11" fillId="11" borderId="36" xfId="8" applyNumberFormat="1" applyFont="1" applyFill="1" applyBorder="1" applyAlignment="1">
      <alignment horizontal="center" vertical="center"/>
    </xf>
    <xf numFmtId="166" fontId="11" fillId="11" borderId="37" xfId="8" applyNumberFormat="1" applyFont="1" applyFill="1" applyBorder="1" applyAlignment="1">
      <alignment horizontal="center" vertical="center"/>
    </xf>
    <xf numFmtId="166" fontId="3" fillId="11" borderId="34" xfId="8" applyNumberFormat="1" applyFont="1" applyFill="1" applyBorder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166" fontId="3" fillId="7" borderId="0" xfId="8" applyNumberFormat="1" applyFont="1" applyFill="1" applyAlignment="1">
      <alignment horizontal="center" vertical="center"/>
    </xf>
    <xf numFmtId="166" fontId="3" fillId="6" borderId="8" xfId="8" applyNumberFormat="1" applyFont="1" applyFill="1" applyBorder="1" applyAlignment="1">
      <alignment horizontal="center" vertical="center"/>
    </xf>
    <xf numFmtId="166" fontId="3" fillId="6" borderId="13" xfId="8" applyNumberFormat="1" applyFont="1" applyFill="1" applyBorder="1" applyAlignment="1">
      <alignment horizontal="center" vertical="center"/>
    </xf>
    <xf numFmtId="166" fontId="11" fillId="11" borderId="34" xfId="8" applyNumberFormat="1" applyFont="1" applyFill="1" applyBorder="1" applyAlignment="1">
      <alignment horizontal="center" vertical="center"/>
    </xf>
    <xf numFmtId="166" fontId="11" fillId="7" borderId="34" xfId="8" applyNumberFormat="1" applyFont="1" applyFill="1" applyBorder="1" applyAlignment="1">
      <alignment horizontal="center" vertical="center"/>
    </xf>
    <xf numFmtId="0" fontId="7" fillId="10" borderId="0" xfId="7" applyFont="1" applyAlignment="1">
      <alignment horizontal="center"/>
    </xf>
    <xf numFmtId="166" fontId="11" fillId="11" borderId="33" xfId="8" applyNumberFormat="1" applyFont="1" applyFill="1" applyBorder="1" applyAlignment="1">
      <alignment horizontal="center" vertical="center"/>
    </xf>
    <xf numFmtId="166" fontId="11" fillId="11" borderId="31" xfId="8" applyNumberFormat="1" applyFont="1" applyFill="1" applyBorder="1" applyAlignment="1">
      <alignment horizontal="center" vertical="center"/>
    </xf>
    <xf numFmtId="166" fontId="11" fillId="11" borderId="32" xfId="8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8" fillId="3" borderId="8" xfId="3" applyFont="1" applyBorder="1" applyAlignment="1">
      <alignment horizontal="left" vertical="center"/>
    </xf>
    <xf numFmtId="0" fontId="8" fillId="3" borderId="0" xfId="3" applyFont="1" applyBorder="1" applyAlignment="1">
      <alignment horizontal="left" vertical="center"/>
    </xf>
    <xf numFmtId="0" fontId="8" fillId="3" borderId="7" xfId="3" applyFont="1" applyBorder="1" applyAlignment="1">
      <alignment horizontal="left" vertical="center"/>
    </xf>
    <xf numFmtId="166" fontId="3" fillId="7" borderId="12" xfId="8" applyNumberFormat="1" applyFont="1" applyFill="1" applyBorder="1" applyAlignment="1">
      <alignment horizontal="right" vertical="center"/>
    </xf>
    <xf numFmtId="166" fontId="11" fillId="0" borderId="11" xfId="8" applyNumberFormat="1" applyFont="1" applyBorder="1" applyAlignment="1">
      <alignment horizontal="center" vertical="center"/>
    </xf>
    <xf numFmtId="166" fontId="11" fillId="11" borderId="40" xfId="8" applyNumberFormat="1" applyFont="1" applyFill="1" applyBorder="1" applyAlignment="1">
      <alignment horizontal="center" vertical="center"/>
    </xf>
    <xf numFmtId="166" fontId="11" fillId="7" borderId="10" xfId="8" applyNumberFormat="1" applyFont="1" applyFill="1" applyBorder="1" applyAlignment="1">
      <alignment horizontal="center" vertical="center"/>
    </xf>
    <xf numFmtId="166" fontId="11" fillId="7" borderId="35" xfId="8" applyNumberFormat="1" applyFont="1" applyFill="1" applyBorder="1" applyAlignment="1">
      <alignment horizontal="center" vertical="center"/>
    </xf>
    <xf numFmtId="166" fontId="11" fillId="7" borderId="9" xfId="8" applyNumberFormat="1" applyFont="1" applyFill="1" applyBorder="1" applyAlignment="1">
      <alignment horizontal="center" vertical="center"/>
    </xf>
    <xf numFmtId="166" fontId="3" fillId="6" borderId="0" xfId="8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</cellXfs>
  <cellStyles count="9">
    <cellStyle name="20% - Accent4" xfId="7" builtinId="42"/>
    <cellStyle name="Accent1" xfId="2" builtinId="29"/>
    <cellStyle name="Accent3" xfId="3" builtinId="37"/>
    <cellStyle name="Accent4" xfId="4" builtinId="41"/>
    <cellStyle name="Comma" xfId="8" builtinId="3"/>
    <cellStyle name="Normal" xfId="0" builtinId="0" customBuiltin="1"/>
    <cellStyle name="Percent" xfId="1" builtinId="5"/>
    <cellStyle name="Standard 2" xfId="5" xr:uid="{1B9F2233-CD5F-4446-B0AD-2D4D0886A9C1}"/>
    <cellStyle name="Standard 2 2" xfId="6" xr:uid="{0293E702-269D-4E08-B391-484CA4E0372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8002E"/>
      <color rgb="FFD9D9D9"/>
      <color rgb="FF02A5E2"/>
      <color rgb="FFFFE39C"/>
      <color rgb="FFED1A3B"/>
      <color rgb="FFF6A1A8"/>
      <color rgb="FF786860"/>
      <color rgb="FF62CAE3"/>
      <color rgb="FF2EB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Larissa-Design">
  <a:themeElements>
    <a:clrScheme name="Global_2019">
      <a:dk1>
        <a:srgbClr val="404040"/>
      </a:dk1>
      <a:lt1>
        <a:srgbClr val="FFFFFF"/>
      </a:lt1>
      <a:dk2>
        <a:srgbClr val="ED1A3B"/>
      </a:dk2>
      <a:lt2>
        <a:srgbClr val="218F8B"/>
      </a:lt2>
      <a:accent1>
        <a:srgbClr val="02A5E2"/>
      </a:accent1>
      <a:accent2>
        <a:srgbClr val="DF8639"/>
      </a:accent2>
      <a:accent3>
        <a:srgbClr val="98002E"/>
      </a:accent3>
      <a:accent4>
        <a:srgbClr val="657C91"/>
      </a:accent4>
      <a:accent5>
        <a:srgbClr val="E7E7E7"/>
      </a:accent5>
      <a:accent6>
        <a:srgbClr val="ED1A3B"/>
      </a:accent6>
      <a:hlink>
        <a:srgbClr val="02A5E2"/>
      </a:hlink>
      <a:folHlink>
        <a:srgbClr val="02A5E2"/>
      </a:folHlink>
    </a:clrScheme>
    <a:fontScheme name="BDO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chemeClr val="accent6">
              <a:lumMod val="75000"/>
            </a:schemeClr>
          </a:solidFill>
        </a:ln>
      </a:spPr>
      <a:bodyPr vertOverflow="clip" rtlCol="0" anchor="ctr"/>
      <a:lstStyle>
        <a:defPPr algn="ctr">
          <a:defRPr sz="1100">
            <a:latin typeface="Trebuchet MS" pitchFamily="34" charset="0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FCC4-91C7-4F94-B13E-6D269DD94783}">
  <sheetPr>
    <tabColor rgb="FF0070C0"/>
  </sheetPr>
  <dimension ref="B1:C2"/>
  <sheetViews>
    <sheetView showGridLines="0" zoomScaleNormal="100" workbookViewId="0"/>
  </sheetViews>
  <sheetFormatPr defaultColWidth="11" defaultRowHeight="15" x14ac:dyDescent="0.3"/>
  <cols>
    <col min="1" max="16384" width="11" style="1"/>
  </cols>
  <sheetData>
    <row r="1" spans="2:3" x14ac:dyDescent="0.3">
      <c r="C1" s="2"/>
    </row>
    <row r="2" spans="2:3" ht="18.75" x14ac:dyDescent="0.3">
      <c r="B2" s="125" t="s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ECD3-CDE0-49AA-91CA-7BF67F4A65E3}">
  <sheetPr>
    <tabColor theme="5" tint="0.79998168889431442"/>
  </sheetPr>
  <dimension ref="A1:M50"/>
  <sheetViews>
    <sheetView zoomScale="115" zoomScaleNormal="100" workbookViewId="0">
      <pane ySplit="2" topLeftCell="A34" activePane="bottomLeft" state="frozen"/>
      <selection activeCell="B31" sqref="A31:XFD37"/>
      <selection pane="bottomLeft" activeCell="M39" sqref="M39"/>
    </sheetView>
  </sheetViews>
  <sheetFormatPr defaultColWidth="11" defaultRowHeight="15" x14ac:dyDescent="0.3"/>
  <cols>
    <col min="1" max="1" width="9.125" style="8" customWidth="1"/>
    <col min="2" max="2" width="17.625" style="9" customWidth="1"/>
    <col min="3" max="11" width="12.5" style="8" customWidth="1"/>
    <col min="12" max="16384" width="11" style="8"/>
  </cols>
  <sheetData>
    <row r="1" spans="1:13" x14ac:dyDescent="0.3">
      <c r="A1" s="53" t="s">
        <v>132</v>
      </c>
      <c r="B1" s="55"/>
      <c r="C1" s="53"/>
      <c r="D1" s="53"/>
      <c r="E1" s="53"/>
      <c r="F1" s="53"/>
      <c r="G1" s="53"/>
      <c r="H1" s="53"/>
      <c r="I1" s="3"/>
      <c r="J1" s="3"/>
      <c r="K1" s="3"/>
    </row>
    <row r="2" spans="1:13" x14ac:dyDescent="0.3">
      <c r="A2" s="54" t="s">
        <v>133</v>
      </c>
      <c r="B2" s="56" t="s">
        <v>134</v>
      </c>
      <c r="C2" s="57" t="s">
        <v>135</v>
      </c>
      <c r="D2" s="58" t="s">
        <v>136</v>
      </c>
      <c r="E2" s="58" t="s">
        <v>137</v>
      </c>
      <c r="F2" s="58" t="s">
        <v>138</v>
      </c>
      <c r="G2" s="58" t="s">
        <v>139</v>
      </c>
      <c r="H2" s="58" t="s">
        <v>140</v>
      </c>
      <c r="I2" s="37" t="s">
        <v>7</v>
      </c>
      <c r="J2" s="37" t="s">
        <v>8</v>
      </c>
      <c r="K2" s="37" t="s">
        <v>9</v>
      </c>
    </row>
    <row r="3" spans="1:13" x14ac:dyDescent="0.3">
      <c r="A3" s="8">
        <v>1</v>
      </c>
      <c r="B3" s="9" t="s">
        <v>141</v>
      </c>
      <c r="C3" s="66">
        <v>15000</v>
      </c>
      <c r="D3" s="66"/>
      <c r="E3" s="66">
        <f>C3*0.2</f>
        <v>3000</v>
      </c>
      <c r="F3" s="66">
        <v>40</v>
      </c>
      <c r="G3" s="66"/>
      <c r="H3" s="66">
        <f>C3+E3+F3</f>
        <v>18040</v>
      </c>
      <c r="I3" s="116">
        <f>+H3*(1.06)</f>
        <v>19122.400000000001</v>
      </c>
      <c r="J3" s="116">
        <f t="shared" ref="J3:K3" si="0">+I3*(1.06)</f>
        <v>20269.744000000002</v>
      </c>
      <c r="K3" s="116">
        <f t="shared" si="0"/>
        <v>21485.928640000002</v>
      </c>
    </row>
    <row r="4" spans="1:13" x14ac:dyDescent="0.3">
      <c r="A4" s="8">
        <v>2</v>
      </c>
      <c r="B4" s="9" t="s">
        <v>142</v>
      </c>
      <c r="C4" s="66">
        <v>9500</v>
      </c>
      <c r="D4" s="66"/>
      <c r="E4" s="66">
        <f t="shared" ref="E4:E34" si="1">C4*0.2</f>
        <v>1900</v>
      </c>
      <c r="F4" s="66">
        <v>35</v>
      </c>
      <c r="G4" s="66"/>
      <c r="H4" s="66">
        <f t="shared" ref="H4:H39" si="2">C4+E4+F4</f>
        <v>11435</v>
      </c>
      <c r="I4" s="116">
        <f t="shared" ref="I4:K4" si="3">+H4*(1.06)</f>
        <v>12121.1</v>
      </c>
      <c r="J4" s="116">
        <f t="shared" si="3"/>
        <v>12848.366000000002</v>
      </c>
      <c r="K4" s="116">
        <f t="shared" si="3"/>
        <v>13619.267960000003</v>
      </c>
    </row>
    <row r="5" spans="1:13" x14ac:dyDescent="0.3">
      <c r="A5" s="8">
        <v>3</v>
      </c>
      <c r="B5" s="9" t="s">
        <v>143</v>
      </c>
      <c r="C5" s="66">
        <v>7000</v>
      </c>
      <c r="D5" s="66"/>
      <c r="E5" s="66">
        <f t="shared" si="1"/>
        <v>1400</v>
      </c>
      <c r="F5" s="66">
        <v>30</v>
      </c>
      <c r="G5" s="66"/>
      <c r="H5" s="66">
        <f t="shared" si="2"/>
        <v>8430</v>
      </c>
      <c r="I5" s="116">
        <f t="shared" ref="I5:K5" si="4">+H5*(1.06)</f>
        <v>8935.8000000000011</v>
      </c>
      <c r="J5" s="116">
        <f t="shared" si="4"/>
        <v>9471.9480000000021</v>
      </c>
      <c r="K5" s="116">
        <f t="shared" si="4"/>
        <v>10040.264880000002</v>
      </c>
    </row>
    <row r="6" spans="1:13" x14ac:dyDescent="0.3">
      <c r="A6" s="8">
        <v>4</v>
      </c>
      <c r="B6" s="9" t="s">
        <v>144</v>
      </c>
      <c r="C6" s="66">
        <v>6500</v>
      </c>
      <c r="D6" s="66"/>
      <c r="E6" s="66">
        <f t="shared" si="1"/>
        <v>1300</v>
      </c>
      <c r="F6" s="66">
        <v>30</v>
      </c>
      <c r="G6" s="66"/>
      <c r="H6" s="66">
        <f t="shared" si="2"/>
        <v>7830</v>
      </c>
      <c r="I6" s="116">
        <f t="shared" ref="I6:K6" si="5">+H6*(1.06)</f>
        <v>8299.8000000000011</v>
      </c>
      <c r="J6" s="116">
        <f t="shared" si="5"/>
        <v>8797.7880000000023</v>
      </c>
      <c r="K6" s="116">
        <f t="shared" si="5"/>
        <v>9325.6552800000027</v>
      </c>
    </row>
    <row r="7" spans="1:13" x14ac:dyDescent="0.3">
      <c r="A7" s="8">
        <v>5</v>
      </c>
      <c r="B7" s="9" t="s">
        <v>145</v>
      </c>
      <c r="C7" s="66">
        <v>5000</v>
      </c>
      <c r="D7" s="66"/>
      <c r="E7" s="66">
        <f t="shared" si="1"/>
        <v>1000</v>
      </c>
      <c r="F7" s="66">
        <v>35</v>
      </c>
      <c r="G7" s="66"/>
      <c r="H7" s="66">
        <f t="shared" si="2"/>
        <v>6035</v>
      </c>
      <c r="I7" s="116">
        <f t="shared" ref="I7:K7" si="6">+H7*(1.06)</f>
        <v>6397.1</v>
      </c>
      <c r="J7" s="116">
        <f t="shared" si="6"/>
        <v>6780.9260000000004</v>
      </c>
      <c r="K7" s="116">
        <f t="shared" si="6"/>
        <v>7187.7815600000004</v>
      </c>
    </row>
    <row r="8" spans="1:13" x14ac:dyDescent="0.3">
      <c r="A8" s="8">
        <v>6</v>
      </c>
      <c r="B8" s="9" t="s">
        <v>146</v>
      </c>
      <c r="C8" s="66">
        <v>5000</v>
      </c>
      <c r="D8" s="66"/>
      <c r="E8" s="66">
        <f t="shared" si="1"/>
        <v>1000</v>
      </c>
      <c r="F8" s="66">
        <v>35</v>
      </c>
      <c r="G8" s="66"/>
      <c r="H8" s="66">
        <f t="shared" si="2"/>
        <v>6035</v>
      </c>
      <c r="I8" s="116">
        <f t="shared" ref="I8:K8" si="7">+H8*(1.06)</f>
        <v>6397.1</v>
      </c>
      <c r="J8" s="116">
        <f t="shared" si="7"/>
        <v>6780.9260000000004</v>
      </c>
      <c r="K8" s="116">
        <f t="shared" si="7"/>
        <v>7187.7815600000004</v>
      </c>
      <c r="M8" s="8" t="s">
        <v>250</v>
      </c>
    </row>
    <row r="9" spans="1:13" x14ac:dyDescent="0.3">
      <c r="A9" s="8">
        <v>7</v>
      </c>
      <c r="B9" s="9" t="s">
        <v>147</v>
      </c>
      <c r="C9" s="66">
        <v>3500</v>
      </c>
      <c r="D9" s="66"/>
      <c r="E9" s="66">
        <f t="shared" si="1"/>
        <v>700</v>
      </c>
      <c r="F9" s="66">
        <v>30</v>
      </c>
      <c r="G9" s="66"/>
      <c r="H9" s="66">
        <f t="shared" si="2"/>
        <v>4230</v>
      </c>
      <c r="I9" s="116">
        <f t="shared" ref="I9:K9" si="8">+H9*(1.06)</f>
        <v>4483.8</v>
      </c>
      <c r="J9" s="116">
        <f t="shared" si="8"/>
        <v>4752.8280000000004</v>
      </c>
      <c r="K9" s="116">
        <f t="shared" si="8"/>
        <v>5037.9976800000004</v>
      </c>
    </row>
    <row r="10" spans="1:13" x14ac:dyDescent="0.3">
      <c r="A10" s="8">
        <v>8</v>
      </c>
      <c r="B10" s="9" t="s">
        <v>148</v>
      </c>
      <c r="C10" s="66">
        <v>3800</v>
      </c>
      <c r="D10" s="66"/>
      <c r="E10" s="66">
        <f t="shared" si="1"/>
        <v>760</v>
      </c>
      <c r="F10" s="66">
        <v>30</v>
      </c>
      <c r="G10" s="66"/>
      <c r="H10" s="66">
        <f t="shared" si="2"/>
        <v>4590</v>
      </c>
      <c r="I10" s="116">
        <f t="shared" ref="I10:K10" si="9">+H10*(1.06)</f>
        <v>4865.4000000000005</v>
      </c>
      <c r="J10" s="116">
        <f t="shared" si="9"/>
        <v>5157.3240000000005</v>
      </c>
      <c r="K10" s="116">
        <f t="shared" si="9"/>
        <v>5466.7634400000006</v>
      </c>
    </row>
    <row r="11" spans="1:13" x14ac:dyDescent="0.3">
      <c r="A11" s="8">
        <v>9</v>
      </c>
      <c r="B11" s="9" t="s">
        <v>149</v>
      </c>
      <c r="C11" s="66">
        <v>3400</v>
      </c>
      <c r="D11" s="66"/>
      <c r="E11" s="66">
        <f t="shared" si="1"/>
        <v>680</v>
      </c>
      <c r="F11" s="66">
        <v>30</v>
      </c>
      <c r="G11" s="66"/>
      <c r="H11" s="66">
        <f t="shared" si="2"/>
        <v>4110</v>
      </c>
      <c r="I11" s="116">
        <f t="shared" ref="I11:K11" si="10">+H11*(1.06)</f>
        <v>4356.6000000000004</v>
      </c>
      <c r="J11" s="116">
        <f t="shared" si="10"/>
        <v>4617.996000000001</v>
      </c>
      <c r="K11" s="116">
        <f t="shared" si="10"/>
        <v>4895.0757600000015</v>
      </c>
    </row>
    <row r="12" spans="1:13" x14ac:dyDescent="0.3">
      <c r="A12" s="8">
        <v>10</v>
      </c>
      <c r="B12" s="9" t="s">
        <v>150</v>
      </c>
      <c r="C12" s="66">
        <v>3600</v>
      </c>
      <c r="D12" s="66"/>
      <c r="E12" s="66">
        <f t="shared" si="1"/>
        <v>720</v>
      </c>
      <c r="F12" s="66">
        <v>30</v>
      </c>
      <c r="G12" s="66"/>
      <c r="H12" s="66">
        <f t="shared" si="2"/>
        <v>4350</v>
      </c>
      <c r="I12" s="116">
        <f t="shared" ref="I12:K12" si="11">+H12*(1.06)</f>
        <v>4611</v>
      </c>
      <c r="J12" s="116">
        <f t="shared" si="11"/>
        <v>4887.66</v>
      </c>
      <c r="K12" s="116">
        <f t="shared" si="11"/>
        <v>5180.9196000000002</v>
      </c>
    </row>
    <row r="13" spans="1:13" x14ac:dyDescent="0.3">
      <c r="A13" s="8">
        <v>11</v>
      </c>
      <c r="B13" s="9" t="s">
        <v>151</v>
      </c>
      <c r="C13" s="66">
        <v>3900</v>
      </c>
      <c r="D13" s="66"/>
      <c r="E13" s="66">
        <f t="shared" si="1"/>
        <v>780</v>
      </c>
      <c r="F13" s="66">
        <v>30</v>
      </c>
      <c r="G13" s="66"/>
      <c r="H13" s="66">
        <f t="shared" si="2"/>
        <v>4710</v>
      </c>
      <c r="I13" s="116">
        <f t="shared" ref="I13:K13" si="12">+H13*(1.06)</f>
        <v>4992.6000000000004</v>
      </c>
      <c r="J13" s="116">
        <f t="shared" si="12"/>
        <v>5292.1560000000009</v>
      </c>
      <c r="K13" s="116">
        <f t="shared" si="12"/>
        <v>5609.6853600000013</v>
      </c>
    </row>
    <row r="14" spans="1:13" x14ac:dyDescent="0.3">
      <c r="A14" s="8">
        <v>12</v>
      </c>
      <c r="B14" s="9" t="s">
        <v>152</v>
      </c>
      <c r="C14" s="66">
        <v>4200</v>
      </c>
      <c r="D14" s="66"/>
      <c r="E14" s="66">
        <f t="shared" si="1"/>
        <v>840</v>
      </c>
      <c r="F14" s="66">
        <v>30</v>
      </c>
      <c r="G14" s="66"/>
      <c r="H14" s="66">
        <f t="shared" si="2"/>
        <v>5070</v>
      </c>
      <c r="I14" s="116">
        <f t="shared" ref="I14:K14" si="13">+H14*(1.06)</f>
        <v>5374.2</v>
      </c>
      <c r="J14" s="116">
        <f t="shared" si="13"/>
        <v>5696.652</v>
      </c>
      <c r="K14" s="116">
        <f t="shared" si="13"/>
        <v>6038.4511200000006</v>
      </c>
    </row>
    <row r="15" spans="1:13" x14ac:dyDescent="0.3">
      <c r="A15" s="8">
        <v>13</v>
      </c>
      <c r="B15" s="9" t="s">
        <v>153</v>
      </c>
      <c r="C15" s="66">
        <v>5000</v>
      </c>
      <c r="D15" s="66"/>
      <c r="E15" s="66">
        <f t="shared" si="1"/>
        <v>1000</v>
      </c>
      <c r="F15" s="66">
        <v>35</v>
      </c>
      <c r="G15" s="66"/>
      <c r="H15" s="66">
        <f t="shared" si="2"/>
        <v>6035</v>
      </c>
      <c r="I15" s="116">
        <f t="shared" ref="I15:K15" si="14">+H15*(1.06)</f>
        <v>6397.1</v>
      </c>
      <c r="J15" s="116">
        <f t="shared" si="14"/>
        <v>6780.9260000000004</v>
      </c>
      <c r="K15" s="116">
        <f t="shared" si="14"/>
        <v>7187.7815600000004</v>
      </c>
    </row>
    <row r="16" spans="1:13" x14ac:dyDescent="0.3">
      <c r="A16" s="8">
        <v>14</v>
      </c>
      <c r="B16" s="9" t="s">
        <v>154</v>
      </c>
      <c r="C16" s="66">
        <v>6500</v>
      </c>
      <c r="D16" s="66"/>
      <c r="E16" s="66">
        <f t="shared" si="1"/>
        <v>1300</v>
      </c>
      <c r="F16" s="66">
        <v>35</v>
      </c>
      <c r="G16" s="66"/>
      <c r="H16" s="66">
        <f t="shared" si="2"/>
        <v>7835</v>
      </c>
      <c r="I16" s="116">
        <f t="shared" ref="I16:K16" si="15">+H16*(1.06)</f>
        <v>8305.1</v>
      </c>
      <c r="J16" s="116">
        <f t="shared" si="15"/>
        <v>8803.4060000000009</v>
      </c>
      <c r="K16" s="116">
        <f t="shared" si="15"/>
        <v>9331.6103600000006</v>
      </c>
    </row>
    <row r="17" spans="1:11" x14ac:dyDescent="0.3">
      <c r="A17" s="8">
        <v>15</v>
      </c>
      <c r="B17" s="9" t="s">
        <v>155</v>
      </c>
      <c r="C17" s="66">
        <v>4000</v>
      </c>
      <c r="D17" s="66"/>
      <c r="E17" s="66">
        <f t="shared" si="1"/>
        <v>800</v>
      </c>
      <c r="F17" s="66">
        <v>30</v>
      </c>
      <c r="G17" s="66"/>
      <c r="H17" s="66">
        <f t="shared" si="2"/>
        <v>4830</v>
      </c>
      <c r="I17" s="116">
        <f t="shared" ref="I17:K17" si="16">+H17*(1.06)</f>
        <v>5119.8</v>
      </c>
      <c r="J17" s="116">
        <f t="shared" si="16"/>
        <v>5426.9880000000003</v>
      </c>
      <c r="K17" s="116">
        <f t="shared" si="16"/>
        <v>5752.6072800000002</v>
      </c>
    </row>
    <row r="18" spans="1:11" x14ac:dyDescent="0.3">
      <c r="A18" s="8">
        <v>16</v>
      </c>
      <c r="B18" s="9" t="s">
        <v>156</v>
      </c>
      <c r="C18" s="66">
        <v>4200</v>
      </c>
      <c r="D18" s="66"/>
      <c r="E18" s="66">
        <f t="shared" si="1"/>
        <v>840</v>
      </c>
      <c r="F18" s="66">
        <v>30</v>
      </c>
      <c r="G18" s="66"/>
      <c r="H18" s="66">
        <f t="shared" si="2"/>
        <v>5070</v>
      </c>
      <c r="I18" s="116">
        <f t="shared" ref="I18:K18" si="17">+H18*(1.06)</f>
        <v>5374.2</v>
      </c>
      <c r="J18" s="116">
        <f t="shared" si="17"/>
        <v>5696.652</v>
      </c>
      <c r="K18" s="116">
        <f t="shared" si="17"/>
        <v>6038.4511200000006</v>
      </c>
    </row>
    <row r="19" spans="1:11" x14ac:dyDescent="0.3">
      <c r="A19" s="8">
        <v>17</v>
      </c>
      <c r="B19" s="9" t="s">
        <v>157</v>
      </c>
      <c r="C19" s="66">
        <v>5500</v>
      </c>
      <c r="D19" s="66"/>
      <c r="E19" s="66">
        <f t="shared" si="1"/>
        <v>1100</v>
      </c>
      <c r="F19" s="66">
        <v>35</v>
      </c>
      <c r="G19" s="66"/>
      <c r="H19" s="66">
        <f t="shared" si="2"/>
        <v>6635</v>
      </c>
      <c r="I19" s="116">
        <f t="shared" ref="I19:K19" si="18">+H19*(1.06)</f>
        <v>7033.1</v>
      </c>
      <c r="J19" s="116">
        <f t="shared" si="18"/>
        <v>7455.0860000000011</v>
      </c>
      <c r="K19" s="116">
        <f t="shared" si="18"/>
        <v>7902.3911600000019</v>
      </c>
    </row>
    <row r="20" spans="1:11" x14ac:dyDescent="0.3">
      <c r="A20" s="8">
        <v>18</v>
      </c>
      <c r="B20" s="9" t="s">
        <v>158</v>
      </c>
      <c r="C20" s="66">
        <v>4300</v>
      </c>
      <c r="D20" s="66"/>
      <c r="E20" s="66">
        <f t="shared" si="1"/>
        <v>860</v>
      </c>
      <c r="F20" s="66">
        <v>30</v>
      </c>
      <c r="G20" s="66"/>
      <c r="H20" s="66">
        <f t="shared" si="2"/>
        <v>5190</v>
      </c>
      <c r="I20" s="116">
        <f t="shared" ref="I20:K20" si="19">+H20*(1.06)</f>
        <v>5501.4000000000005</v>
      </c>
      <c r="J20" s="116">
        <f t="shared" si="19"/>
        <v>5831.4840000000013</v>
      </c>
      <c r="K20" s="116">
        <f t="shared" si="19"/>
        <v>6181.3730400000013</v>
      </c>
    </row>
    <row r="21" spans="1:11" x14ac:dyDescent="0.3">
      <c r="A21" s="8">
        <v>19</v>
      </c>
      <c r="B21" s="9" t="s">
        <v>159</v>
      </c>
      <c r="C21" s="66">
        <v>3500</v>
      </c>
      <c r="D21" s="66"/>
      <c r="E21" s="66">
        <f t="shared" si="1"/>
        <v>700</v>
      </c>
      <c r="F21" s="66">
        <v>30</v>
      </c>
      <c r="G21" s="66"/>
      <c r="H21" s="66">
        <f t="shared" si="2"/>
        <v>4230</v>
      </c>
      <c r="I21" s="116">
        <f t="shared" ref="I21:K21" si="20">+H21*(1.06)</f>
        <v>4483.8</v>
      </c>
      <c r="J21" s="116">
        <f t="shared" si="20"/>
        <v>4752.8280000000004</v>
      </c>
      <c r="K21" s="116">
        <f t="shared" si="20"/>
        <v>5037.9976800000004</v>
      </c>
    </row>
    <row r="22" spans="1:11" x14ac:dyDescent="0.3">
      <c r="A22" s="8">
        <v>20</v>
      </c>
      <c r="B22" s="9" t="s">
        <v>160</v>
      </c>
      <c r="C22" s="66">
        <v>2500</v>
      </c>
      <c r="D22" s="66"/>
      <c r="E22" s="66">
        <f t="shared" si="1"/>
        <v>500</v>
      </c>
      <c r="F22" s="66">
        <v>30</v>
      </c>
      <c r="G22" s="66"/>
      <c r="H22" s="66">
        <f t="shared" si="2"/>
        <v>3030</v>
      </c>
      <c r="I22" s="116">
        <f t="shared" ref="I22:K22" si="21">+H22*(1.06)</f>
        <v>3211.8</v>
      </c>
      <c r="J22" s="116">
        <f t="shared" si="21"/>
        <v>3404.5080000000003</v>
      </c>
      <c r="K22" s="116">
        <f t="shared" si="21"/>
        <v>3608.7784800000004</v>
      </c>
    </row>
    <row r="23" spans="1:11" x14ac:dyDescent="0.3">
      <c r="A23" s="8">
        <v>21</v>
      </c>
      <c r="B23" s="9" t="s">
        <v>161</v>
      </c>
      <c r="C23" s="66">
        <v>3000</v>
      </c>
      <c r="D23" s="66"/>
      <c r="E23" s="66">
        <f t="shared" si="1"/>
        <v>600</v>
      </c>
      <c r="F23" s="66">
        <v>30</v>
      </c>
      <c r="G23" s="66"/>
      <c r="H23" s="66">
        <f t="shared" si="2"/>
        <v>3630</v>
      </c>
      <c r="I23" s="116">
        <f t="shared" ref="I23:K23" si="22">+H23*(1.06)</f>
        <v>3847.8</v>
      </c>
      <c r="J23" s="116">
        <f t="shared" si="22"/>
        <v>4078.6680000000006</v>
      </c>
      <c r="K23" s="116">
        <f t="shared" si="22"/>
        <v>4323.3880800000006</v>
      </c>
    </row>
    <row r="24" spans="1:11" x14ac:dyDescent="0.3">
      <c r="A24" s="8">
        <v>22</v>
      </c>
      <c r="B24" s="9" t="s">
        <v>162</v>
      </c>
      <c r="C24" s="66">
        <v>2500</v>
      </c>
      <c r="D24" s="66"/>
      <c r="E24" s="66">
        <f t="shared" si="1"/>
        <v>500</v>
      </c>
      <c r="F24" s="66">
        <v>30</v>
      </c>
      <c r="G24" s="66"/>
      <c r="H24" s="66">
        <f t="shared" si="2"/>
        <v>3030</v>
      </c>
      <c r="I24" s="116">
        <f t="shared" ref="I24:K24" si="23">+H24*(1.06)</f>
        <v>3211.8</v>
      </c>
      <c r="J24" s="116">
        <f t="shared" si="23"/>
        <v>3404.5080000000003</v>
      </c>
      <c r="K24" s="116">
        <f t="shared" si="23"/>
        <v>3608.7784800000004</v>
      </c>
    </row>
    <row r="25" spans="1:11" x14ac:dyDescent="0.3">
      <c r="A25" s="8">
        <v>23</v>
      </c>
      <c r="B25" s="9" t="s">
        <v>163</v>
      </c>
      <c r="C25" s="66">
        <v>2400</v>
      </c>
      <c r="D25" s="66"/>
      <c r="E25" s="66">
        <f t="shared" si="1"/>
        <v>480</v>
      </c>
      <c r="F25" s="66">
        <v>30</v>
      </c>
      <c r="G25" s="66"/>
      <c r="H25" s="66">
        <f t="shared" si="2"/>
        <v>2910</v>
      </c>
      <c r="I25" s="116">
        <f t="shared" ref="I25:K25" si="24">+H25*(1.06)</f>
        <v>3084.6000000000004</v>
      </c>
      <c r="J25" s="116">
        <f t="shared" si="24"/>
        <v>3269.6760000000004</v>
      </c>
      <c r="K25" s="116">
        <f t="shared" si="24"/>
        <v>3465.8565600000006</v>
      </c>
    </row>
    <row r="26" spans="1:11" x14ac:dyDescent="0.3">
      <c r="A26" s="8">
        <v>24</v>
      </c>
      <c r="B26" s="9" t="s">
        <v>164</v>
      </c>
      <c r="C26" s="66">
        <v>2600</v>
      </c>
      <c r="D26" s="66"/>
      <c r="E26" s="66">
        <f t="shared" si="1"/>
        <v>520</v>
      </c>
      <c r="F26" s="66">
        <v>30</v>
      </c>
      <c r="G26" s="66"/>
      <c r="H26" s="66">
        <f t="shared" si="2"/>
        <v>3150</v>
      </c>
      <c r="I26" s="116">
        <f t="shared" ref="I26:K26" si="25">+H26*(1.06)</f>
        <v>3339</v>
      </c>
      <c r="J26" s="116">
        <f t="shared" si="25"/>
        <v>3539.34</v>
      </c>
      <c r="K26" s="116">
        <f t="shared" si="25"/>
        <v>3751.7004000000002</v>
      </c>
    </row>
    <row r="27" spans="1:11" x14ac:dyDescent="0.3">
      <c r="A27" s="8">
        <v>25</v>
      </c>
      <c r="B27" s="9" t="s">
        <v>165</v>
      </c>
      <c r="C27" s="66">
        <v>2300</v>
      </c>
      <c r="D27" s="66"/>
      <c r="E27" s="66">
        <f t="shared" si="1"/>
        <v>460</v>
      </c>
      <c r="F27" s="66">
        <v>30</v>
      </c>
      <c r="G27" s="66"/>
      <c r="H27" s="66">
        <f t="shared" si="2"/>
        <v>2790</v>
      </c>
      <c r="I27" s="116">
        <f t="shared" ref="I27:K27" si="26">+H27*(1.06)</f>
        <v>2957.4</v>
      </c>
      <c r="J27" s="116">
        <f t="shared" si="26"/>
        <v>3134.8440000000001</v>
      </c>
      <c r="K27" s="116">
        <f t="shared" si="26"/>
        <v>3322.9346400000004</v>
      </c>
    </row>
    <row r="28" spans="1:11" x14ac:dyDescent="0.3">
      <c r="A28" s="8">
        <v>26</v>
      </c>
      <c r="B28" s="9" t="s">
        <v>166</v>
      </c>
      <c r="C28" s="66">
        <v>2400</v>
      </c>
      <c r="D28" s="66"/>
      <c r="E28" s="66">
        <f t="shared" si="1"/>
        <v>480</v>
      </c>
      <c r="F28" s="66">
        <v>30</v>
      </c>
      <c r="G28" s="66"/>
      <c r="H28" s="66">
        <f t="shared" si="2"/>
        <v>2910</v>
      </c>
      <c r="I28" s="116">
        <f t="shared" ref="I28:K28" si="27">+H28*(1.06)</f>
        <v>3084.6000000000004</v>
      </c>
      <c r="J28" s="116">
        <f t="shared" si="27"/>
        <v>3269.6760000000004</v>
      </c>
      <c r="K28" s="116">
        <f t="shared" si="27"/>
        <v>3465.8565600000006</v>
      </c>
    </row>
    <row r="29" spans="1:11" x14ac:dyDescent="0.3">
      <c r="A29" s="8">
        <v>27</v>
      </c>
      <c r="B29" s="9" t="s">
        <v>167</v>
      </c>
      <c r="C29" s="66">
        <v>2500</v>
      </c>
      <c r="D29" s="66"/>
      <c r="E29" s="66">
        <f t="shared" si="1"/>
        <v>500</v>
      </c>
      <c r="F29" s="66">
        <v>30</v>
      </c>
      <c r="G29" s="66"/>
      <c r="H29" s="66">
        <f t="shared" si="2"/>
        <v>3030</v>
      </c>
      <c r="I29" s="116">
        <f t="shared" ref="I29:K29" si="28">+H29*(1.06)</f>
        <v>3211.8</v>
      </c>
      <c r="J29" s="116">
        <f t="shared" si="28"/>
        <v>3404.5080000000003</v>
      </c>
      <c r="K29" s="116">
        <f t="shared" si="28"/>
        <v>3608.7784800000004</v>
      </c>
    </row>
    <row r="30" spans="1:11" x14ac:dyDescent="0.3">
      <c r="A30" s="8">
        <v>28</v>
      </c>
      <c r="B30" s="9" t="s">
        <v>168</v>
      </c>
      <c r="C30" s="66">
        <v>2600</v>
      </c>
      <c r="D30" s="66"/>
      <c r="E30" s="66">
        <f t="shared" si="1"/>
        <v>520</v>
      </c>
      <c r="F30" s="66">
        <v>30</v>
      </c>
      <c r="G30" s="66"/>
      <c r="H30" s="66">
        <f t="shared" si="2"/>
        <v>3150</v>
      </c>
      <c r="I30" s="116">
        <f t="shared" ref="I30:K30" si="29">+H30*(1.06)</f>
        <v>3339</v>
      </c>
      <c r="J30" s="116">
        <f t="shared" si="29"/>
        <v>3539.34</v>
      </c>
      <c r="K30" s="116">
        <f t="shared" si="29"/>
        <v>3751.7004000000002</v>
      </c>
    </row>
    <row r="31" spans="1:11" x14ac:dyDescent="0.3">
      <c r="A31" s="8">
        <v>29</v>
      </c>
      <c r="B31" s="9" t="s">
        <v>169</v>
      </c>
      <c r="C31" s="66">
        <v>2200</v>
      </c>
      <c r="D31" s="66"/>
      <c r="E31" s="66">
        <f t="shared" si="1"/>
        <v>440</v>
      </c>
      <c r="F31" s="66">
        <v>20</v>
      </c>
      <c r="G31" s="66"/>
      <c r="H31" s="66">
        <f t="shared" si="2"/>
        <v>2660</v>
      </c>
      <c r="I31" s="116">
        <f t="shared" ref="I31:K31" si="30">+H31*(1.06)</f>
        <v>2819.6000000000004</v>
      </c>
      <c r="J31" s="116">
        <f t="shared" si="30"/>
        <v>2988.7760000000007</v>
      </c>
      <c r="K31" s="116">
        <f t="shared" si="30"/>
        <v>3168.1025600000012</v>
      </c>
    </row>
    <row r="32" spans="1:11" x14ac:dyDescent="0.3">
      <c r="A32" s="8">
        <v>30</v>
      </c>
      <c r="B32" s="9" t="s">
        <v>170</v>
      </c>
      <c r="C32" s="66">
        <v>2000</v>
      </c>
      <c r="D32" s="66"/>
      <c r="E32" s="66">
        <f t="shared" si="1"/>
        <v>400</v>
      </c>
      <c r="F32" s="66">
        <v>20</v>
      </c>
      <c r="G32" s="66"/>
      <c r="H32" s="66">
        <f t="shared" si="2"/>
        <v>2420</v>
      </c>
      <c r="I32" s="116">
        <f t="shared" ref="I32:K32" si="31">+H32*(1.06)</f>
        <v>2565.2000000000003</v>
      </c>
      <c r="J32" s="116">
        <f t="shared" si="31"/>
        <v>2719.1120000000005</v>
      </c>
      <c r="K32" s="116">
        <f t="shared" si="31"/>
        <v>2882.2587200000007</v>
      </c>
    </row>
    <row r="33" spans="1:13" x14ac:dyDescent="0.3">
      <c r="A33" s="8">
        <v>31</v>
      </c>
      <c r="B33" s="9" t="s">
        <v>171</v>
      </c>
      <c r="C33" s="66">
        <v>2300</v>
      </c>
      <c r="D33" s="66"/>
      <c r="E33" s="66">
        <f t="shared" si="1"/>
        <v>460</v>
      </c>
      <c r="F33" s="66">
        <v>20</v>
      </c>
      <c r="G33" s="66"/>
      <c r="H33" s="66">
        <f t="shared" si="2"/>
        <v>2780</v>
      </c>
      <c r="I33" s="116">
        <f t="shared" ref="I33:K33" si="32">+H33*(1.06)</f>
        <v>2946.8</v>
      </c>
      <c r="J33" s="116">
        <f t="shared" si="32"/>
        <v>3123.6080000000002</v>
      </c>
      <c r="K33" s="116">
        <f t="shared" si="32"/>
        <v>3311.0244800000005</v>
      </c>
    </row>
    <row r="34" spans="1:13" x14ac:dyDescent="0.3">
      <c r="A34" s="8">
        <v>32</v>
      </c>
      <c r="B34" s="9" t="s">
        <v>172</v>
      </c>
      <c r="C34" s="66">
        <v>2000</v>
      </c>
      <c r="D34" s="66"/>
      <c r="E34" s="66">
        <f t="shared" si="1"/>
        <v>400</v>
      </c>
      <c r="F34" s="66">
        <v>20</v>
      </c>
      <c r="G34" s="66"/>
      <c r="H34" s="66">
        <f t="shared" si="2"/>
        <v>2420</v>
      </c>
      <c r="I34" s="116">
        <f t="shared" ref="I34:K36" si="33">+H34*(1.06)</f>
        <v>2565.2000000000003</v>
      </c>
      <c r="J34" s="116">
        <f t="shared" si="33"/>
        <v>2719.1120000000005</v>
      </c>
      <c r="K34" s="116">
        <f t="shared" si="33"/>
        <v>2882.2587200000007</v>
      </c>
    </row>
    <row r="35" spans="1:13" x14ac:dyDescent="0.3">
      <c r="A35" s="8">
        <v>33</v>
      </c>
      <c r="B35" s="9" t="s">
        <v>225</v>
      </c>
      <c r="C35" s="66">
        <f>+C47</f>
        <v>3000</v>
      </c>
      <c r="D35" s="66"/>
      <c r="E35" s="66">
        <f>+F47</f>
        <v>600</v>
      </c>
      <c r="F35" s="66">
        <f>+H47</f>
        <v>30</v>
      </c>
      <c r="G35" s="66"/>
      <c r="H35" s="66">
        <f t="shared" si="2"/>
        <v>3630</v>
      </c>
      <c r="I35" s="116">
        <f t="shared" si="33"/>
        <v>3847.8</v>
      </c>
      <c r="J35" s="116">
        <f t="shared" si="33"/>
        <v>4078.6680000000006</v>
      </c>
      <c r="K35" s="116">
        <f t="shared" si="33"/>
        <v>4323.3880800000006</v>
      </c>
    </row>
    <row r="36" spans="1:13" x14ac:dyDescent="0.3">
      <c r="A36" s="8">
        <v>34</v>
      </c>
      <c r="B36" s="9" t="s">
        <v>226</v>
      </c>
      <c r="C36" s="66">
        <f>+C48</f>
        <v>2345.4545454545455</v>
      </c>
      <c r="D36" s="66"/>
      <c r="E36" s="66">
        <f>+F48</f>
        <v>469.09090909090907</v>
      </c>
      <c r="F36" s="66">
        <f>+H48</f>
        <v>26.363636363636363</v>
      </c>
      <c r="G36" s="66"/>
      <c r="H36" s="66">
        <f t="shared" si="2"/>
        <v>2840.909090909091</v>
      </c>
      <c r="I36" s="116">
        <f t="shared" si="33"/>
        <v>3011.3636363636365</v>
      </c>
      <c r="J36" s="116">
        <f t="shared" ref="J36:K36" si="34">+I36*(1.06)</f>
        <v>3192.045454545455</v>
      </c>
      <c r="K36" s="116">
        <f t="shared" si="34"/>
        <v>3383.5681818181824</v>
      </c>
    </row>
    <row r="37" spans="1:13" x14ac:dyDescent="0.3">
      <c r="A37" s="8">
        <v>35</v>
      </c>
      <c r="B37" s="9" t="s">
        <v>227</v>
      </c>
      <c r="C37" s="66">
        <f>+C48</f>
        <v>2345.4545454545455</v>
      </c>
      <c r="D37" s="66"/>
      <c r="E37" s="66">
        <f>+F48</f>
        <v>469.09090909090907</v>
      </c>
      <c r="F37" s="66">
        <f>+H48</f>
        <v>26.363636363636363</v>
      </c>
      <c r="G37" s="66"/>
      <c r="H37" s="66">
        <f t="shared" si="2"/>
        <v>2840.909090909091</v>
      </c>
      <c r="I37" s="116">
        <f>+H37*(1.06)</f>
        <v>3011.3636363636365</v>
      </c>
      <c r="J37" s="116">
        <f t="shared" ref="J37:K37" si="35">+I37*(1.06)</f>
        <v>3192.045454545455</v>
      </c>
      <c r="K37" s="116">
        <f t="shared" si="35"/>
        <v>3383.5681818181824</v>
      </c>
    </row>
    <row r="38" spans="1:13" x14ac:dyDescent="0.3">
      <c r="A38" s="8">
        <v>36</v>
      </c>
      <c r="B38" s="9" t="s">
        <v>228</v>
      </c>
      <c r="C38" s="66">
        <f>+C49</f>
        <v>4100</v>
      </c>
      <c r="D38" s="66"/>
      <c r="E38" s="66">
        <f>+F49</f>
        <v>820</v>
      </c>
      <c r="F38" s="66">
        <f>+H49</f>
        <v>30</v>
      </c>
      <c r="G38" s="66"/>
      <c r="H38" s="66">
        <f t="shared" si="2"/>
        <v>4950</v>
      </c>
      <c r="I38" s="116">
        <f>+H38*(1.06)</f>
        <v>5247</v>
      </c>
      <c r="J38" s="116">
        <f t="shared" ref="J38:K38" si="36">+I38*(1.06)</f>
        <v>5561.8200000000006</v>
      </c>
      <c r="K38" s="116">
        <f t="shared" si="36"/>
        <v>5895.5292000000009</v>
      </c>
    </row>
    <row r="39" spans="1:13" x14ac:dyDescent="0.3">
      <c r="A39" s="8">
        <v>37</v>
      </c>
      <c r="B39" s="9" t="s">
        <v>229</v>
      </c>
      <c r="C39" s="66">
        <f>+C50</f>
        <v>3914.2857142857142</v>
      </c>
      <c r="D39" s="66"/>
      <c r="E39" s="66">
        <f>+F50</f>
        <v>782.85714285714289</v>
      </c>
      <c r="F39" s="66">
        <f>+H50</f>
        <v>30.714285714285715</v>
      </c>
      <c r="G39" s="66"/>
      <c r="H39" s="66">
        <f t="shared" si="2"/>
        <v>4727.8571428571422</v>
      </c>
      <c r="I39" s="116">
        <f t="shared" ref="I39:J39" si="37">+H39*(1.06)</f>
        <v>5011.528571428571</v>
      </c>
      <c r="J39" s="116">
        <f t="shared" si="37"/>
        <v>5312.2202857142856</v>
      </c>
      <c r="K39" s="116">
        <f>+J39*(1.06)</f>
        <v>5630.9535028571427</v>
      </c>
    </row>
    <row r="40" spans="1:13" ht="15.75" thickBot="1" x14ac:dyDescent="0.35">
      <c r="A40" s="27"/>
      <c r="B40" s="36"/>
      <c r="C40" s="108">
        <f>+SUM(C3:C39)</f>
        <v>150405.19480519483</v>
      </c>
      <c r="D40" s="108">
        <f t="shared" ref="D40:K40" si="38">+SUM(D3:D39)</f>
        <v>0</v>
      </c>
      <c r="E40" s="108">
        <f t="shared" si="38"/>
        <v>30081.038961038957</v>
      </c>
      <c r="F40" s="108">
        <f t="shared" si="38"/>
        <v>1103.4415584415585</v>
      </c>
      <c r="G40" s="108">
        <f t="shared" si="38"/>
        <v>0</v>
      </c>
      <c r="H40" s="108">
        <f t="shared" si="38"/>
        <v>181589.67532467531</v>
      </c>
      <c r="I40" s="108">
        <f t="shared" si="38"/>
        <v>192485.05584415584</v>
      </c>
      <c r="J40" s="108">
        <f t="shared" si="38"/>
        <v>204034.15919480525</v>
      </c>
      <c r="K40" s="108">
        <f t="shared" si="38"/>
        <v>216276.20874649359</v>
      </c>
    </row>
    <row r="41" spans="1:13" ht="15.75" thickTop="1" x14ac:dyDescent="0.3">
      <c r="C41" s="66"/>
      <c r="D41" s="66"/>
      <c r="E41" s="66"/>
      <c r="F41" s="66"/>
      <c r="G41" s="66"/>
      <c r="H41" s="66"/>
      <c r="I41" s="66"/>
      <c r="J41" s="66"/>
      <c r="K41" s="66"/>
      <c r="M41" s="70"/>
    </row>
    <row r="42" spans="1:13" x14ac:dyDescent="0.3">
      <c r="I42" s="18"/>
      <c r="J42" s="18"/>
      <c r="K42" s="18"/>
    </row>
    <row r="43" spans="1:13" x14ac:dyDescent="0.3">
      <c r="I43" s="18"/>
      <c r="J43" s="18"/>
      <c r="K43" s="18"/>
    </row>
    <row r="44" spans="1:13" x14ac:dyDescent="0.3">
      <c r="A44" s="16" t="s">
        <v>132</v>
      </c>
      <c r="B44" s="38"/>
      <c r="C44" s="16"/>
      <c r="D44" s="16"/>
      <c r="E44" s="16"/>
      <c r="F44" s="16"/>
      <c r="G44" s="16"/>
      <c r="H44" s="16"/>
      <c r="I44" s="17">
        <f>-I40</f>
        <v>-192485.05584415584</v>
      </c>
      <c r="J44" s="17">
        <f>-J40</f>
        <v>-204034.15919480525</v>
      </c>
      <c r="K44" s="17">
        <f>-K40</f>
        <v>-216276.20874649359</v>
      </c>
    </row>
    <row r="46" spans="1:13" x14ac:dyDescent="0.3">
      <c r="C46" s="8" t="s">
        <v>233</v>
      </c>
      <c r="F46" s="8" t="s">
        <v>234</v>
      </c>
      <c r="I46" s="8" t="s">
        <v>235</v>
      </c>
    </row>
    <row r="47" spans="1:13" x14ac:dyDescent="0.3">
      <c r="B47" s="9" t="s">
        <v>161</v>
      </c>
      <c r="C47" s="170">
        <f>+C23</f>
        <v>3000</v>
      </c>
      <c r="F47" s="70">
        <f>+E23</f>
        <v>600</v>
      </c>
      <c r="H47" s="70">
        <f>+F23</f>
        <v>30</v>
      </c>
    </row>
    <row r="48" spans="1:13" x14ac:dyDescent="0.3">
      <c r="B48" s="9" t="s">
        <v>230</v>
      </c>
      <c r="C48" s="169">
        <f>+E48/D48</f>
        <v>2345.4545454545455</v>
      </c>
      <c r="D48" s="8">
        <v>11</v>
      </c>
      <c r="E48" s="70">
        <f>+SUM(C24:C34)</f>
        <v>25800</v>
      </c>
      <c r="F48" s="169">
        <f>+G48/D48</f>
        <v>469.09090909090907</v>
      </c>
      <c r="G48" s="70">
        <f t="shared" ref="G48" si="39">+SUM(E24:E34)</f>
        <v>5160</v>
      </c>
      <c r="H48" s="169">
        <f>+I48/D48</f>
        <v>26.363636363636363</v>
      </c>
      <c r="I48" s="70">
        <f>+SUM(F24:F34)</f>
        <v>290</v>
      </c>
    </row>
    <row r="49" spans="2:9" x14ac:dyDescent="0.3">
      <c r="B49" s="9" t="s">
        <v>231</v>
      </c>
      <c r="C49" s="152">
        <f>+E49/D49</f>
        <v>4100</v>
      </c>
      <c r="D49" s="8">
        <v>2</v>
      </c>
      <c r="E49" s="70">
        <f>+SUM(C17:C18)</f>
        <v>8200</v>
      </c>
      <c r="F49" s="169">
        <f t="shared" ref="F49:F50" si="40">+G49/D49</f>
        <v>820</v>
      </c>
      <c r="G49" s="70">
        <f t="shared" ref="G49" si="41">+SUM(E17:E18)</f>
        <v>1640</v>
      </c>
      <c r="H49" s="169">
        <f t="shared" ref="H49:H50" si="42">+I49/D49</f>
        <v>30</v>
      </c>
      <c r="I49" s="70">
        <f>+SUM(F17:F18)</f>
        <v>60</v>
      </c>
    </row>
    <row r="50" spans="2:9" x14ac:dyDescent="0.3">
      <c r="B50" s="9" t="s">
        <v>232</v>
      </c>
      <c r="C50" s="169">
        <f>+E50/D50</f>
        <v>3914.2857142857142</v>
      </c>
      <c r="D50" s="8">
        <v>7</v>
      </c>
      <c r="E50" s="70">
        <f>+SUM(C9:C15)</f>
        <v>27400</v>
      </c>
      <c r="F50" s="169">
        <f t="shared" si="40"/>
        <v>782.85714285714289</v>
      </c>
      <c r="G50" s="70">
        <f t="shared" ref="G50" si="43">+SUM(E9:E15)</f>
        <v>5480</v>
      </c>
      <c r="H50" s="169">
        <f t="shared" si="42"/>
        <v>30.714285714285715</v>
      </c>
      <c r="I50" s="70">
        <f>+SUM(F9:F15)</f>
        <v>215</v>
      </c>
    </row>
  </sheetData>
  <phoneticPr fontId="10" type="noConversion"/>
  <conditionalFormatting sqref="B1:B15 B19:B1048576">
    <cfRule type="duplicateValues" dxfId="3" priority="1"/>
    <cfRule type="duplicateValues" dxfId="2" priority="2"/>
  </conditionalFormatting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DD1A-E53C-4190-9004-39A0F44EF45E}">
  <sheetPr>
    <tabColor theme="5" tint="0.79998168889431442"/>
  </sheetPr>
  <dimension ref="A1:DC419"/>
  <sheetViews>
    <sheetView zoomScaleNormal="100" workbookViewId="0">
      <pane ySplit="1" topLeftCell="A2" activePane="bottomLeft" state="frozen"/>
      <selection pane="bottomLeft" activeCell="C7" sqref="C7"/>
    </sheetView>
  </sheetViews>
  <sheetFormatPr defaultColWidth="11" defaultRowHeight="15" x14ac:dyDescent="0.3"/>
  <cols>
    <col min="1" max="1" width="16.5" style="1" customWidth="1"/>
    <col min="2" max="8" width="11" style="1"/>
    <col min="9" max="107" width="11" style="8"/>
    <col min="108" max="16384" width="11" style="1"/>
  </cols>
  <sheetData>
    <row r="1" spans="1:8" x14ac:dyDescent="0.3">
      <c r="A1" s="3" t="s">
        <v>178</v>
      </c>
      <c r="B1" s="3"/>
      <c r="C1" s="5" t="s">
        <v>4</v>
      </c>
      <c r="D1" s="5" t="s">
        <v>5</v>
      </c>
      <c r="E1" s="5" t="s">
        <v>6</v>
      </c>
      <c r="F1" s="28" t="s">
        <v>7</v>
      </c>
      <c r="G1" s="28" t="s">
        <v>8</v>
      </c>
      <c r="H1" s="29" t="s">
        <v>9</v>
      </c>
    </row>
    <row r="2" spans="1:8" s="8" customFormat="1" ht="5.0999999999999996" customHeight="1" x14ac:dyDescent="0.3"/>
    <row r="3" spans="1:8" s="8" customFormat="1" x14ac:dyDescent="0.3">
      <c r="A3" s="8" t="s">
        <v>179</v>
      </c>
      <c r="B3" s="18"/>
      <c r="C3" s="18">
        <f>+SUM(PnL!C4:C21)+PnL!C24+PnL!C25</f>
        <v>909.5</v>
      </c>
      <c r="D3" s="18">
        <f>+SUM(PnL!D4:D21)+PnL!D24+PnL!D25</f>
        <v>861.52523041474706</v>
      </c>
      <c r="E3" s="18">
        <f>+SUM(PnL!E4:E21)+PnL!E24+PnL!E25</f>
        <v>1288.3071428571429</v>
      </c>
      <c r="F3" s="18">
        <f>+SUM(PnL!J4:J21)+PnL!J24+PnL!J25</f>
        <v>658.31795250348387</v>
      </c>
      <c r="G3" s="18">
        <f>+SUM(PnL!K4:K21)+PnL!K24+PnL!K25</f>
        <v>1034.7794780897621</v>
      </c>
      <c r="H3" s="18">
        <f>+SUM(PnL!L4:L21)+PnL!L24+PnL!L25</f>
        <v>1025.2954446064759</v>
      </c>
    </row>
    <row r="4" spans="1:8" s="8" customFormat="1" x14ac:dyDescent="0.3">
      <c r="A4" s="8" t="s">
        <v>180</v>
      </c>
      <c r="B4" s="18"/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</row>
    <row r="5" spans="1:8" s="8" customFormat="1" x14ac:dyDescent="0.3">
      <c r="A5" s="59" t="s">
        <v>78</v>
      </c>
      <c r="B5" s="60"/>
      <c r="C5" s="60">
        <f t="shared" ref="C5:H5" si="0">+C3+C4</f>
        <v>909.5</v>
      </c>
      <c r="D5" s="60">
        <f t="shared" si="0"/>
        <v>861.52523041474706</v>
      </c>
      <c r="E5" s="60">
        <f t="shared" si="0"/>
        <v>1288.3071428571429</v>
      </c>
      <c r="F5" s="60">
        <f t="shared" si="0"/>
        <v>658.31795250348387</v>
      </c>
      <c r="G5" s="60">
        <f t="shared" si="0"/>
        <v>1034.7794780897621</v>
      </c>
      <c r="H5" s="60">
        <f t="shared" si="0"/>
        <v>1025.2954446064759</v>
      </c>
    </row>
    <row r="6" spans="1:8" s="8" customFormat="1" x14ac:dyDescent="0.3">
      <c r="B6" s="18"/>
      <c r="C6" s="18"/>
      <c r="D6" s="18"/>
      <c r="E6" s="18"/>
      <c r="F6" s="18"/>
      <c r="G6" s="18"/>
      <c r="H6" s="18"/>
    </row>
    <row r="7" spans="1:8" s="8" customFormat="1" x14ac:dyDescent="0.3">
      <c r="A7" s="8" t="s">
        <v>181</v>
      </c>
      <c r="B7" s="18"/>
      <c r="C7" s="18">
        <f>+C5*0.15</f>
        <v>136.42499999999998</v>
      </c>
      <c r="D7" s="18">
        <f t="shared" ref="D7:H7" si="1">+D5*0.15</f>
        <v>129.22878456221204</v>
      </c>
      <c r="E7" s="18">
        <f t="shared" si="1"/>
        <v>193.24607142857144</v>
      </c>
      <c r="F7" s="18">
        <f t="shared" si="1"/>
        <v>98.747692875522574</v>
      </c>
      <c r="G7" s="18">
        <f t="shared" si="1"/>
        <v>155.2169217134643</v>
      </c>
      <c r="H7" s="18">
        <f t="shared" si="1"/>
        <v>153.79431669097139</v>
      </c>
    </row>
    <row r="8" spans="1:8" s="8" customFormat="1" x14ac:dyDescent="0.3">
      <c r="A8" s="8" t="s">
        <v>182</v>
      </c>
      <c r="B8" s="18"/>
      <c r="C8" s="18">
        <f>+C7*0.055</f>
        <v>7.5033749999999992</v>
      </c>
      <c r="D8" s="18">
        <f t="shared" ref="D8:H8" si="2">+D7*0.055</f>
        <v>7.1075831509216627</v>
      </c>
      <c r="E8" s="18">
        <f t="shared" si="2"/>
        <v>10.628533928571429</v>
      </c>
      <c r="F8" s="18">
        <f t="shared" si="2"/>
        <v>5.4311231081537414</v>
      </c>
      <c r="G8" s="18">
        <f t="shared" si="2"/>
        <v>8.536930694240537</v>
      </c>
      <c r="H8" s="18">
        <f t="shared" si="2"/>
        <v>8.4586874180034268</v>
      </c>
    </row>
    <row r="9" spans="1:8" s="8" customFormat="1" x14ac:dyDescent="0.3">
      <c r="B9" s="18"/>
      <c r="C9" s="18"/>
      <c r="D9" s="18"/>
      <c r="E9" s="18"/>
      <c r="F9" s="18"/>
      <c r="G9" s="18"/>
      <c r="H9" s="18"/>
    </row>
    <row r="10" spans="1:8" s="8" customFormat="1" x14ac:dyDescent="0.3">
      <c r="B10" s="18"/>
      <c r="C10" s="18"/>
      <c r="D10" s="18"/>
      <c r="E10" s="18"/>
      <c r="F10" s="18"/>
      <c r="G10" s="18"/>
      <c r="H10" s="18"/>
    </row>
    <row r="11" spans="1:8" s="8" customFormat="1" x14ac:dyDescent="0.3">
      <c r="A11" s="8" t="s">
        <v>183</v>
      </c>
      <c r="B11" s="18"/>
      <c r="C11" s="18">
        <f t="shared" ref="C11:H11" si="3">+C5</f>
        <v>909.5</v>
      </c>
      <c r="D11" s="18">
        <f t="shared" si="3"/>
        <v>861.52523041474706</v>
      </c>
      <c r="E11" s="18">
        <f t="shared" si="3"/>
        <v>1288.3071428571429</v>
      </c>
      <c r="F11" s="18">
        <f t="shared" si="3"/>
        <v>658.31795250348387</v>
      </c>
      <c r="G11" s="18">
        <f t="shared" si="3"/>
        <v>1034.7794780897621</v>
      </c>
      <c r="H11" s="18">
        <f t="shared" si="3"/>
        <v>1025.2954446064759</v>
      </c>
    </row>
    <row r="12" spans="1:8" s="8" customFormat="1" x14ac:dyDescent="0.3">
      <c r="A12" s="8" t="s">
        <v>184</v>
      </c>
      <c r="B12" s="18"/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</row>
    <row r="13" spans="1:8" s="8" customFormat="1" x14ac:dyDescent="0.3">
      <c r="A13" s="59" t="s">
        <v>78</v>
      </c>
      <c r="B13" s="60"/>
      <c r="C13" s="60">
        <f t="shared" ref="C13" si="4">+C11+C12</f>
        <v>909.5</v>
      </c>
      <c r="D13" s="60">
        <f t="shared" ref="D13" si="5">+D11+D12</f>
        <v>861.52523041474706</v>
      </c>
      <c r="E13" s="60">
        <f t="shared" ref="E13" si="6">+E11+E12</f>
        <v>1288.3071428571429</v>
      </c>
      <c r="F13" s="60">
        <f t="shared" ref="F13" si="7">+F11+F12</f>
        <v>658.31795250348387</v>
      </c>
      <c r="G13" s="60">
        <f t="shared" ref="G13" si="8">+G11+G12</f>
        <v>1034.7794780897621</v>
      </c>
      <c r="H13" s="60">
        <f t="shared" ref="H13" si="9">+H11+H12</f>
        <v>1025.2954446064759</v>
      </c>
    </row>
    <row r="14" spans="1:8" s="8" customFormat="1" x14ac:dyDescent="0.3">
      <c r="B14" s="18"/>
      <c r="C14" s="18"/>
      <c r="D14" s="18"/>
      <c r="E14" s="18"/>
      <c r="F14" s="18"/>
      <c r="G14" s="18"/>
      <c r="H14" s="18"/>
    </row>
    <row r="15" spans="1:8" s="8" customFormat="1" x14ac:dyDescent="0.3">
      <c r="B15" s="18"/>
      <c r="C15" s="18"/>
      <c r="D15" s="18"/>
      <c r="E15" s="18"/>
      <c r="F15" s="18"/>
      <c r="G15" s="18"/>
      <c r="H15" s="18"/>
    </row>
    <row r="16" spans="1:8" s="8" customFormat="1" x14ac:dyDescent="0.3">
      <c r="A16" s="8" t="s">
        <v>185</v>
      </c>
      <c r="B16" s="18"/>
      <c r="C16" s="18">
        <f>+C13*3.5%*280%</f>
        <v>89.131</v>
      </c>
      <c r="D16" s="18">
        <f t="shared" ref="D16:E16" si="10">+D13*3.5%*280%</f>
        <v>84.429472580645211</v>
      </c>
      <c r="E16" s="18">
        <f t="shared" si="10"/>
        <v>126.25410000000001</v>
      </c>
      <c r="F16" s="18">
        <f t="shared" ref="F16:H16" si="11">+F13*3.5%*250%</f>
        <v>57.602820844054847</v>
      </c>
      <c r="G16" s="18">
        <f t="shared" si="11"/>
        <v>90.543204332854188</v>
      </c>
      <c r="H16" s="18">
        <f t="shared" si="11"/>
        <v>89.713351403066653</v>
      </c>
    </row>
    <row r="17" spans="1:8" s="8" customFormat="1" x14ac:dyDescent="0.3">
      <c r="B17" s="18"/>
      <c r="C17" s="18"/>
      <c r="D17" s="18"/>
      <c r="E17" s="18"/>
      <c r="F17" s="18"/>
      <c r="G17" s="18"/>
      <c r="H17" s="18"/>
    </row>
    <row r="18" spans="1:8" s="8" customFormat="1" x14ac:dyDescent="0.3">
      <c r="B18" s="18"/>
      <c r="C18" s="18"/>
      <c r="D18" s="18"/>
      <c r="E18" s="18"/>
      <c r="F18" s="18"/>
      <c r="G18" s="18"/>
      <c r="H18" s="18"/>
    </row>
    <row r="19" spans="1:8" x14ac:dyDescent="0.3">
      <c r="A19" s="16" t="s">
        <v>139</v>
      </c>
      <c r="B19" s="17"/>
      <c r="C19" s="17">
        <f t="shared" ref="C19:H19" si="12">+C16+C8+C7</f>
        <v>233.05937499999999</v>
      </c>
      <c r="D19" s="17">
        <f t="shared" si="12"/>
        <v>220.76584029377892</v>
      </c>
      <c r="E19" s="17">
        <f t="shared" si="12"/>
        <v>330.12870535714285</v>
      </c>
      <c r="F19" s="17">
        <f t="shared" si="12"/>
        <v>161.78163682773118</v>
      </c>
      <c r="G19" s="17">
        <f t="shared" si="12"/>
        <v>254.29705674055901</v>
      </c>
      <c r="H19" s="17">
        <f t="shared" si="12"/>
        <v>251.96635551204145</v>
      </c>
    </row>
    <row r="20" spans="1:8" s="8" customFormat="1" x14ac:dyDescent="0.3">
      <c r="B20" s="18"/>
      <c r="C20" s="18"/>
      <c r="D20" s="18"/>
      <c r="E20" s="18"/>
      <c r="F20" s="18"/>
      <c r="G20" s="18"/>
      <c r="H20" s="18"/>
    </row>
    <row r="21" spans="1:8" s="8" customFormat="1" x14ac:dyDescent="0.3">
      <c r="A21" s="11" t="s">
        <v>11</v>
      </c>
      <c r="B21" s="18"/>
      <c r="C21" s="18">
        <f>+C19+PnL!C22</f>
        <v>179.375</v>
      </c>
      <c r="D21" s="18">
        <f>+D19+PnL!D22</f>
        <v>-82.768750000000011</v>
      </c>
      <c r="E21" s="18">
        <f>+E19+PnL!E22</f>
        <v>-41</v>
      </c>
      <c r="F21" s="18"/>
      <c r="G21" s="18"/>
      <c r="H21" s="18"/>
    </row>
    <row r="22" spans="1:8" s="8" customFormat="1" x14ac:dyDescent="0.3">
      <c r="B22" s="18"/>
      <c r="C22" s="18"/>
      <c r="D22" s="18"/>
      <c r="E22" s="18"/>
      <c r="F22" s="18"/>
      <c r="G22" s="18"/>
      <c r="H22" s="18"/>
    </row>
    <row r="23" spans="1:8" s="8" customFormat="1" x14ac:dyDescent="0.3">
      <c r="B23" s="18"/>
      <c r="C23" s="18"/>
      <c r="D23" s="18"/>
      <c r="E23" s="18"/>
      <c r="F23" s="18"/>
      <c r="G23" s="18"/>
      <c r="H23" s="18"/>
    </row>
    <row r="24" spans="1:8" s="8" customFormat="1" x14ac:dyDescent="0.3"/>
    <row r="25" spans="1:8" s="8" customFormat="1" x14ac:dyDescent="0.3"/>
    <row r="26" spans="1:8" s="8" customFormat="1" x14ac:dyDescent="0.3"/>
    <row r="27" spans="1:8" s="8" customFormat="1" x14ac:dyDescent="0.3"/>
    <row r="28" spans="1:8" s="8" customFormat="1" x14ac:dyDescent="0.3"/>
    <row r="29" spans="1:8" s="8" customFormat="1" x14ac:dyDescent="0.3"/>
    <row r="30" spans="1:8" s="8" customFormat="1" x14ac:dyDescent="0.3"/>
    <row r="31" spans="1:8" s="8" customFormat="1" x14ac:dyDescent="0.3"/>
    <row r="32" spans="1:8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  <row r="54" s="8" customFormat="1" x14ac:dyDescent="0.3"/>
    <row r="55" s="8" customFormat="1" x14ac:dyDescent="0.3"/>
    <row r="56" s="8" customFormat="1" x14ac:dyDescent="0.3"/>
    <row r="57" s="8" customFormat="1" x14ac:dyDescent="0.3"/>
    <row r="58" s="8" customFormat="1" x14ac:dyDescent="0.3"/>
    <row r="59" s="8" customFormat="1" x14ac:dyDescent="0.3"/>
    <row r="60" s="8" customFormat="1" x14ac:dyDescent="0.3"/>
    <row r="61" s="8" customFormat="1" x14ac:dyDescent="0.3"/>
    <row r="62" s="8" customFormat="1" x14ac:dyDescent="0.3"/>
    <row r="63" s="8" customFormat="1" x14ac:dyDescent="0.3"/>
    <row r="64" s="8" customFormat="1" x14ac:dyDescent="0.3"/>
    <row r="65" s="8" customFormat="1" x14ac:dyDescent="0.3"/>
    <row r="66" s="8" customFormat="1" x14ac:dyDescent="0.3"/>
    <row r="67" s="8" customFormat="1" x14ac:dyDescent="0.3"/>
    <row r="68" s="8" customFormat="1" x14ac:dyDescent="0.3"/>
    <row r="69" s="8" customFormat="1" x14ac:dyDescent="0.3"/>
    <row r="70" s="8" customFormat="1" x14ac:dyDescent="0.3"/>
    <row r="71" s="8" customFormat="1" x14ac:dyDescent="0.3"/>
    <row r="72" s="8" customFormat="1" x14ac:dyDescent="0.3"/>
    <row r="73" s="8" customFormat="1" x14ac:dyDescent="0.3"/>
    <row r="74" s="8" customFormat="1" x14ac:dyDescent="0.3"/>
    <row r="75" s="8" customFormat="1" x14ac:dyDescent="0.3"/>
    <row r="76" s="8" customFormat="1" x14ac:dyDescent="0.3"/>
    <row r="77" s="8" customFormat="1" x14ac:dyDescent="0.3"/>
    <row r="78" s="8" customFormat="1" x14ac:dyDescent="0.3"/>
    <row r="79" s="8" customFormat="1" x14ac:dyDescent="0.3"/>
    <row r="80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  <row r="119" s="8" customFormat="1" x14ac:dyDescent="0.3"/>
    <row r="120" s="8" customFormat="1" x14ac:dyDescent="0.3"/>
    <row r="121" s="8" customFormat="1" x14ac:dyDescent="0.3"/>
    <row r="122" s="8" customFormat="1" x14ac:dyDescent="0.3"/>
    <row r="123" s="8" customFormat="1" x14ac:dyDescent="0.3"/>
    <row r="124" s="8" customFormat="1" x14ac:dyDescent="0.3"/>
    <row r="125" s="8" customFormat="1" x14ac:dyDescent="0.3"/>
    <row r="126" s="8" customFormat="1" x14ac:dyDescent="0.3"/>
    <row r="127" s="8" customFormat="1" x14ac:dyDescent="0.3"/>
    <row r="128" s="8" customFormat="1" x14ac:dyDescent="0.3"/>
    <row r="129" s="8" customFormat="1" x14ac:dyDescent="0.3"/>
    <row r="130" s="8" customFormat="1" x14ac:dyDescent="0.3"/>
    <row r="131" s="8" customFormat="1" x14ac:dyDescent="0.3"/>
    <row r="132" s="8" customFormat="1" x14ac:dyDescent="0.3"/>
    <row r="133" s="8" customFormat="1" x14ac:dyDescent="0.3"/>
    <row r="134" s="8" customFormat="1" x14ac:dyDescent="0.3"/>
    <row r="135" s="8" customFormat="1" x14ac:dyDescent="0.3"/>
    <row r="136" s="8" customFormat="1" x14ac:dyDescent="0.3"/>
    <row r="137" s="8" customFormat="1" x14ac:dyDescent="0.3"/>
    <row r="138" s="8" customFormat="1" x14ac:dyDescent="0.3"/>
    <row r="139" s="8" customFormat="1" x14ac:dyDescent="0.3"/>
    <row r="140" s="8" customFormat="1" x14ac:dyDescent="0.3"/>
    <row r="141" s="8" customFormat="1" x14ac:dyDescent="0.3"/>
    <row r="142" s="8" customFormat="1" x14ac:dyDescent="0.3"/>
    <row r="143" s="8" customFormat="1" x14ac:dyDescent="0.3"/>
    <row r="144" s="8" customFormat="1" x14ac:dyDescent="0.3"/>
    <row r="145" s="8" customFormat="1" x14ac:dyDescent="0.3"/>
    <row r="146" s="8" customFormat="1" x14ac:dyDescent="0.3"/>
    <row r="147" s="8" customFormat="1" x14ac:dyDescent="0.3"/>
    <row r="148" s="8" customFormat="1" x14ac:dyDescent="0.3"/>
    <row r="149" s="8" customFormat="1" x14ac:dyDescent="0.3"/>
    <row r="150" s="8" customFormat="1" x14ac:dyDescent="0.3"/>
    <row r="151" s="8" customFormat="1" x14ac:dyDescent="0.3"/>
    <row r="152" s="8" customFormat="1" x14ac:dyDescent="0.3"/>
    <row r="153" s="8" customFormat="1" x14ac:dyDescent="0.3"/>
    <row r="154" s="8" customFormat="1" x14ac:dyDescent="0.3"/>
    <row r="155" s="8" customFormat="1" x14ac:dyDescent="0.3"/>
    <row r="156" s="8" customFormat="1" x14ac:dyDescent="0.3"/>
    <row r="157" s="8" customFormat="1" x14ac:dyDescent="0.3"/>
    <row r="158" s="8" customFormat="1" x14ac:dyDescent="0.3"/>
    <row r="159" s="8" customFormat="1" x14ac:dyDescent="0.3"/>
    <row r="160" s="8" customFormat="1" x14ac:dyDescent="0.3"/>
    <row r="161" s="8" customFormat="1" x14ac:dyDescent="0.3"/>
    <row r="162" s="8" customFormat="1" x14ac:dyDescent="0.3"/>
    <row r="163" s="8" customFormat="1" x14ac:dyDescent="0.3"/>
    <row r="164" s="8" customFormat="1" x14ac:dyDescent="0.3"/>
    <row r="165" s="8" customFormat="1" x14ac:dyDescent="0.3"/>
    <row r="166" s="8" customFormat="1" x14ac:dyDescent="0.3"/>
    <row r="167" s="8" customFormat="1" x14ac:dyDescent="0.3"/>
    <row r="168" s="8" customFormat="1" x14ac:dyDescent="0.3"/>
    <row r="169" s="8" customFormat="1" x14ac:dyDescent="0.3"/>
    <row r="170" s="8" customFormat="1" x14ac:dyDescent="0.3"/>
    <row r="171" s="8" customFormat="1" x14ac:dyDescent="0.3"/>
    <row r="172" s="8" customFormat="1" x14ac:dyDescent="0.3"/>
    <row r="173" s="8" customFormat="1" x14ac:dyDescent="0.3"/>
    <row r="174" s="8" customFormat="1" x14ac:dyDescent="0.3"/>
    <row r="175" s="8" customFormat="1" x14ac:dyDescent="0.3"/>
    <row r="176" s="8" customFormat="1" x14ac:dyDescent="0.3"/>
    <row r="177" s="8" customFormat="1" x14ac:dyDescent="0.3"/>
    <row r="178" s="8" customFormat="1" x14ac:dyDescent="0.3"/>
    <row r="179" s="8" customFormat="1" x14ac:dyDescent="0.3"/>
    <row r="180" s="8" customFormat="1" x14ac:dyDescent="0.3"/>
    <row r="181" s="8" customFormat="1" x14ac:dyDescent="0.3"/>
    <row r="182" s="8" customFormat="1" x14ac:dyDescent="0.3"/>
    <row r="183" s="8" customFormat="1" x14ac:dyDescent="0.3"/>
    <row r="184" s="8" customFormat="1" x14ac:dyDescent="0.3"/>
    <row r="185" s="8" customFormat="1" x14ac:dyDescent="0.3"/>
    <row r="186" s="8" customFormat="1" x14ac:dyDescent="0.3"/>
    <row r="187" s="8" customFormat="1" x14ac:dyDescent="0.3"/>
    <row r="188" s="8" customFormat="1" x14ac:dyDescent="0.3"/>
    <row r="189" s="8" customFormat="1" x14ac:dyDescent="0.3"/>
    <row r="190" s="8" customFormat="1" x14ac:dyDescent="0.3"/>
    <row r="191" s="8" customFormat="1" x14ac:dyDescent="0.3"/>
    <row r="192" s="8" customFormat="1" x14ac:dyDescent="0.3"/>
    <row r="193" s="8" customFormat="1" x14ac:dyDescent="0.3"/>
    <row r="194" s="8" customFormat="1" x14ac:dyDescent="0.3"/>
    <row r="195" s="8" customFormat="1" x14ac:dyDescent="0.3"/>
    <row r="196" s="8" customFormat="1" x14ac:dyDescent="0.3"/>
    <row r="197" s="8" customFormat="1" x14ac:dyDescent="0.3"/>
    <row r="198" s="8" customFormat="1" x14ac:dyDescent="0.3"/>
    <row r="199" s="8" customFormat="1" x14ac:dyDescent="0.3"/>
    <row r="200" s="8" customFormat="1" x14ac:dyDescent="0.3"/>
    <row r="201" s="8" customFormat="1" x14ac:dyDescent="0.3"/>
    <row r="202" s="8" customFormat="1" x14ac:dyDescent="0.3"/>
    <row r="203" s="8" customFormat="1" x14ac:dyDescent="0.3"/>
    <row r="204" s="8" customFormat="1" x14ac:dyDescent="0.3"/>
    <row r="205" s="8" customFormat="1" x14ac:dyDescent="0.3"/>
    <row r="206" s="8" customFormat="1" x14ac:dyDescent="0.3"/>
    <row r="207" s="8" customFormat="1" x14ac:dyDescent="0.3"/>
    <row r="208" s="8" customFormat="1" x14ac:dyDescent="0.3"/>
    <row r="209" s="8" customFormat="1" x14ac:dyDescent="0.3"/>
    <row r="210" s="8" customFormat="1" x14ac:dyDescent="0.3"/>
    <row r="211" s="8" customFormat="1" x14ac:dyDescent="0.3"/>
    <row r="212" s="8" customFormat="1" x14ac:dyDescent="0.3"/>
    <row r="213" s="8" customFormat="1" x14ac:dyDescent="0.3"/>
    <row r="214" s="8" customFormat="1" x14ac:dyDescent="0.3"/>
    <row r="215" s="8" customFormat="1" x14ac:dyDescent="0.3"/>
    <row r="216" s="8" customFormat="1" x14ac:dyDescent="0.3"/>
    <row r="217" s="8" customFormat="1" x14ac:dyDescent="0.3"/>
    <row r="218" s="8" customFormat="1" x14ac:dyDescent="0.3"/>
    <row r="219" s="8" customFormat="1" x14ac:dyDescent="0.3"/>
    <row r="220" s="8" customFormat="1" x14ac:dyDescent="0.3"/>
    <row r="221" s="8" customFormat="1" x14ac:dyDescent="0.3"/>
    <row r="222" s="8" customFormat="1" x14ac:dyDescent="0.3"/>
    <row r="223" s="8" customFormat="1" x14ac:dyDescent="0.3"/>
    <row r="224" s="8" customFormat="1" x14ac:dyDescent="0.3"/>
    <row r="225" s="8" customFormat="1" x14ac:dyDescent="0.3"/>
    <row r="226" s="8" customFormat="1" x14ac:dyDescent="0.3"/>
    <row r="227" s="8" customFormat="1" x14ac:dyDescent="0.3"/>
    <row r="228" s="8" customFormat="1" x14ac:dyDescent="0.3"/>
    <row r="229" s="8" customFormat="1" x14ac:dyDescent="0.3"/>
    <row r="230" s="8" customFormat="1" x14ac:dyDescent="0.3"/>
    <row r="231" s="8" customFormat="1" x14ac:dyDescent="0.3"/>
    <row r="232" s="8" customFormat="1" x14ac:dyDescent="0.3"/>
    <row r="233" s="8" customFormat="1" x14ac:dyDescent="0.3"/>
    <row r="234" s="8" customFormat="1" x14ac:dyDescent="0.3"/>
    <row r="235" s="8" customFormat="1" x14ac:dyDescent="0.3"/>
    <row r="236" s="8" customFormat="1" x14ac:dyDescent="0.3"/>
    <row r="237" s="8" customFormat="1" x14ac:dyDescent="0.3"/>
    <row r="238" s="8" customFormat="1" x14ac:dyDescent="0.3"/>
    <row r="239" s="8" customFormat="1" x14ac:dyDescent="0.3"/>
    <row r="240" s="8" customFormat="1" x14ac:dyDescent="0.3"/>
    <row r="241" s="8" customFormat="1" x14ac:dyDescent="0.3"/>
    <row r="242" s="8" customFormat="1" x14ac:dyDescent="0.3"/>
    <row r="243" s="8" customFormat="1" x14ac:dyDescent="0.3"/>
    <row r="244" s="8" customFormat="1" x14ac:dyDescent="0.3"/>
    <row r="245" s="8" customFormat="1" x14ac:dyDescent="0.3"/>
    <row r="246" s="8" customFormat="1" x14ac:dyDescent="0.3"/>
    <row r="247" s="8" customFormat="1" x14ac:dyDescent="0.3"/>
    <row r="248" s="8" customFormat="1" x14ac:dyDescent="0.3"/>
    <row r="249" s="8" customFormat="1" x14ac:dyDescent="0.3"/>
    <row r="250" s="8" customFormat="1" x14ac:dyDescent="0.3"/>
    <row r="251" s="8" customFormat="1" x14ac:dyDescent="0.3"/>
    <row r="252" s="8" customFormat="1" x14ac:dyDescent="0.3"/>
    <row r="253" s="8" customFormat="1" x14ac:dyDescent="0.3"/>
    <row r="254" s="8" customFormat="1" x14ac:dyDescent="0.3"/>
    <row r="255" s="8" customFormat="1" x14ac:dyDescent="0.3"/>
    <row r="256" s="8" customFormat="1" x14ac:dyDescent="0.3"/>
    <row r="257" s="8" customFormat="1" x14ac:dyDescent="0.3"/>
    <row r="258" s="8" customFormat="1" x14ac:dyDescent="0.3"/>
    <row r="259" s="8" customFormat="1" x14ac:dyDescent="0.3"/>
    <row r="260" s="8" customFormat="1" x14ac:dyDescent="0.3"/>
    <row r="261" s="8" customFormat="1" x14ac:dyDescent="0.3"/>
    <row r="262" s="8" customFormat="1" x14ac:dyDescent="0.3"/>
    <row r="263" s="8" customFormat="1" x14ac:dyDescent="0.3"/>
    <row r="264" s="8" customFormat="1" x14ac:dyDescent="0.3"/>
    <row r="265" s="8" customFormat="1" x14ac:dyDescent="0.3"/>
    <row r="266" s="8" customFormat="1" x14ac:dyDescent="0.3"/>
    <row r="267" s="8" customFormat="1" x14ac:dyDescent="0.3"/>
    <row r="268" s="8" customFormat="1" x14ac:dyDescent="0.3"/>
    <row r="269" s="8" customFormat="1" x14ac:dyDescent="0.3"/>
    <row r="270" s="8" customFormat="1" x14ac:dyDescent="0.3"/>
    <row r="271" s="8" customFormat="1" x14ac:dyDescent="0.3"/>
    <row r="272" s="8" customFormat="1" x14ac:dyDescent="0.3"/>
    <row r="273" s="8" customFormat="1" x14ac:dyDescent="0.3"/>
    <row r="274" s="8" customFormat="1" x14ac:dyDescent="0.3"/>
    <row r="275" s="8" customFormat="1" x14ac:dyDescent="0.3"/>
    <row r="276" s="8" customFormat="1" x14ac:dyDescent="0.3"/>
    <row r="277" s="8" customFormat="1" x14ac:dyDescent="0.3"/>
    <row r="278" s="8" customFormat="1" x14ac:dyDescent="0.3"/>
    <row r="279" s="8" customFormat="1" x14ac:dyDescent="0.3"/>
    <row r="280" s="8" customFormat="1" x14ac:dyDescent="0.3"/>
    <row r="281" s="8" customFormat="1" x14ac:dyDescent="0.3"/>
    <row r="282" s="8" customFormat="1" x14ac:dyDescent="0.3"/>
    <row r="283" s="8" customFormat="1" x14ac:dyDescent="0.3"/>
    <row r="284" s="8" customFormat="1" x14ac:dyDescent="0.3"/>
    <row r="285" s="8" customFormat="1" x14ac:dyDescent="0.3"/>
    <row r="286" s="8" customFormat="1" x14ac:dyDescent="0.3"/>
    <row r="287" s="8" customFormat="1" x14ac:dyDescent="0.3"/>
    <row r="288" s="8" customFormat="1" x14ac:dyDescent="0.3"/>
    <row r="289" s="8" customFormat="1" x14ac:dyDescent="0.3"/>
    <row r="290" s="8" customFormat="1" x14ac:dyDescent="0.3"/>
    <row r="291" s="8" customFormat="1" x14ac:dyDescent="0.3"/>
    <row r="292" s="8" customFormat="1" x14ac:dyDescent="0.3"/>
    <row r="293" s="8" customFormat="1" x14ac:dyDescent="0.3"/>
    <row r="294" s="8" customFormat="1" x14ac:dyDescent="0.3"/>
    <row r="295" s="8" customFormat="1" x14ac:dyDescent="0.3"/>
    <row r="296" s="8" customFormat="1" x14ac:dyDescent="0.3"/>
    <row r="297" s="8" customFormat="1" x14ac:dyDescent="0.3"/>
    <row r="298" s="8" customFormat="1" x14ac:dyDescent="0.3"/>
    <row r="299" s="8" customFormat="1" x14ac:dyDescent="0.3"/>
    <row r="300" s="8" customFormat="1" x14ac:dyDescent="0.3"/>
    <row r="301" s="8" customFormat="1" x14ac:dyDescent="0.3"/>
    <row r="302" s="8" customFormat="1" x14ac:dyDescent="0.3"/>
    <row r="303" s="8" customFormat="1" x14ac:dyDescent="0.3"/>
    <row r="304" s="8" customFormat="1" x14ac:dyDescent="0.3"/>
    <row r="305" s="8" customFormat="1" x14ac:dyDescent="0.3"/>
    <row r="306" s="8" customFormat="1" x14ac:dyDescent="0.3"/>
    <row r="307" s="8" customFormat="1" x14ac:dyDescent="0.3"/>
    <row r="308" s="8" customFormat="1" x14ac:dyDescent="0.3"/>
    <row r="309" s="8" customFormat="1" x14ac:dyDescent="0.3"/>
    <row r="310" s="8" customFormat="1" x14ac:dyDescent="0.3"/>
    <row r="311" s="8" customFormat="1" x14ac:dyDescent="0.3"/>
    <row r="312" s="8" customFormat="1" x14ac:dyDescent="0.3"/>
    <row r="313" s="8" customFormat="1" x14ac:dyDescent="0.3"/>
    <row r="314" s="8" customFormat="1" x14ac:dyDescent="0.3"/>
    <row r="315" s="8" customFormat="1" x14ac:dyDescent="0.3"/>
    <row r="316" s="8" customFormat="1" x14ac:dyDescent="0.3"/>
    <row r="317" s="8" customFormat="1" x14ac:dyDescent="0.3"/>
    <row r="318" s="8" customFormat="1" x14ac:dyDescent="0.3"/>
    <row r="319" s="8" customFormat="1" x14ac:dyDescent="0.3"/>
    <row r="320" s="8" customFormat="1" x14ac:dyDescent="0.3"/>
    <row r="321" s="8" customFormat="1" x14ac:dyDescent="0.3"/>
    <row r="322" s="8" customFormat="1" x14ac:dyDescent="0.3"/>
    <row r="323" s="8" customFormat="1" x14ac:dyDescent="0.3"/>
    <row r="324" s="8" customFormat="1" x14ac:dyDescent="0.3"/>
    <row r="325" s="8" customFormat="1" x14ac:dyDescent="0.3"/>
    <row r="326" s="8" customFormat="1" x14ac:dyDescent="0.3"/>
    <row r="327" s="8" customFormat="1" x14ac:dyDescent="0.3"/>
    <row r="328" s="8" customFormat="1" x14ac:dyDescent="0.3"/>
    <row r="329" s="8" customFormat="1" x14ac:dyDescent="0.3"/>
    <row r="330" s="8" customFormat="1" x14ac:dyDescent="0.3"/>
    <row r="331" s="8" customFormat="1" x14ac:dyDescent="0.3"/>
    <row r="332" s="8" customFormat="1" x14ac:dyDescent="0.3"/>
    <row r="333" s="8" customFormat="1" x14ac:dyDescent="0.3"/>
    <row r="334" s="8" customFormat="1" x14ac:dyDescent="0.3"/>
    <row r="335" s="8" customFormat="1" x14ac:dyDescent="0.3"/>
    <row r="336" s="8" customFormat="1" x14ac:dyDescent="0.3"/>
    <row r="337" s="8" customFormat="1" x14ac:dyDescent="0.3"/>
    <row r="338" s="8" customFormat="1" x14ac:dyDescent="0.3"/>
    <row r="339" s="8" customFormat="1" x14ac:dyDescent="0.3"/>
    <row r="340" s="8" customFormat="1" x14ac:dyDescent="0.3"/>
    <row r="341" s="8" customFormat="1" x14ac:dyDescent="0.3"/>
    <row r="342" s="8" customFormat="1" x14ac:dyDescent="0.3"/>
    <row r="343" s="8" customFormat="1" x14ac:dyDescent="0.3"/>
    <row r="344" s="8" customFormat="1" x14ac:dyDescent="0.3"/>
    <row r="345" s="8" customFormat="1" x14ac:dyDescent="0.3"/>
    <row r="346" s="8" customFormat="1" x14ac:dyDescent="0.3"/>
    <row r="347" s="8" customFormat="1" x14ac:dyDescent="0.3"/>
    <row r="348" s="8" customFormat="1" x14ac:dyDescent="0.3"/>
    <row r="349" s="8" customFormat="1" x14ac:dyDescent="0.3"/>
    <row r="350" s="8" customFormat="1" x14ac:dyDescent="0.3"/>
    <row r="351" s="8" customFormat="1" x14ac:dyDescent="0.3"/>
    <row r="352" s="8" customFormat="1" x14ac:dyDescent="0.3"/>
    <row r="353" s="8" customFormat="1" x14ac:dyDescent="0.3"/>
    <row r="354" s="8" customFormat="1" x14ac:dyDescent="0.3"/>
    <row r="355" s="8" customFormat="1" x14ac:dyDescent="0.3"/>
    <row r="356" s="8" customFormat="1" x14ac:dyDescent="0.3"/>
    <row r="357" s="8" customFormat="1" x14ac:dyDescent="0.3"/>
    <row r="358" s="8" customFormat="1" x14ac:dyDescent="0.3"/>
    <row r="359" s="8" customFormat="1" x14ac:dyDescent="0.3"/>
    <row r="360" s="8" customFormat="1" x14ac:dyDescent="0.3"/>
    <row r="361" s="8" customFormat="1" x14ac:dyDescent="0.3"/>
    <row r="362" s="8" customFormat="1" x14ac:dyDescent="0.3"/>
    <row r="363" s="8" customFormat="1" x14ac:dyDescent="0.3"/>
    <row r="364" s="8" customFormat="1" x14ac:dyDescent="0.3"/>
    <row r="365" s="8" customFormat="1" x14ac:dyDescent="0.3"/>
    <row r="366" s="8" customFormat="1" x14ac:dyDescent="0.3"/>
    <row r="367" s="8" customFormat="1" x14ac:dyDescent="0.3"/>
    <row r="368" s="8" customFormat="1" x14ac:dyDescent="0.3"/>
    <row r="369" s="8" customFormat="1" x14ac:dyDescent="0.3"/>
    <row r="370" s="8" customFormat="1" x14ac:dyDescent="0.3"/>
    <row r="371" s="8" customFormat="1" x14ac:dyDescent="0.3"/>
    <row r="372" s="8" customFormat="1" x14ac:dyDescent="0.3"/>
    <row r="373" s="8" customFormat="1" x14ac:dyDescent="0.3"/>
    <row r="374" s="8" customFormat="1" x14ac:dyDescent="0.3"/>
    <row r="375" s="8" customFormat="1" x14ac:dyDescent="0.3"/>
    <row r="376" s="8" customFormat="1" x14ac:dyDescent="0.3"/>
    <row r="377" s="8" customFormat="1" x14ac:dyDescent="0.3"/>
    <row r="378" s="8" customFormat="1" x14ac:dyDescent="0.3"/>
    <row r="379" s="8" customFormat="1" x14ac:dyDescent="0.3"/>
    <row r="380" s="8" customFormat="1" x14ac:dyDescent="0.3"/>
    <row r="381" s="8" customFormat="1" x14ac:dyDescent="0.3"/>
    <row r="382" s="8" customFormat="1" x14ac:dyDescent="0.3"/>
    <row r="383" s="8" customFormat="1" x14ac:dyDescent="0.3"/>
    <row r="384" s="8" customFormat="1" x14ac:dyDescent="0.3"/>
    <row r="385" s="8" customFormat="1" x14ac:dyDescent="0.3"/>
    <row r="386" s="8" customFormat="1" x14ac:dyDescent="0.3"/>
    <row r="387" s="8" customFormat="1" x14ac:dyDescent="0.3"/>
    <row r="388" s="8" customFormat="1" x14ac:dyDescent="0.3"/>
    <row r="389" s="8" customFormat="1" x14ac:dyDescent="0.3"/>
    <row r="390" s="8" customFormat="1" x14ac:dyDescent="0.3"/>
    <row r="391" s="8" customFormat="1" x14ac:dyDescent="0.3"/>
    <row r="392" s="8" customFormat="1" x14ac:dyDescent="0.3"/>
    <row r="393" s="8" customFormat="1" x14ac:dyDescent="0.3"/>
    <row r="394" s="8" customFormat="1" x14ac:dyDescent="0.3"/>
    <row r="395" s="8" customFormat="1" x14ac:dyDescent="0.3"/>
    <row r="396" s="8" customFormat="1" x14ac:dyDescent="0.3"/>
    <row r="397" s="8" customFormat="1" x14ac:dyDescent="0.3"/>
    <row r="398" s="8" customFormat="1" x14ac:dyDescent="0.3"/>
    <row r="399" s="8" customFormat="1" x14ac:dyDescent="0.3"/>
    <row r="400" s="8" customFormat="1" x14ac:dyDescent="0.3"/>
    <row r="401" s="8" customFormat="1" x14ac:dyDescent="0.3"/>
    <row r="402" s="8" customFormat="1" x14ac:dyDescent="0.3"/>
    <row r="403" s="8" customFormat="1" x14ac:dyDescent="0.3"/>
    <row r="404" s="8" customFormat="1" x14ac:dyDescent="0.3"/>
    <row r="405" s="8" customFormat="1" x14ac:dyDescent="0.3"/>
    <row r="406" s="8" customFormat="1" x14ac:dyDescent="0.3"/>
    <row r="407" s="8" customFormat="1" x14ac:dyDescent="0.3"/>
    <row r="408" s="8" customFormat="1" x14ac:dyDescent="0.3"/>
    <row r="409" s="8" customFormat="1" x14ac:dyDescent="0.3"/>
    <row r="410" s="8" customFormat="1" x14ac:dyDescent="0.3"/>
    <row r="411" s="8" customFormat="1" x14ac:dyDescent="0.3"/>
    <row r="412" s="8" customFormat="1" x14ac:dyDescent="0.3"/>
    <row r="413" s="8" customFormat="1" x14ac:dyDescent="0.3"/>
    <row r="414" s="8" customFormat="1" x14ac:dyDescent="0.3"/>
    <row r="415" s="8" customFormat="1" x14ac:dyDescent="0.3"/>
    <row r="416" s="8" customFormat="1" x14ac:dyDescent="0.3"/>
    <row r="417" s="8" customFormat="1" x14ac:dyDescent="0.3"/>
    <row r="418" s="8" customFormat="1" x14ac:dyDescent="0.3"/>
    <row r="419" s="8" customFormat="1" x14ac:dyDescent="0.3"/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85B8-789B-4765-9B13-74FDBD377B1E}">
  <dimension ref="C1"/>
  <sheetViews>
    <sheetView zoomScaleNormal="100" workbookViewId="0"/>
  </sheetViews>
  <sheetFormatPr defaultColWidth="11" defaultRowHeight="15" x14ac:dyDescent="0.3"/>
  <cols>
    <col min="1" max="16384" width="11" style="1"/>
  </cols>
  <sheetData>
    <row r="1" spans="3:3" x14ac:dyDescent="0.3">
      <c r="C1" s="2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63E4-1C1E-4F8F-B492-EE05E150D1EC}">
  <sheetPr>
    <tabColor rgb="FF0070C0"/>
  </sheetPr>
  <dimension ref="B1:C2"/>
  <sheetViews>
    <sheetView showGridLines="0" zoomScaleNormal="100" workbookViewId="0"/>
  </sheetViews>
  <sheetFormatPr defaultColWidth="11" defaultRowHeight="15" x14ac:dyDescent="0.3"/>
  <cols>
    <col min="1" max="16384" width="11" style="1"/>
  </cols>
  <sheetData>
    <row r="1" spans="2:3" x14ac:dyDescent="0.3">
      <c r="C1" s="2"/>
    </row>
    <row r="2" spans="2:3" ht="18.75" x14ac:dyDescent="0.3">
      <c r="B2" s="125" t="s">
        <v>186</v>
      </c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46D8-C44A-48D9-83FB-59D20544E6B2}">
  <sheetPr>
    <tabColor theme="7"/>
  </sheetPr>
  <dimension ref="A1:BB416"/>
  <sheetViews>
    <sheetView showGridLines="0" zoomScaleNormal="100" workbookViewId="0">
      <pane ySplit="2" topLeftCell="A3" activePane="bottomLeft" state="frozen"/>
      <selection activeCell="F4" sqref="F4:H25"/>
      <selection pane="bottomLeft" activeCell="C27" sqref="C27:C28"/>
    </sheetView>
  </sheetViews>
  <sheetFormatPr defaultColWidth="11" defaultRowHeight="15" x14ac:dyDescent="0.3"/>
  <cols>
    <col min="1" max="1" width="5.5" style="1" customWidth="1"/>
    <col min="2" max="2" width="22.625" style="4" customWidth="1"/>
    <col min="3" max="8" width="11" style="1"/>
    <col min="9" max="54" width="11" style="8"/>
    <col min="55" max="16384" width="11" style="1"/>
  </cols>
  <sheetData>
    <row r="1" spans="1:12" x14ac:dyDescent="0.3">
      <c r="C1" s="1" t="s">
        <v>2</v>
      </c>
    </row>
    <row r="2" spans="1:12" x14ac:dyDescent="0.3">
      <c r="A2" s="3" t="s">
        <v>3</v>
      </c>
      <c r="B2" s="50"/>
      <c r="C2" s="5" t="s">
        <v>4</v>
      </c>
      <c r="D2" s="5" t="s">
        <v>5</v>
      </c>
      <c r="E2" s="5" t="s">
        <v>6</v>
      </c>
      <c r="F2" s="7" t="s">
        <v>7</v>
      </c>
      <c r="G2" s="7" t="s">
        <v>8</v>
      </c>
      <c r="H2" s="7" t="s">
        <v>9</v>
      </c>
    </row>
    <row r="3" spans="1:12" ht="5.0999999999999996" customHeight="1" x14ac:dyDescent="0.3">
      <c r="A3" s="8"/>
      <c r="B3" s="8"/>
      <c r="C3" s="8"/>
      <c r="D3" s="8"/>
      <c r="E3" s="8"/>
      <c r="F3" s="8"/>
      <c r="G3" s="8"/>
      <c r="H3" s="8"/>
    </row>
    <row r="4" spans="1:12" x14ac:dyDescent="0.3">
      <c r="A4" s="268" t="s">
        <v>10</v>
      </c>
      <c r="B4" s="268"/>
      <c r="C4" s="243">
        <f>BS!H4</f>
        <v>60</v>
      </c>
      <c r="D4" s="243">
        <f>BS!I4</f>
        <v>600</v>
      </c>
      <c r="E4" s="243">
        <f>BS!J4</f>
        <v>525</v>
      </c>
      <c r="F4" s="229"/>
      <c r="G4" s="229"/>
      <c r="H4" s="229"/>
      <c r="L4" s="18"/>
    </row>
    <row r="5" spans="1:12" x14ac:dyDescent="0.3">
      <c r="A5" s="268"/>
      <c r="B5" s="268"/>
      <c r="C5" s="243"/>
      <c r="D5" s="243"/>
      <c r="E5" s="243"/>
      <c r="F5" s="230"/>
      <c r="G5" s="230"/>
      <c r="H5" s="230"/>
      <c r="L5" s="18"/>
    </row>
    <row r="6" spans="1:12" x14ac:dyDescent="0.3">
      <c r="A6" s="268" t="s">
        <v>12</v>
      </c>
      <c r="B6" s="268"/>
      <c r="C6" s="243">
        <f>BS!H6</f>
        <v>1185</v>
      </c>
      <c r="D6" s="243">
        <f>BS!I6</f>
        <v>1435</v>
      </c>
      <c r="E6" s="243">
        <f>BS!J6</f>
        <v>1276.9295449578756</v>
      </c>
      <c r="F6" s="229"/>
      <c r="G6" s="229"/>
      <c r="H6" s="229"/>
      <c r="K6" s="18"/>
      <c r="L6" s="18"/>
    </row>
    <row r="7" spans="1:12" x14ac:dyDescent="0.3">
      <c r="A7" s="268"/>
      <c r="B7" s="268"/>
      <c r="C7" s="243"/>
      <c r="D7" s="243"/>
      <c r="E7" s="243"/>
      <c r="F7" s="230"/>
      <c r="G7" s="230"/>
      <c r="H7" s="230"/>
      <c r="J7" s="18"/>
      <c r="K7" s="18"/>
      <c r="L7" s="18"/>
    </row>
    <row r="8" spans="1:12" x14ac:dyDescent="0.3">
      <c r="A8" s="268" t="s">
        <v>13</v>
      </c>
      <c r="B8" s="268"/>
      <c r="C8" s="243">
        <f>BS!H8</f>
        <v>50</v>
      </c>
      <c r="D8" s="243">
        <f>BS!I8</f>
        <v>50</v>
      </c>
      <c r="E8" s="243">
        <f>BS!J8</f>
        <v>50</v>
      </c>
      <c r="F8" s="229"/>
      <c r="G8" s="229"/>
      <c r="H8" s="229"/>
      <c r="J8" s="18"/>
      <c r="K8" s="18"/>
      <c r="L8" s="18"/>
    </row>
    <row r="9" spans="1:12" x14ac:dyDescent="0.3">
      <c r="A9" s="268"/>
      <c r="B9" s="268"/>
      <c r="C9" s="243"/>
      <c r="D9" s="243"/>
      <c r="E9" s="243"/>
      <c r="F9" s="230"/>
      <c r="G9" s="230"/>
      <c r="H9" s="230"/>
      <c r="J9" s="18"/>
      <c r="K9" s="18"/>
      <c r="L9" s="18"/>
    </row>
    <row r="10" spans="1:12" x14ac:dyDescent="0.3">
      <c r="A10" s="268" t="s">
        <v>14</v>
      </c>
      <c r="B10" s="268"/>
      <c r="C10" s="243">
        <f>BS!H10</f>
        <v>340</v>
      </c>
      <c r="D10" s="243">
        <f>BS!I10</f>
        <v>360</v>
      </c>
      <c r="E10" s="243">
        <f>BS!J10</f>
        <v>355</v>
      </c>
      <c r="F10" s="229"/>
      <c r="G10" s="229"/>
      <c r="H10" s="229"/>
      <c r="J10" s="18"/>
      <c r="L10" s="18"/>
    </row>
    <row r="11" spans="1:12" x14ac:dyDescent="0.3">
      <c r="A11" s="268"/>
      <c r="B11" s="268"/>
      <c r="C11" s="243"/>
      <c r="D11" s="243"/>
      <c r="E11" s="243"/>
      <c r="F11" s="230"/>
      <c r="G11" s="230"/>
      <c r="H11" s="230"/>
      <c r="L11" s="18"/>
    </row>
    <row r="12" spans="1:12" x14ac:dyDescent="0.3">
      <c r="A12" s="268" t="s">
        <v>15</v>
      </c>
      <c r="B12" s="268"/>
      <c r="C12" s="243">
        <f>BS!H12</f>
        <v>631.66666666666663</v>
      </c>
      <c r="D12" s="243">
        <f>BS!I12</f>
        <v>690</v>
      </c>
      <c r="E12" s="243">
        <f>BS!J12</f>
        <v>736.23875396375399</v>
      </c>
      <c r="F12" s="229"/>
      <c r="G12" s="229"/>
      <c r="H12" s="229"/>
      <c r="L12" s="18"/>
    </row>
    <row r="13" spans="1:12" x14ac:dyDescent="0.3">
      <c r="A13" s="268"/>
      <c r="B13" s="268"/>
      <c r="C13" s="243"/>
      <c r="D13" s="243"/>
      <c r="E13" s="243"/>
      <c r="F13" s="230"/>
      <c r="G13" s="230"/>
      <c r="H13" s="230"/>
      <c r="L13" s="18"/>
    </row>
    <row r="14" spans="1:12" x14ac:dyDescent="0.3">
      <c r="A14" s="268" t="s">
        <v>16</v>
      </c>
      <c r="B14" s="268"/>
      <c r="C14" s="243">
        <f>BS!H14</f>
        <v>40</v>
      </c>
      <c r="D14" s="243">
        <f>BS!I14</f>
        <v>50</v>
      </c>
      <c r="E14" s="243">
        <f>BS!J14</f>
        <v>60</v>
      </c>
      <c r="F14" s="229"/>
      <c r="G14" s="229"/>
      <c r="H14" s="229"/>
      <c r="K14" s="18"/>
      <c r="L14" s="18"/>
    </row>
    <row r="15" spans="1:12" x14ac:dyDescent="0.3">
      <c r="A15" s="268"/>
      <c r="B15" s="268"/>
      <c r="C15" s="243"/>
      <c r="D15" s="243"/>
      <c r="E15" s="243"/>
      <c r="F15" s="230"/>
      <c r="G15" s="230"/>
      <c r="H15" s="230"/>
      <c r="L15" s="18"/>
    </row>
    <row r="16" spans="1:12" x14ac:dyDescent="0.3">
      <c r="A16" s="268" t="s">
        <v>17</v>
      </c>
      <c r="B16" s="268"/>
      <c r="C16" s="243">
        <f>BS!H16</f>
        <v>1004.3618970814139</v>
      </c>
      <c r="D16" s="243">
        <f>BS!I16</f>
        <v>365.33570660522332</v>
      </c>
      <c r="E16" s="243">
        <f>BS!J16</f>
        <v>984.29996420713826</v>
      </c>
      <c r="F16" s="237">
        <f>'CFR (2)'!D63</f>
        <v>1782.538718170892</v>
      </c>
      <c r="G16" s="239">
        <f>'CFR (2)'!E63</f>
        <v>1782.538718170892</v>
      </c>
      <c r="H16" s="241">
        <f>'CFR (2)'!F63</f>
        <v>1782.538718170892</v>
      </c>
      <c r="I16" s="228" t="s">
        <v>18</v>
      </c>
      <c r="L16" s="18"/>
    </row>
    <row r="17" spans="1:13" x14ac:dyDescent="0.3">
      <c r="A17" s="268"/>
      <c r="B17" s="268"/>
      <c r="C17" s="243"/>
      <c r="D17" s="243"/>
      <c r="E17" s="243"/>
      <c r="F17" s="238"/>
      <c r="G17" s="240"/>
      <c r="H17" s="242"/>
      <c r="I17" s="228"/>
      <c r="K17" s="66"/>
      <c r="L17" s="66"/>
      <c r="M17" s="66"/>
    </row>
    <row r="18" spans="1:13" s="8" customFormat="1" x14ac:dyDescent="0.3">
      <c r="A18" s="268" t="s">
        <v>19</v>
      </c>
      <c r="B18" s="268"/>
      <c r="C18" s="243">
        <f>BS!H18</f>
        <v>10</v>
      </c>
      <c r="D18" s="243">
        <f>BS!I18</f>
        <v>10</v>
      </c>
      <c r="E18" s="243">
        <f>BS!J18</f>
        <v>10</v>
      </c>
      <c r="F18" s="229"/>
      <c r="G18" s="229"/>
      <c r="H18" s="229"/>
      <c r="L18" s="18"/>
    </row>
    <row r="19" spans="1:13" s="8" customFormat="1" x14ac:dyDescent="0.3">
      <c r="A19" s="268"/>
      <c r="B19" s="268"/>
      <c r="C19" s="243"/>
      <c r="D19" s="243"/>
      <c r="E19" s="243"/>
      <c r="F19" s="230"/>
      <c r="G19" s="230"/>
      <c r="H19" s="230"/>
      <c r="L19" s="18"/>
    </row>
    <row r="20" spans="1:13" s="8" customFormat="1" x14ac:dyDescent="0.3">
      <c r="A20" s="34" t="s">
        <v>20</v>
      </c>
      <c r="B20" s="35"/>
      <c r="C20" s="84">
        <f>+SUM(C4:C19)</f>
        <v>3321.0285637480802</v>
      </c>
      <c r="D20" s="84">
        <f t="shared" ref="D20:H20" si="0">+SUM(D4:D19)</f>
        <v>3560.3357066052231</v>
      </c>
      <c r="E20" s="84">
        <f t="shared" si="0"/>
        <v>3997.4682631287678</v>
      </c>
      <c r="F20" s="84">
        <f t="shared" si="0"/>
        <v>1782.538718170892</v>
      </c>
      <c r="G20" s="84">
        <f t="shared" si="0"/>
        <v>1782.538718170892</v>
      </c>
      <c r="H20" s="84">
        <f t="shared" si="0"/>
        <v>1782.538718170892</v>
      </c>
      <c r="J20" s="18"/>
      <c r="K20" s="18"/>
      <c r="L20" s="18"/>
    </row>
    <row r="21" spans="1:13" s="8" customFormat="1" ht="5.0999999999999996" customHeight="1" x14ac:dyDescent="0.3">
      <c r="B21" s="11"/>
      <c r="C21" s="85"/>
      <c r="D21" s="85"/>
      <c r="E21" s="85"/>
      <c r="F21" s="66"/>
      <c r="G21" s="66"/>
      <c r="H21" s="66"/>
      <c r="L21" s="18"/>
    </row>
    <row r="22" spans="1:13" s="8" customFormat="1" x14ac:dyDescent="0.3">
      <c r="A22" s="8" t="s">
        <v>21</v>
      </c>
      <c r="B22" s="11"/>
      <c r="C22" s="66">
        <f>BS!H22</f>
        <v>-25</v>
      </c>
      <c r="D22" s="66">
        <f>BS!I22</f>
        <v>-25</v>
      </c>
      <c r="E22" s="66">
        <f>BS!J22</f>
        <v>-25</v>
      </c>
      <c r="F22" s="86">
        <f>E22</f>
        <v>-25</v>
      </c>
      <c r="G22" s="87">
        <f t="shared" ref="G22:H22" si="1">F22</f>
        <v>-25</v>
      </c>
      <c r="H22" s="88">
        <f t="shared" si="1"/>
        <v>-25</v>
      </c>
      <c r="I22" s="11" t="s">
        <v>18</v>
      </c>
      <c r="L22" s="18"/>
    </row>
    <row r="23" spans="1:13" s="8" customFormat="1" x14ac:dyDescent="0.3">
      <c r="A23" s="268" t="s">
        <v>22</v>
      </c>
      <c r="B23" s="268"/>
      <c r="C23" s="243">
        <f>BS!H23</f>
        <v>-1322.440625</v>
      </c>
      <c r="D23" s="243">
        <f>BS!I23</f>
        <v>-1963.2000151209679</v>
      </c>
      <c r="E23" s="243">
        <f>BS!J23</f>
        <v>-2921.3784526209683</v>
      </c>
      <c r="F23" s="231">
        <f>E23+E25</f>
        <v>-3409.4649297954347</v>
      </c>
      <c r="G23" s="233">
        <f t="shared" ref="G23:H23" si="2">F23+F25</f>
        <v>-3409.4649297954347</v>
      </c>
      <c r="H23" s="235">
        <f t="shared" si="2"/>
        <v>-3409.4649297954347</v>
      </c>
      <c r="I23" s="228" t="s">
        <v>18</v>
      </c>
      <c r="L23" s="18"/>
    </row>
    <row r="24" spans="1:13" s="8" customFormat="1" x14ac:dyDescent="0.3">
      <c r="A24" s="268"/>
      <c r="B24" s="268"/>
      <c r="C24" s="243"/>
      <c r="D24" s="243"/>
      <c r="E24" s="243"/>
      <c r="F24" s="231"/>
      <c r="G24" s="233"/>
      <c r="H24" s="235"/>
      <c r="I24" s="228"/>
      <c r="L24" s="18"/>
    </row>
    <row r="25" spans="1:13" s="8" customFormat="1" x14ac:dyDescent="0.3">
      <c r="A25" s="268" t="s">
        <v>23</v>
      </c>
      <c r="B25" s="268"/>
      <c r="C25" s="243">
        <f>BS!H25</f>
        <v>-640.75939012096819</v>
      </c>
      <c r="D25" s="243">
        <f>BS!I25</f>
        <v>-958.1784375000002</v>
      </c>
      <c r="E25" s="243">
        <f>BS!J25</f>
        <v>-488.08647717446615</v>
      </c>
      <c r="F25" s="231">
        <f>-'PnL (2)'!F26</f>
        <v>0</v>
      </c>
      <c r="G25" s="233">
        <f>-'PnL (2)'!G26</f>
        <v>0</v>
      </c>
      <c r="H25" s="235">
        <f>-'PnL (2)'!H26</f>
        <v>0</v>
      </c>
      <c r="I25" s="228" t="s">
        <v>18</v>
      </c>
      <c r="L25" s="18"/>
    </row>
    <row r="26" spans="1:13" s="8" customFormat="1" x14ac:dyDescent="0.3">
      <c r="A26" s="268"/>
      <c r="B26" s="268"/>
      <c r="C26" s="243"/>
      <c r="D26" s="243"/>
      <c r="E26" s="243"/>
      <c r="F26" s="231"/>
      <c r="G26" s="233"/>
      <c r="H26" s="235"/>
      <c r="I26" s="228"/>
      <c r="L26" s="18"/>
    </row>
    <row r="27" spans="1:13" s="8" customFormat="1" x14ac:dyDescent="0.3">
      <c r="A27" s="268" t="s">
        <v>24</v>
      </c>
      <c r="B27" s="268"/>
      <c r="C27" s="243">
        <f>BS!H27</f>
        <v>-197.82521529377891</v>
      </c>
      <c r="D27" s="243">
        <f>BS!I27</f>
        <v>-283.95392065092176</v>
      </c>
      <c r="E27" s="243">
        <f>BS!J27</f>
        <v>-200</v>
      </c>
      <c r="F27" s="266">
        <f>IF(SUM('PnL (2)'!F4:F21)&lt;0,MIN(0,E27+SUM('PnL (2)'!F4:F21)*-0.25625+'PnL (2)'!F24),MAX(-200,'PnL (2)'!F22+'BS (2)'!E27+'PnL (2)'!F24))</f>
        <v>-200</v>
      </c>
      <c r="G27" s="267">
        <f>IF(SUM('PnL (2)'!G4:G21)&lt;0,MIN(0,F27+SUM('PnL (2)'!G4:G21)*-0.25625+'PnL (2)'!G24),MAX(-200,'PnL (2)'!G22+'BS (2)'!F27+'PnL (2)'!G24))</f>
        <v>-200</v>
      </c>
      <c r="H27" s="265">
        <f>IF(SUM('PnL (2)'!H4:H21)&lt;0,MIN(0,G27+SUM('PnL (2)'!H4:H21)*-0.25625+'PnL (2)'!H24),MAX(-200,'PnL (2)'!H22+'BS (2)'!G27+'PnL (2)'!H24))</f>
        <v>-200</v>
      </c>
      <c r="I27" s="228" t="s">
        <v>18</v>
      </c>
      <c r="L27" s="18"/>
    </row>
    <row r="28" spans="1:13" s="8" customFormat="1" x14ac:dyDescent="0.3">
      <c r="A28" s="268"/>
      <c r="B28" s="268"/>
      <c r="C28" s="243"/>
      <c r="D28" s="243"/>
      <c r="E28" s="243"/>
      <c r="F28" s="232"/>
      <c r="G28" s="234"/>
      <c r="H28" s="236"/>
      <c r="I28" s="228"/>
      <c r="L28" s="18"/>
    </row>
    <row r="29" spans="1:13" s="8" customFormat="1" x14ac:dyDescent="0.3">
      <c r="A29" s="268" t="s">
        <v>25</v>
      </c>
      <c r="B29" s="268"/>
      <c r="C29" s="243">
        <f>BS!H29</f>
        <v>-250</v>
      </c>
      <c r="D29" s="243">
        <f>BS!I29</f>
        <v>-60</v>
      </c>
      <c r="E29" s="243">
        <f>BS!J29</f>
        <v>-60</v>
      </c>
      <c r="F29" s="229"/>
      <c r="G29" s="229"/>
      <c r="H29" s="229"/>
      <c r="L29" s="18"/>
    </row>
    <row r="30" spans="1:13" s="8" customFormat="1" x14ac:dyDescent="0.3">
      <c r="A30" s="268"/>
      <c r="B30" s="268"/>
      <c r="C30" s="243"/>
      <c r="D30" s="243"/>
      <c r="E30" s="243"/>
      <c r="F30" s="230"/>
      <c r="G30" s="230"/>
      <c r="H30" s="230"/>
      <c r="L30" s="18"/>
    </row>
    <row r="31" spans="1:13" s="8" customFormat="1" x14ac:dyDescent="0.3">
      <c r="A31" s="268" t="s">
        <v>26</v>
      </c>
      <c r="B31" s="268"/>
      <c r="C31" s="243">
        <f>BS!H31</f>
        <v>-40</v>
      </c>
      <c r="D31" s="243">
        <f>BS!I31</f>
        <v>-20</v>
      </c>
      <c r="E31" s="243">
        <f>BS!J31</f>
        <v>-20</v>
      </c>
      <c r="F31" s="229"/>
      <c r="G31" s="229"/>
      <c r="H31" s="229"/>
      <c r="L31" s="18"/>
    </row>
    <row r="32" spans="1:13" s="8" customFormat="1" x14ac:dyDescent="0.3">
      <c r="A32" s="268"/>
      <c r="B32" s="268"/>
      <c r="C32" s="243"/>
      <c r="D32" s="243"/>
      <c r="E32" s="243"/>
      <c r="F32" s="230"/>
      <c r="G32" s="230"/>
      <c r="H32" s="230"/>
      <c r="J32" s="18"/>
      <c r="L32" s="18"/>
    </row>
    <row r="33" spans="1:12" s="8" customFormat="1" x14ac:dyDescent="0.3">
      <c r="A33" s="268" t="s">
        <v>27</v>
      </c>
      <c r="B33" s="268"/>
      <c r="C33" s="243">
        <f>BS!H33</f>
        <v>-245</v>
      </c>
      <c r="D33" s="243">
        <f>BS!I33</f>
        <v>-250</v>
      </c>
      <c r="E33" s="243">
        <f>BS!J33</f>
        <v>-283</v>
      </c>
      <c r="F33" s="229"/>
      <c r="G33" s="229"/>
      <c r="H33" s="229"/>
      <c r="L33" s="18"/>
    </row>
    <row r="34" spans="1:12" s="8" customFormat="1" x14ac:dyDescent="0.3">
      <c r="A34" s="268"/>
      <c r="B34" s="268"/>
      <c r="C34" s="243"/>
      <c r="D34" s="243"/>
      <c r="E34" s="243"/>
      <c r="F34" s="230"/>
      <c r="G34" s="230"/>
      <c r="H34" s="230"/>
      <c r="L34" s="18"/>
    </row>
    <row r="35" spans="1:12" s="8" customFormat="1" x14ac:dyDescent="0.3">
      <c r="A35" s="268" t="s">
        <v>28</v>
      </c>
      <c r="B35" s="268"/>
      <c r="C35" s="243">
        <f>BS!H35</f>
        <v>-600</v>
      </c>
      <c r="D35" s="243">
        <f>BS!I35</f>
        <v>0</v>
      </c>
      <c r="E35" s="243">
        <f>BS!J35</f>
        <v>0</v>
      </c>
      <c r="F35" s="229"/>
      <c r="G35" s="229"/>
      <c r="H35" s="229"/>
      <c r="L35" s="18"/>
    </row>
    <row r="36" spans="1:12" s="8" customFormat="1" x14ac:dyDescent="0.3">
      <c r="A36" s="268"/>
      <c r="B36" s="268"/>
      <c r="C36" s="243"/>
      <c r="D36" s="243"/>
      <c r="E36" s="243"/>
      <c r="F36" s="230"/>
      <c r="G36" s="230"/>
      <c r="H36" s="230"/>
      <c r="L36" s="18"/>
    </row>
    <row r="37" spans="1:12" s="8" customFormat="1" x14ac:dyDescent="0.3">
      <c r="A37" s="34" t="s">
        <v>29</v>
      </c>
      <c r="B37" s="35"/>
      <c r="C37" s="84">
        <f t="shared" ref="C37:H37" si="3">+SUM(C22:C36)</f>
        <v>-3321.0252304147471</v>
      </c>
      <c r="D37" s="84">
        <f t="shared" si="3"/>
        <v>-3560.33237327189</v>
      </c>
      <c r="E37" s="84">
        <f>+SUM(E22:E36)</f>
        <v>-3997.4649297954347</v>
      </c>
      <c r="F37" s="84">
        <f t="shared" si="3"/>
        <v>-3634.4649297954347</v>
      </c>
      <c r="G37" s="84">
        <f t="shared" si="3"/>
        <v>-3634.4649297954347</v>
      </c>
      <c r="H37" s="84">
        <f t="shared" si="3"/>
        <v>-3634.4649297954347</v>
      </c>
      <c r="L37" s="18"/>
    </row>
    <row r="38" spans="1:12" s="8" customFormat="1" x14ac:dyDescent="0.3">
      <c r="B38" s="9"/>
      <c r="C38" s="66"/>
      <c r="D38" s="66"/>
      <c r="E38" s="66"/>
      <c r="F38" s="66"/>
      <c r="G38" s="66"/>
      <c r="H38" s="66"/>
    </row>
    <row r="39" spans="1:12" s="8" customFormat="1" x14ac:dyDescent="0.3">
      <c r="B39" s="9"/>
      <c r="C39" s="66"/>
      <c r="D39" s="66"/>
      <c r="E39" s="66"/>
      <c r="F39" s="66"/>
      <c r="G39" s="66"/>
      <c r="H39" s="66"/>
    </row>
    <row r="40" spans="1:12" s="8" customFormat="1" x14ac:dyDescent="0.3">
      <c r="B40" s="9"/>
      <c r="C40" s="91">
        <f t="shared" ref="C40:E40" si="4">+C20+C37</f>
        <v>3.333333333102928E-3</v>
      </c>
      <c r="D40" s="91">
        <f t="shared" si="4"/>
        <v>3.333333333102928E-3</v>
      </c>
      <c r="E40" s="91">
        <f t="shared" si="4"/>
        <v>3.333333333102928E-3</v>
      </c>
      <c r="F40" s="91">
        <f t="shared" ref="F40:H40" si="5">+F20+F37</f>
        <v>-1851.9262116245427</v>
      </c>
      <c r="G40" s="91">
        <f t="shared" si="5"/>
        <v>-1851.9262116245427</v>
      </c>
      <c r="H40" s="91">
        <f t="shared" si="5"/>
        <v>-1851.9262116245427</v>
      </c>
    </row>
    <row r="41" spans="1:12" s="8" customFormat="1" x14ac:dyDescent="0.3">
      <c r="B41" s="9"/>
      <c r="C41" s="26"/>
      <c r="D41" s="26"/>
      <c r="E41" s="26"/>
    </row>
    <row r="42" spans="1:12" s="8" customFormat="1" x14ac:dyDescent="0.3">
      <c r="B42" s="9"/>
      <c r="H42" s="18"/>
    </row>
    <row r="43" spans="1:12" s="8" customFormat="1" x14ac:dyDescent="0.3">
      <c r="B43" s="9"/>
      <c r="H43" s="18"/>
    </row>
    <row r="44" spans="1:12" s="8" customFormat="1" x14ac:dyDescent="0.3">
      <c r="B44" s="9"/>
      <c r="H44" s="18"/>
    </row>
    <row r="45" spans="1:12" s="8" customFormat="1" x14ac:dyDescent="0.3">
      <c r="B45" s="9"/>
    </row>
    <row r="46" spans="1:12" s="8" customFormat="1" x14ac:dyDescent="0.3">
      <c r="B46" s="9"/>
    </row>
    <row r="47" spans="1:12" s="8" customFormat="1" x14ac:dyDescent="0.3">
      <c r="B47" s="9"/>
    </row>
    <row r="48" spans="1:12" s="8" customFormat="1" x14ac:dyDescent="0.3">
      <c r="B48" s="9"/>
    </row>
    <row r="49" spans="2:2" s="8" customFormat="1" x14ac:dyDescent="0.3">
      <c r="B49" s="9"/>
    </row>
    <row r="50" spans="2:2" s="8" customFormat="1" x14ac:dyDescent="0.3">
      <c r="B50" s="9"/>
    </row>
    <row r="51" spans="2:2" s="8" customFormat="1" x14ac:dyDescent="0.3">
      <c r="B51" s="9"/>
    </row>
    <row r="52" spans="2:2" s="8" customFormat="1" x14ac:dyDescent="0.3">
      <c r="B52" s="9"/>
    </row>
    <row r="53" spans="2:2" s="8" customFormat="1" x14ac:dyDescent="0.3">
      <c r="B53" s="9"/>
    </row>
    <row r="54" spans="2:2" s="8" customFormat="1" x14ac:dyDescent="0.3">
      <c r="B54" s="9"/>
    </row>
    <row r="55" spans="2:2" s="8" customFormat="1" x14ac:dyDescent="0.3">
      <c r="B55" s="9"/>
    </row>
    <row r="56" spans="2:2" s="8" customFormat="1" x14ac:dyDescent="0.3">
      <c r="B56" s="9"/>
    </row>
    <row r="57" spans="2:2" s="8" customFormat="1" x14ac:dyDescent="0.3">
      <c r="B57" s="9"/>
    </row>
    <row r="58" spans="2:2" s="8" customFormat="1" x14ac:dyDescent="0.3">
      <c r="B58" s="9"/>
    </row>
    <row r="59" spans="2:2" s="8" customFormat="1" x14ac:dyDescent="0.3">
      <c r="B59" s="9"/>
    </row>
    <row r="60" spans="2:2" s="8" customFormat="1" x14ac:dyDescent="0.3">
      <c r="B60" s="9"/>
    </row>
    <row r="61" spans="2:2" s="8" customFormat="1" x14ac:dyDescent="0.3">
      <c r="B61" s="9"/>
    </row>
    <row r="62" spans="2:2" s="8" customFormat="1" x14ac:dyDescent="0.3">
      <c r="B62" s="9"/>
    </row>
    <row r="63" spans="2:2" s="8" customFormat="1" x14ac:dyDescent="0.3">
      <c r="B63" s="9"/>
    </row>
    <row r="64" spans="2:2" s="8" customFormat="1" x14ac:dyDescent="0.3">
      <c r="B64" s="9"/>
    </row>
    <row r="65" spans="2:2" s="8" customFormat="1" x14ac:dyDescent="0.3">
      <c r="B65" s="9"/>
    </row>
    <row r="66" spans="2:2" s="8" customFormat="1" x14ac:dyDescent="0.3">
      <c r="B66" s="9"/>
    </row>
    <row r="67" spans="2:2" s="8" customFormat="1" x14ac:dyDescent="0.3">
      <c r="B67" s="9"/>
    </row>
    <row r="68" spans="2:2" s="8" customFormat="1" x14ac:dyDescent="0.3">
      <c r="B68" s="9"/>
    </row>
    <row r="69" spans="2:2" s="8" customFormat="1" x14ac:dyDescent="0.3">
      <c r="B69" s="9"/>
    </row>
    <row r="70" spans="2:2" s="8" customFormat="1" x14ac:dyDescent="0.3">
      <c r="B70" s="9"/>
    </row>
    <row r="71" spans="2:2" s="8" customFormat="1" x14ac:dyDescent="0.3">
      <c r="B71" s="9"/>
    </row>
    <row r="72" spans="2:2" s="8" customFormat="1" x14ac:dyDescent="0.3">
      <c r="B72" s="9"/>
    </row>
    <row r="73" spans="2:2" s="8" customFormat="1" x14ac:dyDescent="0.3">
      <c r="B73" s="9"/>
    </row>
    <row r="74" spans="2:2" s="8" customFormat="1" x14ac:dyDescent="0.3">
      <c r="B74" s="9"/>
    </row>
    <row r="75" spans="2:2" s="8" customFormat="1" x14ac:dyDescent="0.3">
      <c r="B75" s="9"/>
    </row>
    <row r="76" spans="2:2" s="8" customFormat="1" x14ac:dyDescent="0.3">
      <c r="B76" s="9"/>
    </row>
    <row r="77" spans="2:2" s="8" customFormat="1" x14ac:dyDescent="0.3">
      <c r="B77" s="9"/>
    </row>
    <row r="78" spans="2:2" s="8" customFormat="1" x14ac:dyDescent="0.3">
      <c r="B78" s="9"/>
    </row>
    <row r="79" spans="2:2" s="8" customFormat="1" x14ac:dyDescent="0.3">
      <c r="B79" s="9"/>
    </row>
    <row r="80" spans="2:2" s="8" customFormat="1" x14ac:dyDescent="0.3">
      <c r="B80" s="9"/>
    </row>
    <row r="81" spans="2:2" s="8" customFormat="1" x14ac:dyDescent="0.3">
      <c r="B81" s="9"/>
    </row>
    <row r="82" spans="2:2" s="8" customFormat="1" x14ac:dyDescent="0.3">
      <c r="B82" s="9"/>
    </row>
    <row r="83" spans="2:2" s="8" customFormat="1" x14ac:dyDescent="0.3">
      <c r="B83" s="9"/>
    </row>
    <row r="84" spans="2:2" s="8" customFormat="1" x14ac:dyDescent="0.3">
      <c r="B84" s="9"/>
    </row>
    <row r="85" spans="2:2" s="8" customFormat="1" x14ac:dyDescent="0.3">
      <c r="B85" s="9"/>
    </row>
    <row r="86" spans="2:2" s="8" customFormat="1" x14ac:dyDescent="0.3">
      <c r="B86" s="9"/>
    </row>
    <row r="87" spans="2:2" s="8" customFormat="1" x14ac:dyDescent="0.3">
      <c r="B87" s="9"/>
    </row>
    <row r="88" spans="2:2" s="8" customFormat="1" x14ac:dyDescent="0.3">
      <c r="B88" s="9"/>
    </row>
    <row r="89" spans="2:2" s="8" customFormat="1" x14ac:dyDescent="0.3">
      <c r="B89" s="9"/>
    </row>
    <row r="90" spans="2:2" s="8" customFormat="1" x14ac:dyDescent="0.3">
      <c r="B90" s="9"/>
    </row>
    <row r="91" spans="2:2" s="8" customFormat="1" x14ac:dyDescent="0.3">
      <c r="B91" s="9"/>
    </row>
    <row r="92" spans="2:2" s="8" customFormat="1" x14ac:dyDescent="0.3">
      <c r="B92" s="9"/>
    </row>
    <row r="93" spans="2:2" s="8" customFormat="1" x14ac:dyDescent="0.3">
      <c r="B93" s="9"/>
    </row>
    <row r="94" spans="2:2" s="8" customFormat="1" x14ac:dyDescent="0.3">
      <c r="B94" s="9"/>
    </row>
    <row r="95" spans="2:2" s="8" customFormat="1" x14ac:dyDescent="0.3">
      <c r="B95" s="9"/>
    </row>
    <row r="96" spans="2:2" s="8" customFormat="1" x14ac:dyDescent="0.3">
      <c r="B96" s="9"/>
    </row>
    <row r="97" spans="2:2" s="8" customFormat="1" x14ac:dyDescent="0.3">
      <c r="B97" s="9"/>
    </row>
    <row r="98" spans="2:2" s="8" customFormat="1" x14ac:dyDescent="0.3">
      <c r="B98" s="9"/>
    </row>
    <row r="99" spans="2:2" s="8" customFormat="1" x14ac:dyDescent="0.3">
      <c r="B99" s="9"/>
    </row>
    <row r="100" spans="2:2" s="8" customFormat="1" x14ac:dyDescent="0.3">
      <c r="B100" s="9"/>
    </row>
    <row r="101" spans="2:2" s="8" customFormat="1" x14ac:dyDescent="0.3">
      <c r="B101" s="9"/>
    </row>
    <row r="102" spans="2:2" s="8" customFormat="1" x14ac:dyDescent="0.3">
      <c r="B102" s="9"/>
    </row>
    <row r="103" spans="2:2" s="8" customFormat="1" x14ac:dyDescent="0.3">
      <c r="B103" s="9"/>
    </row>
    <row r="104" spans="2:2" s="8" customFormat="1" x14ac:dyDescent="0.3">
      <c r="B104" s="9"/>
    </row>
    <row r="105" spans="2:2" s="8" customFormat="1" x14ac:dyDescent="0.3">
      <c r="B105" s="9"/>
    </row>
    <row r="106" spans="2:2" s="8" customFormat="1" x14ac:dyDescent="0.3">
      <c r="B106" s="9"/>
    </row>
    <row r="107" spans="2:2" s="8" customFormat="1" x14ac:dyDescent="0.3">
      <c r="B107" s="9"/>
    </row>
    <row r="108" spans="2:2" s="8" customFormat="1" x14ac:dyDescent="0.3">
      <c r="B108" s="9"/>
    </row>
    <row r="109" spans="2:2" s="8" customFormat="1" x14ac:dyDescent="0.3">
      <c r="B109" s="9"/>
    </row>
    <row r="110" spans="2:2" s="8" customFormat="1" x14ac:dyDescent="0.3">
      <c r="B110" s="9"/>
    </row>
    <row r="111" spans="2:2" s="8" customFormat="1" x14ac:dyDescent="0.3">
      <c r="B111" s="9"/>
    </row>
    <row r="112" spans="2:2" s="8" customFormat="1" x14ac:dyDescent="0.3">
      <c r="B112" s="9"/>
    </row>
    <row r="113" spans="2:2" s="8" customFormat="1" x14ac:dyDescent="0.3">
      <c r="B113" s="9"/>
    </row>
    <row r="114" spans="2:2" s="8" customFormat="1" x14ac:dyDescent="0.3">
      <c r="B114" s="9"/>
    </row>
    <row r="115" spans="2:2" s="8" customFormat="1" x14ac:dyDescent="0.3">
      <c r="B115" s="9"/>
    </row>
    <row r="116" spans="2:2" s="8" customFormat="1" x14ac:dyDescent="0.3">
      <c r="B116" s="9"/>
    </row>
    <row r="117" spans="2:2" s="8" customFormat="1" x14ac:dyDescent="0.3">
      <c r="B117" s="9"/>
    </row>
    <row r="118" spans="2:2" s="8" customFormat="1" x14ac:dyDescent="0.3">
      <c r="B118" s="9"/>
    </row>
    <row r="119" spans="2:2" s="8" customFormat="1" x14ac:dyDescent="0.3">
      <c r="B119" s="9"/>
    </row>
    <row r="120" spans="2:2" s="8" customFormat="1" x14ac:dyDescent="0.3">
      <c r="B120" s="9"/>
    </row>
    <row r="121" spans="2:2" s="8" customFormat="1" x14ac:dyDescent="0.3">
      <c r="B121" s="9"/>
    </row>
    <row r="122" spans="2:2" s="8" customFormat="1" x14ac:dyDescent="0.3">
      <c r="B122" s="9"/>
    </row>
    <row r="123" spans="2:2" s="8" customFormat="1" x14ac:dyDescent="0.3">
      <c r="B123" s="9"/>
    </row>
    <row r="124" spans="2:2" s="8" customFormat="1" x14ac:dyDescent="0.3">
      <c r="B124" s="9"/>
    </row>
    <row r="125" spans="2:2" s="8" customFormat="1" x14ac:dyDescent="0.3">
      <c r="B125" s="9"/>
    </row>
    <row r="126" spans="2:2" s="8" customFormat="1" x14ac:dyDescent="0.3">
      <c r="B126" s="9"/>
    </row>
    <row r="127" spans="2:2" s="8" customFormat="1" x14ac:dyDescent="0.3">
      <c r="B127" s="9"/>
    </row>
    <row r="128" spans="2:2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>
      <c r="B135" s="9"/>
    </row>
    <row r="136" spans="2:2" s="8" customFormat="1" x14ac:dyDescent="0.3">
      <c r="B136" s="9"/>
    </row>
    <row r="137" spans="2:2" s="8" customFormat="1" x14ac:dyDescent="0.3">
      <c r="B137" s="9"/>
    </row>
    <row r="138" spans="2:2" s="8" customFormat="1" x14ac:dyDescent="0.3">
      <c r="B138" s="9"/>
    </row>
    <row r="139" spans="2:2" s="8" customFormat="1" x14ac:dyDescent="0.3">
      <c r="B139" s="9"/>
    </row>
    <row r="140" spans="2:2" s="8" customFormat="1" x14ac:dyDescent="0.3">
      <c r="B140" s="9"/>
    </row>
    <row r="141" spans="2:2" s="8" customFormat="1" x14ac:dyDescent="0.3">
      <c r="B141" s="9"/>
    </row>
    <row r="142" spans="2:2" s="8" customFormat="1" x14ac:dyDescent="0.3">
      <c r="B142" s="9"/>
    </row>
    <row r="143" spans="2:2" s="8" customFormat="1" x14ac:dyDescent="0.3">
      <c r="B143" s="9"/>
    </row>
    <row r="144" spans="2:2" s="8" customFormat="1" x14ac:dyDescent="0.3">
      <c r="B144" s="9"/>
    </row>
    <row r="145" spans="2:2" s="8" customFormat="1" x14ac:dyDescent="0.3">
      <c r="B145" s="9"/>
    </row>
    <row r="146" spans="2:2" s="8" customFormat="1" x14ac:dyDescent="0.3">
      <c r="B146" s="9"/>
    </row>
    <row r="147" spans="2:2" s="8" customFormat="1" x14ac:dyDescent="0.3">
      <c r="B147" s="9"/>
    </row>
    <row r="148" spans="2:2" s="8" customFormat="1" x14ac:dyDescent="0.3">
      <c r="B148" s="9"/>
    </row>
    <row r="149" spans="2:2" s="8" customFormat="1" x14ac:dyDescent="0.3">
      <c r="B149" s="9"/>
    </row>
    <row r="150" spans="2:2" s="8" customFormat="1" x14ac:dyDescent="0.3">
      <c r="B150" s="9"/>
    </row>
    <row r="151" spans="2:2" s="8" customFormat="1" x14ac:dyDescent="0.3">
      <c r="B151" s="9"/>
    </row>
    <row r="152" spans="2:2" s="8" customFormat="1" x14ac:dyDescent="0.3">
      <c r="B152" s="9"/>
    </row>
    <row r="153" spans="2:2" s="8" customFormat="1" x14ac:dyDescent="0.3">
      <c r="B153" s="9"/>
    </row>
    <row r="154" spans="2:2" s="8" customFormat="1" x14ac:dyDescent="0.3">
      <c r="B154" s="9"/>
    </row>
    <row r="155" spans="2:2" s="8" customFormat="1" x14ac:dyDescent="0.3">
      <c r="B155" s="9"/>
    </row>
    <row r="156" spans="2:2" s="8" customFormat="1" x14ac:dyDescent="0.3">
      <c r="B156" s="9"/>
    </row>
    <row r="157" spans="2:2" s="8" customFormat="1" x14ac:dyDescent="0.3">
      <c r="B157" s="9"/>
    </row>
    <row r="158" spans="2:2" s="8" customFormat="1" x14ac:dyDescent="0.3">
      <c r="B158" s="9"/>
    </row>
    <row r="159" spans="2:2" s="8" customFormat="1" x14ac:dyDescent="0.3">
      <c r="B159" s="9"/>
    </row>
    <row r="160" spans="2:2" s="8" customFormat="1" x14ac:dyDescent="0.3">
      <c r="B160" s="9"/>
    </row>
    <row r="161" spans="2:2" s="8" customFormat="1" x14ac:dyDescent="0.3">
      <c r="B161" s="9"/>
    </row>
    <row r="162" spans="2:2" s="8" customFormat="1" x14ac:dyDescent="0.3">
      <c r="B162" s="9"/>
    </row>
    <row r="163" spans="2:2" s="8" customFormat="1" x14ac:dyDescent="0.3">
      <c r="B163" s="9"/>
    </row>
    <row r="164" spans="2:2" s="8" customFormat="1" x14ac:dyDescent="0.3">
      <c r="B164" s="9"/>
    </row>
    <row r="165" spans="2:2" s="8" customFormat="1" x14ac:dyDescent="0.3">
      <c r="B165" s="9"/>
    </row>
    <row r="166" spans="2:2" s="8" customFormat="1" x14ac:dyDescent="0.3">
      <c r="B166" s="9"/>
    </row>
    <row r="167" spans="2:2" s="8" customFormat="1" x14ac:dyDescent="0.3">
      <c r="B167" s="9"/>
    </row>
    <row r="168" spans="2:2" s="8" customFormat="1" x14ac:dyDescent="0.3">
      <c r="B168" s="9"/>
    </row>
    <row r="169" spans="2:2" s="8" customFormat="1" x14ac:dyDescent="0.3">
      <c r="B169" s="9"/>
    </row>
    <row r="170" spans="2:2" s="8" customFormat="1" x14ac:dyDescent="0.3">
      <c r="B170" s="9"/>
    </row>
    <row r="171" spans="2:2" s="8" customFormat="1" x14ac:dyDescent="0.3">
      <c r="B171" s="9"/>
    </row>
    <row r="172" spans="2:2" s="8" customFormat="1" x14ac:dyDescent="0.3">
      <c r="B172" s="9"/>
    </row>
    <row r="173" spans="2:2" s="8" customFormat="1" x14ac:dyDescent="0.3">
      <c r="B173" s="9"/>
    </row>
    <row r="174" spans="2:2" s="8" customFormat="1" x14ac:dyDescent="0.3">
      <c r="B174" s="9"/>
    </row>
    <row r="175" spans="2:2" s="8" customFormat="1" x14ac:dyDescent="0.3">
      <c r="B175" s="9"/>
    </row>
    <row r="176" spans="2:2" s="8" customFormat="1" x14ac:dyDescent="0.3">
      <c r="B176" s="9"/>
    </row>
    <row r="177" spans="2:2" s="8" customFormat="1" x14ac:dyDescent="0.3">
      <c r="B177" s="9"/>
    </row>
    <row r="178" spans="2:2" s="8" customFormat="1" x14ac:dyDescent="0.3">
      <c r="B178" s="9"/>
    </row>
    <row r="179" spans="2:2" s="8" customFormat="1" x14ac:dyDescent="0.3">
      <c r="B179" s="9"/>
    </row>
    <row r="180" spans="2:2" s="8" customFormat="1" x14ac:dyDescent="0.3">
      <c r="B180" s="9"/>
    </row>
    <row r="181" spans="2:2" s="8" customFormat="1" x14ac:dyDescent="0.3">
      <c r="B181" s="9"/>
    </row>
    <row r="182" spans="2:2" s="8" customFormat="1" x14ac:dyDescent="0.3">
      <c r="B182" s="9"/>
    </row>
    <row r="183" spans="2:2" s="8" customFormat="1" x14ac:dyDescent="0.3">
      <c r="B183" s="9"/>
    </row>
    <row r="184" spans="2:2" s="8" customFormat="1" x14ac:dyDescent="0.3">
      <c r="B184" s="9"/>
    </row>
    <row r="185" spans="2:2" s="8" customFormat="1" x14ac:dyDescent="0.3">
      <c r="B185" s="9"/>
    </row>
    <row r="186" spans="2:2" s="8" customFormat="1" x14ac:dyDescent="0.3">
      <c r="B186" s="9"/>
    </row>
    <row r="187" spans="2:2" s="8" customFormat="1" x14ac:dyDescent="0.3">
      <c r="B187" s="9"/>
    </row>
    <row r="188" spans="2:2" s="8" customFormat="1" x14ac:dyDescent="0.3">
      <c r="B188" s="9"/>
    </row>
    <row r="189" spans="2:2" s="8" customFormat="1" x14ac:dyDescent="0.3">
      <c r="B189" s="9"/>
    </row>
    <row r="190" spans="2:2" s="8" customFormat="1" x14ac:dyDescent="0.3">
      <c r="B190" s="9"/>
    </row>
    <row r="191" spans="2:2" s="8" customFormat="1" x14ac:dyDescent="0.3">
      <c r="B191" s="9"/>
    </row>
    <row r="192" spans="2:2" s="8" customFormat="1" x14ac:dyDescent="0.3">
      <c r="B192" s="9"/>
    </row>
    <row r="193" spans="2:2" s="8" customFormat="1" x14ac:dyDescent="0.3">
      <c r="B193" s="9"/>
    </row>
    <row r="194" spans="2:2" s="8" customFormat="1" x14ac:dyDescent="0.3">
      <c r="B194" s="9"/>
    </row>
    <row r="195" spans="2:2" s="8" customFormat="1" x14ac:dyDescent="0.3">
      <c r="B195" s="9"/>
    </row>
    <row r="196" spans="2:2" s="8" customFormat="1" x14ac:dyDescent="0.3">
      <c r="B196" s="9"/>
    </row>
    <row r="197" spans="2:2" s="8" customFormat="1" x14ac:dyDescent="0.3">
      <c r="B197" s="9"/>
    </row>
    <row r="198" spans="2:2" s="8" customFormat="1" x14ac:dyDescent="0.3">
      <c r="B198" s="9"/>
    </row>
    <row r="199" spans="2:2" s="8" customFormat="1" x14ac:dyDescent="0.3">
      <c r="B199" s="9"/>
    </row>
    <row r="200" spans="2:2" s="8" customFormat="1" x14ac:dyDescent="0.3">
      <c r="B200" s="9"/>
    </row>
    <row r="201" spans="2:2" s="8" customFormat="1" x14ac:dyDescent="0.3">
      <c r="B201" s="9"/>
    </row>
    <row r="202" spans="2:2" s="8" customFormat="1" x14ac:dyDescent="0.3">
      <c r="B202" s="9"/>
    </row>
    <row r="203" spans="2:2" s="8" customFormat="1" x14ac:dyDescent="0.3">
      <c r="B203" s="9"/>
    </row>
    <row r="204" spans="2:2" s="8" customFormat="1" x14ac:dyDescent="0.3">
      <c r="B204" s="9"/>
    </row>
    <row r="205" spans="2:2" s="8" customFormat="1" x14ac:dyDescent="0.3">
      <c r="B205" s="9"/>
    </row>
    <row r="206" spans="2:2" s="8" customFormat="1" x14ac:dyDescent="0.3">
      <c r="B206" s="9"/>
    </row>
    <row r="207" spans="2:2" s="8" customFormat="1" x14ac:dyDescent="0.3">
      <c r="B207" s="9"/>
    </row>
    <row r="208" spans="2:2" s="8" customFormat="1" x14ac:dyDescent="0.3">
      <c r="B208" s="9"/>
    </row>
    <row r="209" spans="2:2" s="8" customFormat="1" x14ac:dyDescent="0.3">
      <c r="B209" s="9"/>
    </row>
    <row r="210" spans="2:2" s="8" customFormat="1" x14ac:dyDescent="0.3">
      <c r="B210" s="9"/>
    </row>
    <row r="211" spans="2:2" s="8" customFormat="1" x14ac:dyDescent="0.3">
      <c r="B211" s="9"/>
    </row>
    <row r="212" spans="2:2" s="8" customFormat="1" x14ac:dyDescent="0.3">
      <c r="B212" s="9"/>
    </row>
    <row r="213" spans="2:2" s="8" customFormat="1" x14ac:dyDescent="0.3">
      <c r="B213" s="9"/>
    </row>
    <row r="214" spans="2:2" s="8" customFormat="1" x14ac:dyDescent="0.3">
      <c r="B214" s="9"/>
    </row>
    <row r="215" spans="2:2" s="8" customFormat="1" x14ac:dyDescent="0.3">
      <c r="B215" s="9"/>
    </row>
    <row r="216" spans="2:2" s="8" customFormat="1" x14ac:dyDescent="0.3">
      <c r="B216" s="9"/>
    </row>
    <row r="217" spans="2:2" s="8" customFormat="1" x14ac:dyDescent="0.3">
      <c r="B217" s="9"/>
    </row>
    <row r="218" spans="2:2" s="8" customFormat="1" x14ac:dyDescent="0.3">
      <c r="B218" s="9"/>
    </row>
    <row r="219" spans="2:2" s="8" customFormat="1" x14ac:dyDescent="0.3">
      <c r="B219" s="9"/>
    </row>
    <row r="220" spans="2:2" s="8" customFormat="1" x14ac:dyDescent="0.3">
      <c r="B220" s="9"/>
    </row>
    <row r="221" spans="2:2" s="8" customFormat="1" x14ac:dyDescent="0.3">
      <c r="B221" s="9"/>
    </row>
    <row r="222" spans="2:2" s="8" customFormat="1" x14ac:dyDescent="0.3">
      <c r="B222" s="9"/>
    </row>
    <row r="223" spans="2:2" s="8" customFormat="1" x14ac:dyDescent="0.3">
      <c r="B223" s="9"/>
    </row>
    <row r="224" spans="2:2" s="8" customFormat="1" x14ac:dyDescent="0.3">
      <c r="B224" s="9"/>
    </row>
    <row r="225" spans="2:2" s="8" customFormat="1" x14ac:dyDescent="0.3">
      <c r="B225" s="9"/>
    </row>
    <row r="226" spans="2:2" s="8" customFormat="1" x14ac:dyDescent="0.3">
      <c r="B226" s="9"/>
    </row>
    <row r="227" spans="2:2" s="8" customFormat="1" x14ac:dyDescent="0.3">
      <c r="B227" s="9"/>
    </row>
    <row r="228" spans="2:2" s="8" customFormat="1" x14ac:dyDescent="0.3">
      <c r="B228" s="9"/>
    </row>
    <row r="229" spans="2:2" s="8" customFormat="1" x14ac:dyDescent="0.3">
      <c r="B229" s="9"/>
    </row>
    <row r="230" spans="2:2" s="8" customFormat="1" x14ac:dyDescent="0.3">
      <c r="B230" s="9"/>
    </row>
    <row r="231" spans="2:2" s="8" customFormat="1" x14ac:dyDescent="0.3">
      <c r="B231" s="9"/>
    </row>
    <row r="232" spans="2:2" s="8" customFormat="1" x14ac:dyDescent="0.3">
      <c r="B232" s="9"/>
    </row>
    <row r="233" spans="2:2" s="8" customFormat="1" x14ac:dyDescent="0.3">
      <c r="B233" s="9"/>
    </row>
    <row r="234" spans="2:2" s="8" customFormat="1" x14ac:dyDescent="0.3">
      <c r="B234" s="9"/>
    </row>
    <row r="235" spans="2:2" s="8" customFormat="1" x14ac:dyDescent="0.3">
      <c r="B235" s="9"/>
    </row>
    <row r="236" spans="2:2" s="8" customFormat="1" x14ac:dyDescent="0.3">
      <c r="B236" s="9"/>
    </row>
    <row r="237" spans="2:2" s="8" customFormat="1" x14ac:dyDescent="0.3">
      <c r="B237" s="9"/>
    </row>
    <row r="238" spans="2:2" s="8" customFormat="1" x14ac:dyDescent="0.3">
      <c r="B238" s="9"/>
    </row>
    <row r="239" spans="2:2" s="8" customFormat="1" x14ac:dyDescent="0.3">
      <c r="B239" s="9"/>
    </row>
    <row r="240" spans="2:2" s="8" customFormat="1" x14ac:dyDescent="0.3">
      <c r="B240" s="9"/>
    </row>
    <row r="241" spans="2:2" s="8" customFormat="1" x14ac:dyDescent="0.3">
      <c r="B241" s="9"/>
    </row>
    <row r="242" spans="2:2" s="8" customFormat="1" x14ac:dyDescent="0.3">
      <c r="B242" s="9"/>
    </row>
    <row r="243" spans="2:2" s="8" customFormat="1" x14ac:dyDescent="0.3">
      <c r="B243" s="9"/>
    </row>
    <row r="244" spans="2:2" s="8" customFormat="1" x14ac:dyDescent="0.3">
      <c r="B244" s="9"/>
    </row>
    <row r="245" spans="2:2" s="8" customFormat="1" x14ac:dyDescent="0.3">
      <c r="B245" s="9"/>
    </row>
    <row r="246" spans="2:2" s="8" customFormat="1" x14ac:dyDescent="0.3">
      <c r="B246" s="9"/>
    </row>
    <row r="247" spans="2:2" s="8" customFormat="1" x14ac:dyDescent="0.3">
      <c r="B247" s="9"/>
    </row>
    <row r="248" spans="2:2" s="8" customFormat="1" x14ac:dyDescent="0.3">
      <c r="B248" s="9"/>
    </row>
    <row r="249" spans="2:2" s="8" customFormat="1" x14ac:dyDescent="0.3">
      <c r="B249" s="9"/>
    </row>
    <row r="250" spans="2:2" s="8" customFormat="1" x14ac:dyDescent="0.3">
      <c r="B250" s="9"/>
    </row>
    <row r="251" spans="2:2" s="8" customFormat="1" x14ac:dyDescent="0.3">
      <c r="B251" s="9"/>
    </row>
    <row r="252" spans="2:2" s="8" customFormat="1" x14ac:dyDescent="0.3">
      <c r="B252" s="9"/>
    </row>
    <row r="253" spans="2:2" s="8" customFormat="1" x14ac:dyDescent="0.3">
      <c r="B253" s="9"/>
    </row>
    <row r="254" spans="2:2" s="8" customFormat="1" x14ac:dyDescent="0.3">
      <c r="B254" s="9"/>
    </row>
    <row r="255" spans="2:2" s="8" customFormat="1" x14ac:dyDescent="0.3">
      <c r="B255" s="9"/>
    </row>
    <row r="256" spans="2:2" s="8" customFormat="1" x14ac:dyDescent="0.3">
      <c r="B256" s="9"/>
    </row>
    <row r="257" spans="2:2" s="8" customFormat="1" x14ac:dyDescent="0.3">
      <c r="B257" s="9"/>
    </row>
    <row r="258" spans="2:2" s="8" customFormat="1" x14ac:dyDescent="0.3">
      <c r="B258" s="9"/>
    </row>
    <row r="259" spans="2:2" s="8" customFormat="1" x14ac:dyDescent="0.3">
      <c r="B259" s="9"/>
    </row>
    <row r="260" spans="2:2" s="8" customFormat="1" x14ac:dyDescent="0.3">
      <c r="B260" s="9"/>
    </row>
    <row r="261" spans="2:2" s="8" customFormat="1" x14ac:dyDescent="0.3">
      <c r="B261" s="9"/>
    </row>
    <row r="262" spans="2:2" s="8" customFormat="1" x14ac:dyDescent="0.3">
      <c r="B262" s="9"/>
    </row>
    <row r="263" spans="2:2" s="8" customFormat="1" x14ac:dyDescent="0.3">
      <c r="B263" s="9"/>
    </row>
    <row r="264" spans="2:2" s="8" customFormat="1" x14ac:dyDescent="0.3">
      <c r="B264" s="9"/>
    </row>
    <row r="265" spans="2:2" s="8" customFormat="1" x14ac:dyDescent="0.3">
      <c r="B265" s="9"/>
    </row>
    <row r="266" spans="2:2" s="8" customFormat="1" x14ac:dyDescent="0.3">
      <c r="B266" s="9"/>
    </row>
    <row r="267" spans="2:2" s="8" customFormat="1" x14ac:dyDescent="0.3">
      <c r="B267" s="9"/>
    </row>
    <row r="268" spans="2:2" s="8" customFormat="1" x14ac:dyDescent="0.3">
      <c r="B268" s="9"/>
    </row>
    <row r="269" spans="2:2" s="8" customFormat="1" x14ac:dyDescent="0.3">
      <c r="B269" s="9"/>
    </row>
    <row r="270" spans="2:2" s="8" customFormat="1" x14ac:dyDescent="0.3">
      <c r="B270" s="9"/>
    </row>
    <row r="271" spans="2:2" s="8" customFormat="1" x14ac:dyDescent="0.3">
      <c r="B271" s="9"/>
    </row>
    <row r="272" spans="2:2" s="8" customFormat="1" x14ac:dyDescent="0.3">
      <c r="B272" s="9"/>
    </row>
    <row r="273" spans="2:2" s="8" customFormat="1" x14ac:dyDescent="0.3">
      <c r="B273" s="9"/>
    </row>
    <row r="274" spans="2:2" s="8" customFormat="1" x14ac:dyDescent="0.3">
      <c r="B274" s="9"/>
    </row>
    <row r="275" spans="2:2" s="8" customFormat="1" x14ac:dyDescent="0.3">
      <c r="B275" s="9"/>
    </row>
    <row r="276" spans="2:2" s="8" customFormat="1" x14ac:dyDescent="0.3">
      <c r="B276" s="9"/>
    </row>
    <row r="277" spans="2:2" s="8" customFormat="1" x14ac:dyDescent="0.3">
      <c r="B277" s="9"/>
    </row>
    <row r="278" spans="2:2" s="8" customFormat="1" x14ac:dyDescent="0.3">
      <c r="B278" s="9"/>
    </row>
    <row r="279" spans="2:2" s="8" customFormat="1" x14ac:dyDescent="0.3">
      <c r="B279" s="9"/>
    </row>
    <row r="280" spans="2:2" s="8" customFormat="1" x14ac:dyDescent="0.3">
      <c r="B280" s="9"/>
    </row>
    <row r="281" spans="2:2" s="8" customFormat="1" x14ac:dyDescent="0.3">
      <c r="B281" s="9"/>
    </row>
    <row r="282" spans="2:2" s="8" customFormat="1" x14ac:dyDescent="0.3">
      <c r="B282" s="9"/>
    </row>
    <row r="283" spans="2:2" s="8" customFormat="1" x14ac:dyDescent="0.3">
      <c r="B283" s="9"/>
    </row>
    <row r="284" spans="2:2" s="8" customFormat="1" x14ac:dyDescent="0.3">
      <c r="B284" s="9"/>
    </row>
    <row r="285" spans="2:2" s="8" customFormat="1" x14ac:dyDescent="0.3">
      <c r="B285" s="9"/>
    </row>
    <row r="286" spans="2:2" s="8" customFormat="1" x14ac:dyDescent="0.3">
      <c r="B286" s="9"/>
    </row>
    <row r="287" spans="2:2" s="8" customFormat="1" x14ac:dyDescent="0.3">
      <c r="B287" s="9"/>
    </row>
    <row r="288" spans="2:2" s="8" customFormat="1" x14ac:dyDescent="0.3">
      <c r="B288" s="9"/>
    </row>
    <row r="289" spans="2:2" s="8" customFormat="1" x14ac:dyDescent="0.3">
      <c r="B289" s="9"/>
    </row>
    <row r="290" spans="2:2" s="8" customFormat="1" x14ac:dyDescent="0.3">
      <c r="B290" s="9"/>
    </row>
    <row r="291" spans="2:2" s="8" customFormat="1" x14ac:dyDescent="0.3">
      <c r="B291" s="9"/>
    </row>
    <row r="292" spans="2:2" s="8" customFormat="1" x14ac:dyDescent="0.3">
      <c r="B292" s="9"/>
    </row>
    <row r="293" spans="2:2" s="8" customFormat="1" x14ac:dyDescent="0.3">
      <c r="B293" s="9"/>
    </row>
    <row r="294" spans="2:2" s="8" customFormat="1" x14ac:dyDescent="0.3">
      <c r="B294" s="9"/>
    </row>
    <row r="295" spans="2:2" s="8" customFormat="1" x14ac:dyDescent="0.3">
      <c r="B295" s="9"/>
    </row>
    <row r="296" spans="2:2" s="8" customFormat="1" x14ac:dyDescent="0.3">
      <c r="B296" s="9"/>
    </row>
    <row r="297" spans="2:2" s="8" customFormat="1" x14ac:dyDescent="0.3">
      <c r="B297" s="9"/>
    </row>
    <row r="298" spans="2:2" s="8" customFormat="1" x14ac:dyDescent="0.3">
      <c r="B298" s="9"/>
    </row>
    <row r="299" spans="2:2" s="8" customFormat="1" x14ac:dyDescent="0.3">
      <c r="B299" s="9"/>
    </row>
    <row r="300" spans="2:2" s="8" customFormat="1" x14ac:dyDescent="0.3">
      <c r="B300" s="9"/>
    </row>
    <row r="301" spans="2:2" s="8" customFormat="1" x14ac:dyDescent="0.3">
      <c r="B301" s="9"/>
    </row>
    <row r="302" spans="2:2" s="8" customFormat="1" x14ac:dyDescent="0.3">
      <c r="B302" s="9"/>
    </row>
    <row r="303" spans="2:2" s="8" customFormat="1" x14ac:dyDescent="0.3">
      <c r="B303" s="9"/>
    </row>
    <row r="304" spans="2:2" s="8" customFormat="1" x14ac:dyDescent="0.3">
      <c r="B304" s="9"/>
    </row>
    <row r="305" spans="2:2" s="8" customFormat="1" x14ac:dyDescent="0.3">
      <c r="B305" s="9"/>
    </row>
    <row r="306" spans="2:2" s="8" customFormat="1" x14ac:dyDescent="0.3">
      <c r="B306" s="9"/>
    </row>
    <row r="307" spans="2:2" s="8" customFormat="1" x14ac:dyDescent="0.3">
      <c r="B307" s="9"/>
    </row>
    <row r="308" spans="2:2" s="8" customFormat="1" x14ac:dyDescent="0.3">
      <c r="B308" s="9"/>
    </row>
    <row r="309" spans="2:2" s="8" customFormat="1" x14ac:dyDescent="0.3">
      <c r="B309" s="9"/>
    </row>
    <row r="310" spans="2:2" s="8" customFormat="1" x14ac:dyDescent="0.3">
      <c r="B310" s="9"/>
    </row>
    <row r="311" spans="2:2" s="8" customFormat="1" x14ac:dyDescent="0.3">
      <c r="B311" s="9"/>
    </row>
    <row r="312" spans="2:2" s="8" customFormat="1" x14ac:dyDescent="0.3">
      <c r="B312" s="9"/>
    </row>
    <row r="313" spans="2:2" s="8" customFormat="1" x14ac:dyDescent="0.3">
      <c r="B313" s="9"/>
    </row>
    <row r="314" spans="2:2" s="8" customFormat="1" x14ac:dyDescent="0.3">
      <c r="B314" s="9"/>
    </row>
    <row r="315" spans="2:2" s="8" customFormat="1" x14ac:dyDescent="0.3">
      <c r="B315" s="9"/>
    </row>
    <row r="316" spans="2:2" s="8" customFormat="1" x14ac:dyDescent="0.3">
      <c r="B316" s="9"/>
    </row>
    <row r="317" spans="2:2" s="8" customFormat="1" x14ac:dyDescent="0.3">
      <c r="B317" s="9"/>
    </row>
    <row r="318" spans="2:2" s="8" customFormat="1" x14ac:dyDescent="0.3">
      <c r="B318" s="9"/>
    </row>
    <row r="319" spans="2:2" s="8" customFormat="1" x14ac:dyDescent="0.3">
      <c r="B319" s="9"/>
    </row>
    <row r="320" spans="2:2" s="8" customFormat="1" x14ac:dyDescent="0.3">
      <c r="B320" s="9"/>
    </row>
    <row r="321" spans="2:2" s="8" customFormat="1" x14ac:dyDescent="0.3">
      <c r="B321" s="9"/>
    </row>
    <row r="322" spans="2:2" s="8" customFormat="1" x14ac:dyDescent="0.3">
      <c r="B322" s="9"/>
    </row>
    <row r="323" spans="2:2" s="8" customFormat="1" x14ac:dyDescent="0.3">
      <c r="B323" s="9"/>
    </row>
    <row r="324" spans="2:2" s="8" customFormat="1" x14ac:dyDescent="0.3">
      <c r="B324" s="9"/>
    </row>
    <row r="325" spans="2:2" s="8" customFormat="1" x14ac:dyDescent="0.3">
      <c r="B325" s="9"/>
    </row>
    <row r="326" spans="2:2" s="8" customFormat="1" x14ac:dyDescent="0.3">
      <c r="B326" s="9"/>
    </row>
    <row r="327" spans="2:2" s="8" customFormat="1" x14ac:dyDescent="0.3">
      <c r="B327" s="9"/>
    </row>
    <row r="328" spans="2:2" s="8" customFormat="1" x14ac:dyDescent="0.3">
      <c r="B328" s="9"/>
    </row>
    <row r="329" spans="2:2" s="8" customFormat="1" x14ac:dyDescent="0.3">
      <c r="B329" s="9"/>
    </row>
    <row r="330" spans="2:2" s="8" customFormat="1" x14ac:dyDescent="0.3">
      <c r="B330" s="9"/>
    </row>
    <row r="331" spans="2:2" s="8" customFormat="1" x14ac:dyDescent="0.3">
      <c r="B331" s="9"/>
    </row>
    <row r="332" spans="2:2" s="8" customFormat="1" x14ac:dyDescent="0.3">
      <c r="B332" s="9"/>
    </row>
    <row r="333" spans="2:2" s="8" customFormat="1" x14ac:dyDescent="0.3">
      <c r="B333" s="9"/>
    </row>
    <row r="334" spans="2:2" s="8" customFormat="1" x14ac:dyDescent="0.3">
      <c r="B334" s="9"/>
    </row>
    <row r="335" spans="2:2" s="8" customFormat="1" x14ac:dyDescent="0.3">
      <c r="B335" s="9"/>
    </row>
    <row r="336" spans="2:2" s="8" customFormat="1" x14ac:dyDescent="0.3">
      <c r="B336" s="9"/>
    </row>
    <row r="337" spans="2:2" s="8" customFormat="1" x14ac:dyDescent="0.3">
      <c r="B337" s="9"/>
    </row>
    <row r="338" spans="2:2" s="8" customFormat="1" x14ac:dyDescent="0.3">
      <c r="B338" s="9"/>
    </row>
    <row r="339" spans="2:2" s="8" customFormat="1" x14ac:dyDescent="0.3">
      <c r="B339" s="9"/>
    </row>
    <row r="340" spans="2:2" s="8" customFormat="1" x14ac:dyDescent="0.3">
      <c r="B340" s="9"/>
    </row>
    <row r="341" spans="2:2" s="8" customFormat="1" x14ac:dyDescent="0.3">
      <c r="B341" s="9"/>
    </row>
    <row r="342" spans="2:2" s="8" customFormat="1" x14ac:dyDescent="0.3">
      <c r="B342" s="9"/>
    </row>
    <row r="343" spans="2:2" s="8" customFormat="1" x14ac:dyDescent="0.3">
      <c r="B343" s="9"/>
    </row>
    <row r="344" spans="2:2" s="8" customFormat="1" x14ac:dyDescent="0.3">
      <c r="B344" s="9"/>
    </row>
    <row r="345" spans="2:2" s="8" customFormat="1" x14ac:dyDescent="0.3">
      <c r="B345" s="9"/>
    </row>
    <row r="346" spans="2:2" s="8" customFormat="1" x14ac:dyDescent="0.3">
      <c r="B346" s="9"/>
    </row>
    <row r="347" spans="2:2" s="8" customFormat="1" x14ac:dyDescent="0.3">
      <c r="B347" s="9"/>
    </row>
    <row r="348" spans="2:2" s="8" customFormat="1" x14ac:dyDescent="0.3">
      <c r="B348" s="9"/>
    </row>
    <row r="349" spans="2:2" s="8" customFormat="1" x14ac:dyDescent="0.3">
      <c r="B349" s="9"/>
    </row>
    <row r="350" spans="2:2" s="8" customFormat="1" x14ac:dyDescent="0.3">
      <c r="B350" s="9"/>
    </row>
    <row r="351" spans="2:2" s="8" customFormat="1" x14ac:dyDescent="0.3">
      <c r="B351" s="9"/>
    </row>
    <row r="352" spans="2:2" s="8" customFormat="1" x14ac:dyDescent="0.3">
      <c r="B352" s="9"/>
    </row>
    <row r="353" spans="2:2" s="8" customFormat="1" x14ac:dyDescent="0.3">
      <c r="B353" s="9"/>
    </row>
    <row r="354" spans="2:2" s="8" customFormat="1" x14ac:dyDescent="0.3">
      <c r="B354" s="9"/>
    </row>
    <row r="355" spans="2:2" s="8" customFormat="1" x14ac:dyDescent="0.3">
      <c r="B355" s="9"/>
    </row>
    <row r="356" spans="2:2" s="8" customFormat="1" x14ac:dyDescent="0.3">
      <c r="B356" s="9"/>
    </row>
    <row r="357" spans="2:2" s="8" customFormat="1" x14ac:dyDescent="0.3">
      <c r="B357" s="9"/>
    </row>
    <row r="358" spans="2:2" s="8" customFormat="1" x14ac:dyDescent="0.3">
      <c r="B358" s="9"/>
    </row>
    <row r="359" spans="2:2" s="8" customFormat="1" x14ac:dyDescent="0.3">
      <c r="B359" s="9"/>
    </row>
    <row r="360" spans="2:2" s="8" customFormat="1" x14ac:dyDescent="0.3">
      <c r="B360" s="9"/>
    </row>
    <row r="361" spans="2:2" s="8" customFormat="1" x14ac:dyDescent="0.3">
      <c r="B361" s="9"/>
    </row>
    <row r="362" spans="2:2" s="8" customFormat="1" x14ac:dyDescent="0.3">
      <c r="B362" s="9"/>
    </row>
    <row r="363" spans="2:2" s="8" customFormat="1" x14ac:dyDescent="0.3">
      <c r="B363" s="9"/>
    </row>
    <row r="364" spans="2:2" s="8" customFormat="1" x14ac:dyDescent="0.3">
      <c r="B364" s="9"/>
    </row>
    <row r="365" spans="2:2" s="8" customFormat="1" x14ac:dyDescent="0.3">
      <c r="B365" s="9"/>
    </row>
    <row r="366" spans="2:2" s="8" customFormat="1" x14ac:dyDescent="0.3">
      <c r="B366" s="9"/>
    </row>
    <row r="367" spans="2:2" s="8" customFormat="1" x14ac:dyDescent="0.3">
      <c r="B367" s="9"/>
    </row>
    <row r="368" spans="2:2" s="8" customFormat="1" x14ac:dyDescent="0.3">
      <c r="B368" s="9"/>
    </row>
    <row r="369" spans="2:2" s="8" customFormat="1" x14ac:dyDescent="0.3">
      <c r="B369" s="9"/>
    </row>
    <row r="370" spans="2:2" s="8" customFormat="1" x14ac:dyDescent="0.3">
      <c r="B370" s="9"/>
    </row>
    <row r="371" spans="2:2" s="8" customFormat="1" x14ac:dyDescent="0.3">
      <c r="B371" s="9"/>
    </row>
    <row r="372" spans="2:2" s="8" customFormat="1" x14ac:dyDescent="0.3">
      <c r="B372" s="9"/>
    </row>
    <row r="373" spans="2:2" s="8" customFormat="1" x14ac:dyDescent="0.3">
      <c r="B373" s="9"/>
    </row>
    <row r="374" spans="2:2" s="8" customFormat="1" x14ac:dyDescent="0.3">
      <c r="B374" s="9"/>
    </row>
    <row r="375" spans="2:2" s="8" customFormat="1" x14ac:dyDescent="0.3">
      <c r="B375" s="9"/>
    </row>
    <row r="376" spans="2:2" s="8" customFormat="1" x14ac:dyDescent="0.3">
      <c r="B376" s="9"/>
    </row>
    <row r="377" spans="2:2" s="8" customFormat="1" x14ac:dyDescent="0.3">
      <c r="B377" s="9"/>
    </row>
    <row r="378" spans="2:2" s="8" customFormat="1" x14ac:dyDescent="0.3">
      <c r="B378" s="9"/>
    </row>
    <row r="379" spans="2:2" s="8" customFormat="1" x14ac:dyDescent="0.3">
      <c r="B379" s="9"/>
    </row>
    <row r="380" spans="2:2" s="8" customFormat="1" x14ac:dyDescent="0.3">
      <c r="B380" s="9"/>
    </row>
    <row r="381" spans="2:2" s="8" customFormat="1" x14ac:dyDescent="0.3">
      <c r="B381" s="9"/>
    </row>
    <row r="382" spans="2:2" s="8" customFormat="1" x14ac:dyDescent="0.3">
      <c r="B382" s="9"/>
    </row>
    <row r="383" spans="2:2" s="8" customFormat="1" x14ac:dyDescent="0.3">
      <c r="B383" s="9"/>
    </row>
    <row r="384" spans="2:2" s="8" customFormat="1" x14ac:dyDescent="0.3">
      <c r="B384" s="9"/>
    </row>
    <row r="385" spans="2:2" s="8" customFormat="1" x14ac:dyDescent="0.3">
      <c r="B385" s="9"/>
    </row>
    <row r="386" spans="2:2" s="8" customFormat="1" x14ac:dyDescent="0.3">
      <c r="B386" s="9"/>
    </row>
    <row r="387" spans="2:2" s="8" customFormat="1" x14ac:dyDescent="0.3">
      <c r="B387" s="9"/>
    </row>
    <row r="388" spans="2:2" s="8" customFormat="1" x14ac:dyDescent="0.3">
      <c r="B388" s="9"/>
    </row>
    <row r="389" spans="2:2" s="8" customFormat="1" x14ac:dyDescent="0.3">
      <c r="B389" s="9"/>
    </row>
    <row r="390" spans="2:2" s="8" customFormat="1" x14ac:dyDescent="0.3">
      <c r="B390" s="9"/>
    </row>
    <row r="391" spans="2:2" s="8" customFormat="1" x14ac:dyDescent="0.3">
      <c r="B391" s="9"/>
    </row>
    <row r="392" spans="2:2" s="8" customFormat="1" x14ac:dyDescent="0.3">
      <c r="B392" s="9"/>
    </row>
    <row r="393" spans="2:2" s="8" customFormat="1" x14ac:dyDescent="0.3">
      <c r="B393" s="9"/>
    </row>
    <row r="394" spans="2:2" s="8" customFormat="1" x14ac:dyDescent="0.3">
      <c r="B394" s="9"/>
    </row>
    <row r="395" spans="2:2" s="8" customFormat="1" x14ac:dyDescent="0.3">
      <c r="B395" s="9"/>
    </row>
    <row r="396" spans="2:2" s="8" customFormat="1" x14ac:dyDescent="0.3">
      <c r="B396" s="9"/>
    </row>
    <row r="397" spans="2:2" s="8" customFormat="1" x14ac:dyDescent="0.3">
      <c r="B397" s="9"/>
    </row>
    <row r="398" spans="2:2" s="8" customFormat="1" x14ac:dyDescent="0.3">
      <c r="B398" s="9"/>
    </row>
    <row r="399" spans="2:2" s="8" customFormat="1" x14ac:dyDescent="0.3">
      <c r="B399" s="9"/>
    </row>
    <row r="400" spans="2:2" s="8" customFormat="1" x14ac:dyDescent="0.3">
      <c r="B400" s="9"/>
    </row>
    <row r="401" spans="2:2" s="8" customFormat="1" x14ac:dyDescent="0.3">
      <c r="B401" s="9"/>
    </row>
    <row r="402" spans="2:2" s="8" customFormat="1" x14ac:dyDescent="0.3">
      <c r="B402" s="9"/>
    </row>
    <row r="403" spans="2:2" s="8" customFormat="1" x14ac:dyDescent="0.3">
      <c r="B403" s="9"/>
    </row>
    <row r="404" spans="2:2" s="8" customFormat="1" x14ac:dyDescent="0.3">
      <c r="B404" s="9"/>
    </row>
    <row r="405" spans="2:2" s="8" customFormat="1" x14ac:dyDescent="0.3">
      <c r="B405" s="9"/>
    </row>
    <row r="406" spans="2:2" s="8" customFormat="1" x14ac:dyDescent="0.3">
      <c r="B406" s="9"/>
    </row>
    <row r="407" spans="2:2" s="8" customFormat="1" x14ac:dyDescent="0.3">
      <c r="B407" s="9"/>
    </row>
    <row r="408" spans="2:2" s="8" customFormat="1" x14ac:dyDescent="0.3">
      <c r="B408" s="9"/>
    </row>
    <row r="409" spans="2:2" s="8" customFormat="1" x14ac:dyDescent="0.3">
      <c r="B409" s="9"/>
    </row>
    <row r="410" spans="2:2" s="8" customFormat="1" x14ac:dyDescent="0.3">
      <c r="B410" s="9"/>
    </row>
    <row r="411" spans="2:2" s="8" customFormat="1" x14ac:dyDescent="0.3">
      <c r="B411" s="9"/>
    </row>
    <row r="412" spans="2:2" s="8" customFormat="1" x14ac:dyDescent="0.3">
      <c r="B412" s="9"/>
    </row>
    <row r="413" spans="2:2" s="8" customFormat="1" x14ac:dyDescent="0.3">
      <c r="B413" s="9"/>
    </row>
    <row r="414" spans="2:2" s="8" customFormat="1" x14ac:dyDescent="0.3">
      <c r="B414" s="9"/>
    </row>
    <row r="415" spans="2:2" s="8" customFormat="1" x14ac:dyDescent="0.3">
      <c r="B415" s="9"/>
    </row>
    <row r="416" spans="2:2" s="8" customFormat="1" x14ac:dyDescent="0.3">
      <c r="B416" s="9"/>
    </row>
  </sheetData>
  <mergeCells count="109">
    <mergeCell ref="I27:I28"/>
    <mergeCell ref="A31:B32"/>
    <mergeCell ref="A33:B34"/>
    <mergeCell ref="A35:B36"/>
    <mergeCell ref="A25:B26"/>
    <mergeCell ref="A14:B15"/>
    <mergeCell ref="A16:B17"/>
    <mergeCell ref="A18:B19"/>
    <mergeCell ref="A27:B28"/>
    <mergeCell ref="A29:B30"/>
    <mergeCell ref="A23:B24"/>
    <mergeCell ref="H16:H17"/>
    <mergeCell ref="C14:C15"/>
    <mergeCell ref="D14:D15"/>
    <mergeCell ref="E14:E15"/>
    <mergeCell ref="F14:F15"/>
    <mergeCell ref="G14:G15"/>
    <mergeCell ref="H14:H15"/>
    <mergeCell ref="C16:C17"/>
    <mergeCell ref="D16:D17"/>
    <mergeCell ref="E16:E17"/>
    <mergeCell ref="F16:F17"/>
    <mergeCell ref="G16:G17"/>
    <mergeCell ref="H23:H24"/>
    <mergeCell ref="A4:B5"/>
    <mergeCell ref="A6:B7"/>
    <mergeCell ref="A8:B9"/>
    <mergeCell ref="A10:B11"/>
    <mergeCell ref="A12:B13"/>
    <mergeCell ref="H4:H5"/>
    <mergeCell ref="C4:C5"/>
    <mergeCell ref="D4:D5"/>
    <mergeCell ref="E4:E5"/>
    <mergeCell ref="F4:F5"/>
    <mergeCell ref="G4:G5"/>
    <mergeCell ref="H8:H9"/>
    <mergeCell ref="C6:C7"/>
    <mergeCell ref="D6:D7"/>
    <mergeCell ref="E6:E7"/>
    <mergeCell ref="F6:F7"/>
    <mergeCell ref="G6:G7"/>
    <mergeCell ref="H6:H7"/>
    <mergeCell ref="C8:C9"/>
    <mergeCell ref="D8:D9"/>
    <mergeCell ref="E8:E9"/>
    <mergeCell ref="F8:F9"/>
    <mergeCell ref="G8:G9"/>
    <mergeCell ref="H12:H13"/>
    <mergeCell ref="C10:C11"/>
    <mergeCell ref="D10:D11"/>
    <mergeCell ref="E10:E11"/>
    <mergeCell ref="F10:F11"/>
    <mergeCell ref="G10:G11"/>
    <mergeCell ref="H10:H11"/>
    <mergeCell ref="C12:C13"/>
    <mergeCell ref="D12:D13"/>
    <mergeCell ref="E12:E13"/>
    <mergeCell ref="F12:F13"/>
    <mergeCell ref="G12:G13"/>
    <mergeCell ref="C18:C19"/>
    <mergeCell ref="D18:D19"/>
    <mergeCell ref="E18:E19"/>
    <mergeCell ref="F18:F19"/>
    <mergeCell ref="G18:G19"/>
    <mergeCell ref="H18:H19"/>
    <mergeCell ref="C23:C24"/>
    <mergeCell ref="D23:D24"/>
    <mergeCell ref="E23:E24"/>
    <mergeCell ref="F23:F24"/>
    <mergeCell ref="G23:G24"/>
    <mergeCell ref="E31:E32"/>
    <mergeCell ref="F31:F32"/>
    <mergeCell ref="G31:G32"/>
    <mergeCell ref="H27:H28"/>
    <mergeCell ref="C25:C26"/>
    <mergeCell ref="D25:D26"/>
    <mergeCell ref="E25:E26"/>
    <mergeCell ref="F25:F26"/>
    <mergeCell ref="G25:G26"/>
    <mergeCell ref="H25:H26"/>
    <mergeCell ref="C27:C28"/>
    <mergeCell ref="D27:D28"/>
    <mergeCell ref="E27:E28"/>
    <mergeCell ref="F27:F28"/>
    <mergeCell ref="G27:G28"/>
    <mergeCell ref="I16:I17"/>
    <mergeCell ref="I23:I24"/>
    <mergeCell ref="I25:I26"/>
    <mergeCell ref="H35:H36"/>
    <mergeCell ref="C33:C34"/>
    <mergeCell ref="D33:D34"/>
    <mergeCell ref="E33:E34"/>
    <mergeCell ref="F33:F34"/>
    <mergeCell ref="G33:G34"/>
    <mergeCell ref="H33:H34"/>
    <mergeCell ref="C35:C36"/>
    <mergeCell ref="D35:D36"/>
    <mergeCell ref="E35:E36"/>
    <mergeCell ref="F35:F36"/>
    <mergeCell ref="G35:G36"/>
    <mergeCell ref="H31:H32"/>
    <mergeCell ref="C29:C30"/>
    <mergeCell ref="D29:D30"/>
    <mergeCell ref="E29:E30"/>
    <mergeCell ref="F29:F30"/>
    <mergeCell ref="G29:G30"/>
    <mergeCell ref="H29:H30"/>
    <mergeCell ref="C31:C32"/>
    <mergeCell ref="D31:D32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FA0F-363B-4973-AB6A-EBF8A520C2F8}">
  <sheetPr>
    <tabColor theme="7"/>
  </sheetPr>
  <dimension ref="A1:BJ48"/>
  <sheetViews>
    <sheetView showGridLines="0" zoomScaleNormal="100" workbookViewId="0">
      <selection activeCell="A8" sqref="A8"/>
    </sheetView>
  </sheetViews>
  <sheetFormatPr defaultColWidth="11" defaultRowHeight="15" x14ac:dyDescent="0.3"/>
  <cols>
    <col min="1" max="1" width="5.5" style="1" customWidth="1"/>
    <col min="2" max="2" width="22.625" style="4" customWidth="1"/>
    <col min="3" max="8" width="11" style="1"/>
    <col min="9" max="62" width="11" style="8"/>
    <col min="63" max="16384" width="11" style="1"/>
  </cols>
  <sheetData>
    <row r="1" spans="1:12" x14ac:dyDescent="0.3">
      <c r="C1" s="1" t="s">
        <v>2</v>
      </c>
    </row>
    <row r="2" spans="1:12" x14ac:dyDescent="0.3">
      <c r="A2" s="3" t="s">
        <v>30</v>
      </c>
      <c r="B2" s="50"/>
      <c r="C2" s="5" t="s">
        <v>4</v>
      </c>
      <c r="D2" s="5" t="s">
        <v>5</v>
      </c>
      <c r="E2" s="5" t="s">
        <v>6</v>
      </c>
      <c r="F2" s="7" t="s">
        <v>7</v>
      </c>
      <c r="G2" s="7" t="s">
        <v>8</v>
      </c>
      <c r="H2" s="7" t="s">
        <v>9</v>
      </c>
    </row>
    <row r="3" spans="1:12" ht="5.0999999999999996" customHeight="1" x14ac:dyDescent="0.3">
      <c r="A3" s="8"/>
      <c r="B3" s="8"/>
      <c r="C3" s="8"/>
      <c r="D3" s="8"/>
      <c r="E3" s="8"/>
      <c r="F3" s="8"/>
      <c r="G3" s="8"/>
      <c r="H3" s="8"/>
    </row>
    <row r="4" spans="1:12" x14ac:dyDescent="0.3">
      <c r="A4" s="8" t="s">
        <v>31</v>
      </c>
      <c r="B4" s="9"/>
      <c r="C4" s="243">
        <f>PnL!H4</f>
        <v>7580</v>
      </c>
      <c r="D4" s="243">
        <f>PnL!I4</f>
        <v>8280</v>
      </c>
      <c r="E4" s="272">
        <f>PnL!J4</f>
        <v>8834.8650475650484</v>
      </c>
      <c r="F4" s="229"/>
      <c r="G4" s="229"/>
      <c r="H4" s="229"/>
    </row>
    <row r="5" spans="1:12" x14ac:dyDescent="0.3">
      <c r="A5" s="10"/>
      <c r="B5" s="11"/>
      <c r="C5" s="243"/>
      <c r="D5" s="243"/>
      <c r="E5" s="272"/>
      <c r="F5" s="230"/>
      <c r="G5" s="230"/>
      <c r="H5" s="230"/>
    </row>
    <row r="6" spans="1:12" x14ac:dyDescent="0.3">
      <c r="A6" s="8" t="s">
        <v>32</v>
      </c>
      <c r="B6" s="9"/>
      <c r="C6" s="243">
        <f>PnL!H6</f>
        <v>570</v>
      </c>
      <c r="D6" s="243">
        <f>PnL!I6</f>
        <v>550</v>
      </c>
      <c r="E6" s="272">
        <f>PnL!J6</f>
        <v>750</v>
      </c>
      <c r="F6" s="229"/>
      <c r="G6" s="229"/>
      <c r="H6" s="229"/>
    </row>
    <row r="7" spans="1:12" x14ac:dyDescent="0.3">
      <c r="A7" s="8"/>
      <c r="B7" s="11"/>
      <c r="C7" s="243"/>
      <c r="D7" s="243"/>
      <c r="E7" s="272"/>
      <c r="F7" s="230"/>
      <c r="G7" s="230"/>
      <c r="H7" s="230"/>
    </row>
    <row r="8" spans="1:12" x14ac:dyDescent="0.3">
      <c r="A8" s="8" t="s">
        <v>92</v>
      </c>
      <c r="B8" s="9"/>
      <c r="C8" s="243">
        <f>PnL!H8</f>
        <v>-3365.4747695852529</v>
      </c>
      <c r="D8" s="243">
        <f>PnL!I8</f>
        <v>-3704.6928571428571</v>
      </c>
      <c r="E8" s="272">
        <f>PnL!J8</f>
        <v>-4045.3425064350058</v>
      </c>
      <c r="F8" s="229"/>
      <c r="G8" s="229"/>
      <c r="H8" s="229"/>
    </row>
    <row r="9" spans="1:12" x14ac:dyDescent="0.3">
      <c r="A9" s="8"/>
      <c r="B9" s="11"/>
      <c r="C9" s="243"/>
      <c r="D9" s="243"/>
      <c r="E9" s="272"/>
      <c r="F9" s="230"/>
      <c r="G9" s="230"/>
      <c r="H9" s="230"/>
    </row>
    <row r="10" spans="1:12" x14ac:dyDescent="0.3">
      <c r="A10" s="8" t="s">
        <v>34</v>
      </c>
      <c r="B10" s="9"/>
      <c r="C10" s="243">
        <f>PnL!H10</f>
        <v>-2000</v>
      </c>
      <c r="D10" s="243">
        <f>PnL!I10</f>
        <v>-2114</v>
      </c>
      <c r="E10" s="272">
        <f>PnL!J10</f>
        <v>-2502.3057259740262</v>
      </c>
      <c r="F10" s="229"/>
      <c r="G10" s="229"/>
      <c r="H10" s="229"/>
    </row>
    <row r="11" spans="1:12" x14ac:dyDescent="0.3">
      <c r="A11" s="8"/>
      <c r="B11" s="11"/>
      <c r="C11" s="243"/>
      <c r="D11" s="243"/>
      <c r="E11" s="272"/>
      <c r="F11" s="230"/>
      <c r="G11" s="230"/>
      <c r="H11" s="230"/>
    </row>
    <row r="12" spans="1:12" x14ac:dyDescent="0.3">
      <c r="A12" s="8" t="s">
        <v>35</v>
      </c>
      <c r="B12" s="9"/>
      <c r="C12" s="243">
        <f>PnL!H12</f>
        <v>-170</v>
      </c>
      <c r="D12" s="243">
        <f>PnL!I12</f>
        <v>-250</v>
      </c>
      <c r="E12" s="272">
        <f>PnL!J12</f>
        <v>-383.07045504212454</v>
      </c>
      <c r="F12" s="229"/>
      <c r="G12" s="229"/>
      <c r="H12" s="229"/>
    </row>
    <row r="13" spans="1:12" x14ac:dyDescent="0.3">
      <c r="A13" s="8"/>
      <c r="B13" s="11"/>
      <c r="C13" s="243"/>
      <c r="D13" s="243"/>
      <c r="E13" s="272"/>
      <c r="F13" s="230"/>
      <c r="G13" s="230"/>
      <c r="H13" s="230"/>
      <c r="J13" s="18"/>
      <c r="K13" s="18"/>
      <c r="L13" s="18"/>
    </row>
    <row r="14" spans="1:12" x14ac:dyDescent="0.3">
      <c r="A14" s="8" t="s">
        <v>36</v>
      </c>
      <c r="B14" s="9"/>
      <c r="C14" s="243">
        <f>PnL!H14</f>
        <v>-1744</v>
      </c>
      <c r="D14" s="243">
        <f>PnL!I14</f>
        <v>-1467</v>
      </c>
      <c r="E14" s="272">
        <f>PnL!J14</f>
        <v>-1994.8284076104078</v>
      </c>
      <c r="F14" s="229"/>
      <c r="G14" s="229"/>
      <c r="H14" s="229"/>
    </row>
    <row r="15" spans="1:12" x14ac:dyDescent="0.3">
      <c r="A15" s="8"/>
      <c r="B15" s="11"/>
      <c r="C15" s="243"/>
      <c r="D15" s="243"/>
      <c r="E15" s="272"/>
      <c r="F15" s="230"/>
      <c r="G15" s="230"/>
      <c r="H15" s="230"/>
    </row>
    <row r="16" spans="1:12" x14ac:dyDescent="0.3">
      <c r="A16" s="8" t="s">
        <v>37</v>
      </c>
      <c r="B16" s="9"/>
      <c r="C16" s="243">
        <f>PnL!H16</f>
        <v>0</v>
      </c>
      <c r="D16" s="243">
        <f>PnL!I16</f>
        <v>0</v>
      </c>
      <c r="E16" s="272">
        <f>PnL!J16</f>
        <v>0</v>
      </c>
      <c r="F16" s="229"/>
      <c r="G16" s="229"/>
      <c r="H16" s="229"/>
    </row>
    <row r="17" spans="1:11" x14ac:dyDescent="0.3">
      <c r="A17" s="8"/>
      <c r="B17" s="11"/>
      <c r="C17" s="243"/>
      <c r="D17" s="243"/>
      <c r="E17" s="272"/>
      <c r="F17" s="230"/>
      <c r="G17" s="230"/>
      <c r="H17" s="230"/>
    </row>
    <row r="18" spans="1:11" x14ac:dyDescent="0.3">
      <c r="A18" s="8" t="s">
        <v>38</v>
      </c>
      <c r="B18" s="9"/>
      <c r="C18" s="243">
        <f>PnL!H18</f>
        <v>8</v>
      </c>
      <c r="D18" s="243">
        <f>PnL!I18</f>
        <v>0</v>
      </c>
      <c r="E18" s="272">
        <f>PnL!J18</f>
        <v>5</v>
      </c>
      <c r="F18" s="229"/>
      <c r="G18" s="229"/>
      <c r="H18" s="229"/>
      <c r="K18" s="18"/>
    </row>
    <row r="19" spans="1:11" x14ac:dyDescent="0.3">
      <c r="A19" s="8"/>
      <c r="B19" s="11"/>
      <c r="C19" s="243"/>
      <c r="D19" s="243"/>
      <c r="E19" s="272"/>
      <c r="F19" s="230"/>
      <c r="G19" s="230"/>
      <c r="H19" s="230"/>
      <c r="K19" s="18"/>
    </row>
    <row r="20" spans="1:11" x14ac:dyDescent="0.3">
      <c r="A20" s="8" t="s">
        <v>39</v>
      </c>
      <c r="B20" s="9"/>
      <c r="C20" s="243">
        <f>PnL!H20</f>
        <v>-10</v>
      </c>
      <c r="D20" s="243">
        <f>PnL!I20</f>
        <v>0</v>
      </c>
      <c r="E20" s="272">
        <f>PnL!J20</f>
        <v>0</v>
      </c>
      <c r="F20" s="229"/>
      <c r="G20" s="229"/>
      <c r="H20" s="229"/>
    </row>
    <row r="21" spans="1:11" x14ac:dyDescent="0.3">
      <c r="A21" s="8"/>
      <c r="B21" s="11"/>
      <c r="C21" s="243"/>
      <c r="D21" s="243"/>
      <c r="E21" s="272"/>
      <c r="F21" s="230"/>
      <c r="G21" s="230"/>
      <c r="H21" s="230"/>
    </row>
    <row r="22" spans="1:11" x14ac:dyDescent="0.3">
      <c r="A22" s="8" t="s">
        <v>40</v>
      </c>
      <c r="B22" s="9"/>
      <c r="C22" s="243">
        <f>PnL!H22</f>
        <v>-220.76584029377892</v>
      </c>
      <c r="D22" s="243">
        <f>PnL!I22</f>
        <v>-330.12870535714285</v>
      </c>
      <c r="E22" s="272">
        <f>PnL!J22</f>
        <v>-170.23147532901771</v>
      </c>
      <c r="F22" s="237">
        <f>MIN(SUM(F4:F21)*-0.25625,0)</f>
        <v>0</v>
      </c>
      <c r="G22" s="237">
        <f t="shared" ref="G22:H22" si="0">MIN(SUM(G4:G21)*-0.25625,0)</f>
        <v>0</v>
      </c>
      <c r="H22" s="237">
        <f t="shared" si="0"/>
        <v>0</v>
      </c>
      <c r="I22" s="228" t="s">
        <v>18</v>
      </c>
    </row>
    <row r="23" spans="1:11" x14ac:dyDescent="0.3">
      <c r="A23" s="8"/>
      <c r="B23" s="11"/>
      <c r="C23" s="243"/>
      <c r="D23" s="243"/>
      <c r="E23" s="272"/>
      <c r="F23" s="238"/>
      <c r="G23" s="238"/>
      <c r="H23" s="238"/>
      <c r="I23" s="228"/>
    </row>
    <row r="24" spans="1:11" x14ac:dyDescent="0.3">
      <c r="A24" s="8" t="s">
        <v>41</v>
      </c>
      <c r="B24" s="9"/>
      <c r="C24" s="243">
        <f>PnL!H24</f>
        <v>-7</v>
      </c>
      <c r="D24" s="243">
        <f>PnL!I24</f>
        <v>-6</v>
      </c>
      <c r="E24" s="272">
        <f>PnL!J24</f>
        <v>-6</v>
      </c>
      <c r="F24" s="229"/>
      <c r="G24" s="229"/>
      <c r="H24" s="229"/>
    </row>
    <row r="25" spans="1:11" x14ac:dyDescent="0.3">
      <c r="A25" s="8"/>
      <c r="B25" s="11"/>
      <c r="C25" s="243"/>
      <c r="D25" s="243"/>
      <c r="E25" s="272"/>
      <c r="F25" s="273"/>
      <c r="G25" s="230"/>
      <c r="H25" s="230"/>
    </row>
    <row r="26" spans="1:11" x14ac:dyDescent="0.3">
      <c r="A26" s="269" t="s">
        <v>23</v>
      </c>
      <c r="B26" s="269"/>
      <c r="C26" s="252">
        <f>C4+C6+C8+C10+C12+C14+C16+C18+C20+C22+C24</f>
        <v>640.75939012096819</v>
      </c>
      <c r="D26" s="252">
        <f t="shared" ref="D26:E26" si="1">D4+D6+D8+D10+D12+D14+D16+D18+D20+D22+D24</f>
        <v>958.17843750000009</v>
      </c>
      <c r="E26" s="252">
        <f t="shared" si="1"/>
        <v>488.08647717446615</v>
      </c>
      <c r="F26" s="252">
        <f>+SUM(F4:F25)</f>
        <v>0</v>
      </c>
      <c r="G26" s="252">
        <f>+SUM(G4:G25)</f>
        <v>0</v>
      </c>
      <c r="H26" s="252">
        <f>+SUM(H4:H25)</f>
        <v>0</v>
      </c>
    </row>
    <row r="27" spans="1:11" x14ac:dyDescent="0.3">
      <c r="A27" s="270"/>
      <c r="B27" s="270"/>
      <c r="C27" s="253"/>
      <c r="D27" s="253"/>
      <c r="E27" s="253"/>
      <c r="F27" s="253"/>
      <c r="G27" s="253"/>
      <c r="H27" s="253"/>
    </row>
    <row r="28" spans="1:11" x14ac:dyDescent="0.3">
      <c r="A28" s="271"/>
      <c r="B28" s="271"/>
      <c r="C28" s="254"/>
      <c r="D28" s="254"/>
      <c r="E28" s="254"/>
      <c r="F28" s="254">
        <f>+SUM(F6:F27)</f>
        <v>0</v>
      </c>
      <c r="G28" s="254">
        <f>+SUM(G6:G27)</f>
        <v>0</v>
      </c>
      <c r="H28" s="254">
        <f>+SUM(H6:H27)</f>
        <v>0</v>
      </c>
    </row>
    <row r="29" spans="1:11" s="8" customFormat="1" x14ac:dyDescent="0.3">
      <c r="B29" s="9"/>
    </row>
    <row r="30" spans="1:11" s="8" customFormat="1" x14ac:dyDescent="0.3">
      <c r="B30" s="9"/>
    </row>
    <row r="31" spans="1:11" s="8" customFormat="1" x14ac:dyDescent="0.3">
      <c r="B31" s="9"/>
      <c r="C31" s="18"/>
      <c r="D31" s="18"/>
      <c r="E31" s="18"/>
    </row>
    <row r="32" spans="1:11" s="8" customFormat="1" x14ac:dyDescent="0.3">
      <c r="B32" s="9"/>
      <c r="C32" s="26"/>
      <c r="D32" s="26"/>
      <c r="E32" s="26"/>
    </row>
    <row r="33" spans="2:2" s="8" customFormat="1" x14ac:dyDescent="0.3">
      <c r="B33" s="9"/>
    </row>
    <row r="34" spans="2:2" s="8" customFormat="1" x14ac:dyDescent="0.3">
      <c r="B34" s="9"/>
    </row>
    <row r="35" spans="2:2" s="8" customFormat="1" x14ac:dyDescent="0.3">
      <c r="B35" s="9"/>
    </row>
    <row r="36" spans="2:2" s="8" customFormat="1" x14ac:dyDescent="0.3">
      <c r="B36" s="9"/>
    </row>
    <row r="37" spans="2:2" s="8" customFormat="1" x14ac:dyDescent="0.3">
      <c r="B37" s="9"/>
    </row>
    <row r="38" spans="2:2" s="8" customFormat="1" x14ac:dyDescent="0.3">
      <c r="B38" s="9"/>
    </row>
    <row r="39" spans="2:2" s="8" customFormat="1" x14ac:dyDescent="0.3">
      <c r="B39" s="9"/>
    </row>
    <row r="40" spans="2:2" s="8" customFormat="1" x14ac:dyDescent="0.3">
      <c r="B40" s="9"/>
    </row>
    <row r="41" spans="2:2" s="8" customFormat="1" x14ac:dyDescent="0.3">
      <c r="B41" s="9"/>
    </row>
    <row r="42" spans="2:2" s="8" customFormat="1" x14ac:dyDescent="0.3">
      <c r="B42" s="9"/>
    </row>
    <row r="43" spans="2:2" s="8" customFormat="1" x14ac:dyDescent="0.3">
      <c r="B43" s="9"/>
    </row>
    <row r="44" spans="2:2" s="8" customFormat="1" x14ac:dyDescent="0.3">
      <c r="B44" s="9"/>
    </row>
    <row r="45" spans="2:2" s="8" customFormat="1" x14ac:dyDescent="0.3">
      <c r="B45" s="9"/>
    </row>
    <row r="46" spans="2:2" s="8" customFormat="1" x14ac:dyDescent="0.3">
      <c r="B46" s="9"/>
    </row>
    <row r="47" spans="2:2" s="8" customFormat="1" x14ac:dyDescent="0.3">
      <c r="B47" s="9"/>
    </row>
    <row r="48" spans="2:2" s="8" customFormat="1" x14ac:dyDescent="0.3">
      <c r="B48" s="9"/>
    </row>
  </sheetData>
  <mergeCells count="74">
    <mergeCell ref="H4:H5"/>
    <mergeCell ref="C4:C5"/>
    <mergeCell ref="D4:D5"/>
    <mergeCell ref="E4:E5"/>
    <mergeCell ref="F4:F5"/>
    <mergeCell ref="G4:G5"/>
    <mergeCell ref="H8:H9"/>
    <mergeCell ref="C6:C7"/>
    <mergeCell ref="D6:D7"/>
    <mergeCell ref="E6:E7"/>
    <mergeCell ref="F6:F7"/>
    <mergeCell ref="G6:G7"/>
    <mergeCell ref="H6:H7"/>
    <mergeCell ref="C8:C9"/>
    <mergeCell ref="D8:D9"/>
    <mergeCell ref="E8:E9"/>
    <mergeCell ref="F8:F9"/>
    <mergeCell ref="G8:G9"/>
    <mergeCell ref="H12:H13"/>
    <mergeCell ref="C10:C11"/>
    <mergeCell ref="D10:D11"/>
    <mergeCell ref="E10:E11"/>
    <mergeCell ref="F10:F11"/>
    <mergeCell ref="G10:G11"/>
    <mergeCell ref="H10:H11"/>
    <mergeCell ref="C12:C13"/>
    <mergeCell ref="D12:D13"/>
    <mergeCell ref="E12:E13"/>
    <mergeCell ref="F12:F13"/>
    <mergeCell ref="G12:G13"/>
    <mergeCell ref="H16:H17"/>
    <mergeCell ref="C14:C15"/>
    <mergeCell ref="D14:D15"/>
    <mergeCell ref="E14:E15"/>
    <mergeCell ref="F14:F15"/>
    <mergeCell ref="G14:G15"/>
    <mergeCell ref="H14:H15"/>
    <mergeCell ref="C16:C17"/>
    <mergeCell ref="D16:D17"/>
    <mergeCell ref="E16:E17"/>
    <mergeCell ref="F16:F17"/>
    <mergeCell ref="G16:G17"/>
    <mergeCell ref="H20:H21"/>
    <mergeCell ref="C18:C19"/>
    <mergeCell ref="D18:D19"/>
    <mergeCell ref="E18:E19"/>
    <mergeCell ref="F18:F19"/>
    <mergeCell ref="G18:G19"/>
    <mergeCell ref="H18:H19"/>
    <mergeCell ref="C20:C21"/>
    <mergeCell ref="D20:D21"/>
    <mergeCell ref="E20:E21"/>
    <mergeCell ref="F20:F21"/>
    <mergeCell ref="G20:G21"/>
    <mergeCell ref="A26:B28"/>
    <mergeCell ref="F26:F28"/>
    <mergeCell ref="G26:G28"/>
    <mergeCell ref="H24:H25"/>
    <mergeCell ref="C22:C23"/>
    <mergeCell ref="D22:D23"/>
    <mergeCell ref="E22:E23"/>
    <mergeCell ref="F22:F23"/>
    <mergeCell ref="G22:G23"/>
    <mergeCell ref="H22:H23"/>
    <mergeCell ref="C24:C25"/>
    <mergeCell ref="D24:D25"/>
    <mergeCell ref="E24:E25"/>
    <mergeCell ref="F24:F25"/>
    <mergeCell ref="G24:G25"/>
    <mergeCell ref="I22:I23"/>
    <mergeCell ref="H26:H28"/>
    <mergeCell ref="C26:C28"/>
    <mergeCell ref="D26:D28"/>
    <mergeCell ref="E26:E28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B7B6-2E6F-48F3-BDDE-20F62F4BA998}">
  <sheetPr>
    <tabColor theme="7"/>
  </sheetPr>
  <dimension ref="A2:BH554"/>
  <sheetViews>
    <sheetView showGridLines="0" zoomScaleNormal="100" workbookViewId="0">
      <pane ySplit="2" topLeftCell="A3" activePane="bottomLeft" state="frozen"/>
      <selection activeCell="J24" sqref="J24:L25"/>
      <selection pane="bottomLeft" activeCell="K47" sqref="K47"/>
    </sheetView>
  </sheetViews>
  <sheetFormatPr defaultColWidth="11" defaultRowHeight="15" x14ac:dyDescent="0.3"/>
  <cols>
    <col min="1" max="1" width="55.125" style="1" bestFit="1" customWidth="1"/>
    <col min="2" max="2" width="14.125" style="1" customWidth="1"/>
    <col min="3" max="3" width="14.125" style="1" bestFit="1" customWidth="1"/>
    <col min="4" max="6" width="12.5" style="1" customWidth="1"/>
    <col min="7" max="60" width="11" style="8"/>
    <col min="61" max="16384" width="11" style="1"/>
  </cols>
  <sheetData>
    <row r="2" spans="1:7" x14ac:dyDescent="0.3">
      <c r="A2" s="3" t="s">
        <v>44</v>
      </c>
      <c r="B2" s="5" t="s">
        <v>5</v>
      </c>
      <c r="C2" s="5" t="s">
        <v>6</v>
      </c>
      <c r="D2" s="7" t="s">
        <v>7</v>
      </c>
      <c r="E2" s="7" t="s">
        <v>8</v>
      </c>
      <c r="F2" s="7" t="s">
        <v>9</v>
      </c>
    </row>
    <row r="3" spans="1:7" ht="5.0999999999999996" customHeight="1" x14ac:dyDescent="0.3">
      <c r="A3" s="8"/>
      <c r="D3" s="8"/>
      <c r="E3" s="8"/>
      <c r="F3" s="8"/>
    </row>
    <row r="4" spans="1:7" s="8" customFormat="1" x14ac:dyDescent="0.3">
      <c r="A4" s="268" t="s">
        <v>45</v>
      </c>
      <c r="B4" s="259">
        <f>CFR!F4</f>
        <v>958.1784375000002</v>
      </c>
      <c r="C4" s="259">
        <f>CFR!G4</f>
        <v>488.08647717446615</v>
      </c>
      <c r="D4" s="262">
        <f>'PnL (2)'!F26</f>
        <v>0</v>
      </c>
      <c r="E4" s="262">
        <f>'PnL (2)'!G26</f>
        <v>0</v>
      </c>
      <c r="F4" s="262">
        <f>'PnL (2)'!H26</f>
        <v>0</v>
      </c>
      <c r="G4" s="258" t="s">
        <v>18</v>
      </c>
    </row>
    <row r="5" spans="1:7" s="8" customFormat="1" x14ac:dyDescent="0.3">
      <c r="A5" s="268"/>
      <c r="B5" s="259"/>
      <c r="C5" s="259"/>
      <c r="D5" s="262"/>
      <c r="E5" s="262"/>
      <c r="F5" s="262"/>
      <c r="G5" s="258"/>
    </row>
    <row r="6" spans="1:7" s="8" customFormat="1" x14ac:dyDescent="0.3">
      <c r="A6" s="268" t="s">
        <v>46</v>
      </c>
      <c r="B6" s="259">
        <f>CFR!F6</f>
        <v>250</v>
      </c>
      <c r="C6" s="259">
        <f>CFR!G6</f>
        <v>383.07045504212454</v>
      </c>
      <c r="D6" s="262">
        <f>-'PnL (2)'!F12</f>
        <v>0</v>
      </c>
      <c r="E6" s="262">
        <f>-'PnL (2)'!G12</f>
        <v>0</v>
      </c>
      <c r="F6" s="262">
        <f>-'PnL (2)'!H12</f>
        <v>0</v>
      </c>
      <c r="G6" s="258" t="s">
        <v>18</v>
      </c>
    </row>
    <row r="7" spans="1:7" s="8" customFormat="1" x14ac:dyDescent="0.3">
      <c r="A7" s="268"/>
      <c r="B7" s="259"/>
      <c r="C7" s="259"/>
      <c r="D7" s="262"/>
      <c r="E7" s="262"/>
      <c r="F7" s="262"/>
      <c r="G7" s="258"/>
    </row>
    <row r="8" spans="1:7" s="8" customFormat="1" x14ac:dyDescent="0.3">
      <c r="A8" s="268" t="s">
        <v>47</v>
      </c>
      <c r="B8" s="259">
        <f>CFR!F8</f>
        <v>-103.87129464285715</v>
      </c>
      <c r="C8" s="259">
        <f>CFR!G8</f>
        <v>-83.953920650921759</v>
      </c>
      <c r="D8" s="262">
        <f>('BS (2)'!F27+'BS (2)'!F29-'BS (2)'!E27-'BS (2)'!E29)*-1</f>
        <v>-60</v>
      </c>
      <c r="E8" s="262">
        <f>('BS (2)'!G27+'BS (2)'!G29-'BS (2)'!F27-'BS (2)'!F29)*-1</f>
        <v>0</v>
      </c>
      <c r="F8" s="262">
        <f>('BS (2)'!H27+'BS (2)'!H29-'BS (2)'!G27-'BS (2)'!G29)*-1</f>
        <v>0</v>
      </c>
      <c r="G8" s="258" t="s">
        <v>18</v>
      </c>
    </row>
    <row r="9" spans="1:7" s="8" customFormat="1" x14ac:dyDescent="0.3">
      <c r="A9" s="268"/>
      <c r="B9" s="259"/>
      <c r="C9" s="259"/>
      <c r="D9" s="262"/>
      <c r="E9" s="262"/>
      <c r="F9" s="262"/>
      <c r="G9" s="258"/>
    </row>
    <row r="10" spans="1:7" s="8" customFormat="1" x14ac:dyDescent="0.3">
      <c r="A10" s="268" t="s">
        <v>48</v>
      </c>
      <c r="B10" s="259">
        <f>CFR!F10</f>
        <v>0</v>
      </c>
      <c r="C10" s="259">
        <f>CFR!G10</f>
        <v>0</v>
      </c>
      <c r="D10" s="262"/>
      <c r="E10" s="262"/>
      <c r="F10" s="262"/>
    </row>
    <row r="11" spans="1:7" s="8" customFormat="1" x14ac:dyDescent="0.3">
      <c r="A11" s="268"/>
      <c r="B11" s="259"/>
      <c r="C11" s="259"/>
      <c r="D11" s="262"/>
      <c r="E11" s="262"/>
      <c r="F11" s="262"/>
    </row>
    <row r="12" spans="1:7" s="8" customFormat="1" x14ac:dyDescent="0.3">
      <c r="A12" s="268" t="s">
        <v>49</v>
      </c>
      <c r="B12" s="259">
        <f>CFR!F12</f>
        <v>-20</v>
      </c>
      <c r="C12" s="259">
        <f>CFR!G12</f>
        <v>5</v>
      </c>
      <c r="D12" s="262">
        <f>('BS (2)'!F10-'BS (2)'!E10)*-1</f>
        <v>355</v>
      </c>
      <c r="E12" s="262">
        <f>('BS (2)'!G10-'BS (2)'!F10)*-1</f>
        <v>0</v>
      </c>
      <c r="F12" s="262">
        <f>('BS (2)'!H10-'BS (2)'!G10)*-1</f>
        <v>0</v>
      </c>
      <c r="G12" s="258" t="s">
        <v>18</v>
      </c>
    </row>
    <row r="13" spans="1:7" s="8" customFormat="1" x14ac:dyDescent="0.3">
      <c r="A13" s="268"/>
      <c r="B13" s="259"/>
      <c r="C13" s="259"/>
      <c r="D13" s="262"/>
      <c r="E13" s="262"/>
      <c r="F13" s="262"/>
      <c r="G13" s="258"/>
    </row>
    <row r="14" spans="1:7" s="8" customFormat="1" x14ac:dyDescent="0.3">
      <c r="A14" s="268" t="s">
        <v>50</v>
      </c>
      <c r="B14" s="259">
        <f>CFR!F14</f>
        <v>-68.333333333333371</v>
      </c>
      <c r="C14" s="259">
        <f>CFR!G14</f>
        <v>-56.238753963753993</v>
      </c>
      <c r="D14" s="262">
        <f>('BS (2)'!F12+'BS (2)'!F14+'BS (2)'!F18-'BS (2)'!E12-'BS (2)'!E14-'BS (2)'!E18)*-1</f>
        <v>806.23875396375399</v>
      </c>
      <c r="E14" s="262">
        <f>('BS (2)'!G12+'BS (2)'!G14+'BS (2)'!G18-'BS (2)'!F12-'BS (2)'!F14-'BS (2)'!F18)*-1</f>
        <v>0</v>
      </c>
      <c r="F14" s="262">
        <f>('BS (2)'!H12+'BS (2)'!H14+'BS (2)'!H18-'BS (2)'!G12-'BS (2)'!G14-'BS (2)'!G18)*-1</f>
        <v>0</v>
      </c>
      <c r="G14" s="258" t="s">
        <v>18</v>
      </c>
    </row>
    <row r="15" spans="1:7" s="8" customFormat="1" x14ac:dyDescent="0.3">
      <c r="A15" s="268"/>
      <c r="B15" s="259"/>
      <c r="C15" s="259"/>
      <c r="D15" s="262"/>
      <c r="E15" s="262"/>
      <c r="F15" s="262"/>
      <c r="G15" s="258"/>
    </row>
    <row r="16" spans="1:7" s="8" customFormat="1" x14ac:dyDescent="0.3">
      <c r="A16" s="268" t="s">
        <v>51</v>
      </c>
      <c r="B16" s="259">
        <f>CFR!F16</f>
        <v>-15</v>
      </c>
      <c r="C16" s="259">
        <f>CFR!G16</f>
        <v>33</v>
      </c>
      <c r="D16" s="262">
        <f>('BS (2)'!F31+'BS (2)'!F35+'BS (2)'!F33-'BS (2)'!E31-'BS (2)'!E35-'BS (2)'!E33)*-1</f>
        <v>-303</v>
      </c>
      <c r="E16" s="262">
        <f>('BS (2)'!G31+'BS (2)'!G35+'BS (2)'!G33-'BS (2)'!F31-'BS (2)'!F35-'BS (2)'!F33)*-1</f>
        <v>0</v>
      </c>
      <c r="F16" s="262">
        <f>('BS (2)'!H31+'BS (2)'!H35+'BS (2)'!H33-'BS (2)'!G31-'BS (2)'!G35-'BS (2)'!G33)*-1</f>
        <v>0</v>
      </c>
      <c r="G16" s="258" t="s">
        <v>18</v>
      </c>
    </row>
    <row r="17" spans="1:9" s="8" customFormat="1" x14ac:dyDescent="0.3">
      <c r="A17" s="268"/>
      <c r="B17" s="259"/>
      <c r="C17" s="259"/>
      <c r="D17" s="274"/>
      <c r="E17" s="274"/>
      <c r="F17" s="274"/>
      <c r="G17" s="258"/>
    </row>
    <row r="18" spans="1:9" s="8" customFormat="1" x14ac:dyDescent="0.3">
      <c r="A18" s="268" t="s">
        <v>52</v>
      </c>
      <c r="B18" s="259">
        <f>CFR!F18</f>
        <v>0</v>
      </c>
      <c r="C18" s="259">
        <f>CFR!G18</f>
        <v>-5</v>
      </c>
      <c r="D18" s="262">
        <f>('PnL (2)'!F18+'PnL (2)'!F20)*-1</f>
        <v>0</v>
      </c>
      <c r="E18" s="262">
        <f>('PnL (2)'!G18+'PnL (2)'!G20)*-1</f>
        <v>0</v>
      </c>
      <c r="F18" s="262">
        <f>('PnL (2)'!H18+'PnL (2)'!H20)*-1</f>
        <v>0</v>
      </c>
      <c r="G18" s="258" t="s">
        <v>18</v>
      </c>
      <c r="H18" s="30"/>
      <c r="I18" s="30"/>
    </row>
    <row r="19" spans="1:9" s="8" customFormat="1" x14ac:dyDescent="0.3">
      <c r="A19" s="268"/>
      <c r="B19" s="259"/>
      <c r="C19" s="259"/>
      <c r="D19" s="262"/>
      <c r="E19" s="262"/>
      <c r="F19" s="262"/>
      <c r="G19" s="258"/>
    </row>
    <row r="20" spans="1:9" s="8" customFormat="1" x14ac:dyDescent="0.3">
      <c r="A20" s="268" t="s">
        <v>53</v>
      </c>
      <c r="B20" s="259">
        <f>CFR!F20</f>
        <v>0</v>
      </c>
      <c r="C20" s="259">
        <f>CFR!G20</f>
        <v>0</v>
      </c>
      <c r="D20" s="275"/>
      <c r="E20" s="275"/>
      <c r="F20" s="275"/>
      <c r="I20" s="18"/>
    </row>
    <row r="21" spans="1:9" s="8" customFormat="1" x14ac:dyDescent="0.3">
      <c r="A21" s="268"/>
      <c r="B21" s="259"/>
      <c r="C21" s="259"/>
      <c r="D21" s="276"/>
      <c r="E21" s="276"/>
      <c r="F21" s="276"/>
    </row>
    <row r="22" spans="1:9" s="8" customFormat="1" x14ac:dyDescent="0.3">
      <c r="A22" s="268" t="s">
        <v>54</v>
      </c>
      <c r="B22" s="259">
        <f>CFR!F22</f>
        <v>0</v>
      </c>
      <c r="C22" s="259">
        <f>CFR!G22</f>
        <v>0</v>
      </c>
      <c r="D22" s="276"/>
      <c r="E22" s="276"/>
      <c r="F22" s="276"/>
      <c r="I22" s="18"/>
    </row>
    <row r="23" spans="1:9" s="8" customFormat="1" x14ac:dyDescent="0.3">
      <c r="A23" s="268"/>
      <c r="B23" s="259"/>
      <c r="C23" s="259"/>
      <c r="D23" s="277"/>
      <c r="E23" s="277"/>
      <c r="F23" s="277"/>
    </row>
    <row r="24" spans="1:9" s="8" customFormat="1" x14ac:dyDescent="0.3">
      <c r="A24" s="279" t="s">
        <v>55</v>
      </c>
      <c r="B24" s="260">
        <f>CFR!F24</f>
        <v>1000.9738095238095</v>
      </c>
      <c r="C24" s="260">
        <f>CFR!G24</f>
        <v>763.96425760191494</v>
      </c>
      <c r="D24" s="260">
        <f>+SUM(D4:D22)</f>
        <v>798.23875396375388</v>
      </c>
      <c r="E24" s="260">
        <f t="shared" ref="E24:F24" si="0">+SUM(E4:E22)</f>
        <v>0</v>
      </c>
      <c r="F24" s="260">
        <f t="shared" si="0"/>
        <v>0</v>
      </c>
      <c r="G24" s="258" t="s">
        <v>18</v>
      </c>
    </row>
    <row r="25" spans="1:9" s="8" customFormat="1" ht="17.25" customHeight="1" thickBot="1" x14ac:dyDescent="0.35">
      <c r="A25" s="280"/>
      <c r="B25" s="261"/>
      <c r="C25" s="261"/>
      <c r="D25" s="261"/>
      <c r="E25" s="261"/>
      <c r="F25" s="261"/>
      <c r="G25" s="258"/>
    </row>
    <row r="26" spans="1:9" s="1" customFormat="1" ht="5.0999999999999996" customHeight="1" thickTop="1" x14ac:dyDescent="0.3">
      <c r="A26" s="67"/>
      <c r="B26" s="74"/>
      <c r="C26" s="74"/>
      <c r="D26" s="75"/>
      <c r="E26" s="75"/>
      <c r="F26" s="75"/>
    </row>
    <row r="27" spans="1:9" s="8" customFormat="1" x14ac:dyDescent="0.3">
      <c r="A27" s="268" t="s">
        <v>56</v>
      </c>
      <c r="B27" s="259">
        <f>CFR!F27</f>
        <v>-1040</v>
      </c>
      <c r="C27" s="259">
        <f>CFR!G27</f>
        <v>-150</v>
      </c>
      <c r="D27" s="262">
        <f>-'CAPEX (2)'!G9</f>
        <v>0</v>
      </c>
      <c r="E27" s="262">
        <f>-'CAPEX (2)'!H9</f>
        <v>0</v>
      </c>
      <c r="F27" s="262">
        <f>-'CAPEX (2)'!I9</f>
        <v>0</v>
      </c>
      <c r="G27" s="258" t="s">
        <v>18</v>
      </c>
      <c r="H27" s="30"/>
      <c r="I27" s="30"/>
    </row>
    <row r="28" spans="1:9" s="8" customFormat="1" x14ac:dyDescent="0.3">
      <c r="A28" s="268"/>
      <c r="B28" s="259"/>
      <c r="C28" s="259"/>
      <c r="D28" s="262"/>
      <c r="E28" s="262"/>
      <c r="F28" s="262"/>
      <c r="G28" s="258"/>
    </row>
    <row r="29" spans="1:9" s="8" customFormat="1" x14ac:dyDescent="0.3">
      <c r="A29" s="268" t="s">
        <v>57</v>
      </c>
      <c r="B29" s="259">
        <f>CFR!F29</f>
        <v>0</v>
      </c>
      <c r="C29" s="259">
        <f>CFR!G29</f>
        <v>0</v>
      </c>
      <c r="D29" s="275"/>
      <c r="E29" s="275"/>
      <c r="F29" s="275"/>
      <c r="H29" s="30"/>
      <c r="I29" s="30"/>
    </row>
    <row r="30" spans="1:9" s="8" customFormat="1" x14ac:dyDescent="0.3">
      <c r="A30" s="268"/>
      <c r="B30" s="259"/>
      <c r="C30" s="259"/>
      <c r="D30" s="276"/>
      <c r="E30" s="276"/>
      <c r="F30" s="276"/>
    </row>
    <row r="31" spans="1:9" s="8" customFormat="1" x14ac:dyDescent="0.3">
      <c r="A31" s="268" t="s">
        <v>58</v>
      </c>
      <c r="B31" s="259">
        <f>CFR!F31</f>
        <v>0</v>
      </c>
      <c r="C31" s="259">
        <f>CFR!G31</f>
        <v>0</v>
      </c>
      <c r="D31" s="276"/>
      <c r="E31" s="276"/>
      <c r="F31" s="276"/>
      <c r="H31" s="30"/>
      <c r="I31" s="30"/>
    </row>
    <row r="32" spans="1:9" s="8" customFormat="1" x14ac:dyDescent="0.3">
      <c r="A32" s="268"/>
      <c r="B32" s="259"/>
      <c r="C32" s="259"/>
      <c r="D32" s="276"/>
      <c r="E32" s="276"/>
      <c r="F32" s="276"/>
    </row>
    <row r="33" spans="1:9" s="8" customFormat="1" x14ac:dyDescent="0.3">
      <c r="A33" s="268" t="s">
        <v>59</v>
      </c>
      <c r="B33" s="259">
        <f>CFR!F33</f>
        <v>0</v>
      </c>
      <c r="C33" s="259">
        <f>CFR!G33</f>
        <v>0</v>
      </c>
      <c r="D33" s="276"/>
      <c r="E33" s="276"/>
      <c r="F33" s="276"/>
    </row>
    <row r="34" spans="1:9" s="8" customFormat="1" x14ac:dyDescent="0.3">
      <c r="A34" s="268"/>
      <c r="B34" s="259"/>
      <c r="C34" s="259"/>
      <c r="D34" s="276"/>
      <c r="E34" s="276"/>
      <c r="F34" s="276"/>
    </row>
    <row r="35" spans="1:9" s="8" customFormat="1" x14ac:dyDescent="0.3">
      <c r="A35" s="268" t="s">
        <v>60</v>
      </c>
      <c r="B35" s="259">
        <f>CFR!F35</f>
        <v>0</v>
      </c>
      <c r="C35" s="259">
        <f>CFR!G35</f>
        <v>0</v>
      </c>
      <c r="D35" s="276"/>
      <c r="E35" s="276"/>
      <c r="F35" s="276"/>
    </row>
    <row r="36" spans="1:9" s="8" customFormat="1" x14ac:dyDescent="0.3">
      <c r="A36" s="268"/>
      <c r="B36" s="259"/>
      <c r="C36" s="259"/>
      <c r="D36" s="277"/>
      <c r="E36" s="277"/>
      <c r="F36" s="277"/>
    </row>
    <row r="37" spans="1:9" s="8" customFormat="1" x14ac:dyDescent="0.3">
      <c r="A37" s="268" t="s">
        <v>61</v>
      </c>
      <c r="B37" s="259">
        <f>CFR!F37</f>
        <v>0</v>
      </c>
      <c r="C37" s="259">
        <f>CFR!G37</f>
        <v>5</v>
      </c>
      <c r="D37" s="262">
        <f>'PnL (2)'!F18</f>
        <v>0</v>
      </c>
      <c r="E37" s="262">
        <f>'PnL (2)'!G18</f>
        <v>0</v>
      </c>
      <c r="F37" s="262">
        <f>'PnL (2)'!H18</f>
        <v>0</v>
      </c>
      <c r="G37" s="258" t="s">
        <v>18</v>
      </c>
      <c r="H37" s="18"/>
      <c r="I37" s="18"/>
    </row>
    <row r="38" spans="1:9" s="8" customFormat="1" x14ac:dyDescent="0.3">
      <c r="A38" s="268"/>
      <c r="B38" s="259"/>
      <c r="C38" s="259"/>
      <c r="D38" s="262"/>
      <c r="E38" s="262"/>
      <c r="F38" s="262"/>
      <c r="G38" s="258"/>
    </row>
    <row r="39" spans="1:9" s="8" customFormat="1" x14ac:dyDescent="0.3">
      <c r="A39" s="268" t="s">
        <v>53</v>
      </c>
      <c r="B39" s="259">
        <f>CFR!F39</f>
        <v>0</v>
      </c>
      <c r="C39" s="259">
        <f>CFR!G39</f>
        <v>0</v>
      </c>
      <c r="D39" s="275"/>
      <c r="E39" s="275"/>
      <c r="F39" s="275"/>
    </row>
    <row r="40" spans="1:9" s="8" customFormat="1" x14ac:dyDescent="0.3">
      <c r="A40" s="268"/>
      <c r="B40" s="259"/>
      <c r="C40" s="259"/>
      <c r="D40" s="276"/>
      <c r="E40" s="276"/>
      <c r="F40" s="276"/>
    </row>
    <row r="41" spans="1:9" s="8" customFormat="1" x14ac:dyDescent="0.3">
      <c r="A41" s="268" t="s">
        <v>54</v>
      </c>
      <c r="B41" s="259">
        <f>CFR!F41</f>
        <v>0</v>
      </c>
      <c r="C41" s="259">
        <f>CFR!G41</f>
        <v>0</v>
      </c>
      <c r="D41" s="276"/>
      <c r="E41" s="276"/>
      <c r="F41" s="276"/>
    </row>
    <row r="42" spans="1:9" s="8" customFormat="1" x14ac:dyDescent="0.3">
      <c r="A42" s="268"/>
      <c r="B42" s="259"/>
      <c r="C42" s="259"/>
      <c r="D42" s="276"/>
      <c r="E42" s="276"/>
      <c r="F42" s="276"/>
    </row>
    <row r="43" spans="1:9" s="8" customFormat="1" x14ac:dyDescent="0.3">
      <c r="A43" s="279" t="s">
        <v>62</v>
      </c>
      <c r="B43" s="260">
        <f>CFR!F43</f>
        <v>-1040</v>
      </c>
      <c r="C43" s="260">
        <f>CFR!G43</f>
        <v>-145</v>
      </c>
      <c r="D43" s="278">
        <f>+SUM(D27:D41)</f>
        <v>0</v>
      </c>
      <c r="E43" s="278">
        <f>+SUM(E27:E41)</f>
        <v>0</v>
      </c>
      <c r="F43" s="278">
        <f>+SUM(F27:F41)</f>
        <v>0</v>
      </c>
      <c r="G43" s="258" t="s">
        <v>18</v>
      </c>
    </row>
    <row r="44" spans="1:9" s="8" customFormat="1" ht="15.75" thickBot="1" x14ac:dyDescent="0.35">
      <c r="A44" s="280"/>
      <c r="B44" s="261"/>
      <c r="C44" s="261"/>
      <c r="D44" s="261"/>
      <c r="E44" s="261"/>
      <c r="F44" s="261"/>
      <c r="G44" s="258"/>
    </row>
    <row r="45" spans="1:9" s="8" customFormat="1" ht="5.0999999999999996" customHeight="1" thickTop="1" x14ac:dyDescent="0.3">
      <c r="B45" s="76"/>
      <c r="C45" s="76"/>
      <c r="D45" s="66"/>
      <c r="E45" s="66"/>
      <c r="F45" s="66"/>
    </row>
    <row r="46" spans="1:9" s="8" customFormat="1" x14ac:dyDescent="0.3">
      <c r="A46" s="268" t="s">
        <v>63</v>
      </c>
      <c r="B46" s="259">
        <f>CFR!F46</f>
        <v>0</v>
      </c>
      <c r="C46" s="259">
        <f>CFR!G46</f>
        <v>0</v>
      </c>
      <c r="D46" s="276"/>
      <c r="E46" s="276"/>
      <c r="F46" s="276"/>
    </row>
    <row r="47" spans="1:9" s="8" customFormat="1" x14ac:dyDescent="0.3">
      <c r="A47" s="268"/>
      <c r="B47" s="259"/>
      <c r="C47" s="259"/>
      <c r="D47" s="276"/>
      <c r="E47" s="276"/>
      <c r="F47" s="276"/>
    </row>
    <row r="48" spans="1:9" s="8" customFormat="1" x14ac:dyDescent="0.3">
      <c r="A48" s="268" t="s">
        <v>64</v>
      </c>
      <c r="B48" s="259">
        <f>CFR!F48</f>
        <v>-600</v>
      </c>
      <c r="C48" s="259">
        <f>CFR!G48</f>
        <v>0</v>
      </c>
      <c r="D48" s="276"/>
      <c r="E48" s="276"/>
      <c r="F48" s="276"/>
    </row>
    <row r="49" spans="1:9" s="8" customFormat="1" x14ac:dyDescent="0.3">
      <c r="A49" s="268"/>
      <c r="B49" s="259"/>
      <c r="C49" s="259"/>
      <c r="D49" s="277"/>
      <c r="E49" s="277"/>
      <c r="F49" s="277"/>
    </row>
    <row r="50" spans="1:9" s="8" customFormat="1" x14ac:dyDescent="0.3">
      <c r="A50" s="268" t="s">
        <v>65</v>
      </c>
      <c r="B50" s="259">
        <f>CFR!F50</f>
        <v>0</v>
      </c>
      <c r="C50" s="259">
        <f>CFR!G50</f>
        <v>0</v>
      </c>
      <c r="D50" s="262">
        <f>(-'PnL (2)'!F20)*-1</f>
        <v>0</v>
      </c>
      <c r="E50" s="262">
        <f>(-'PnL (2)'!G20)*-1</f>
        <v>0</v>
      </c>
      <c r="F50" s="262">
        <f>(-'PnL (2)'!H20)*-1</f>
        <v>0</v>
      </c>
      <c r="G50" s="258" t="s">
        <v>18</v>
      </c>
    </row>
    <row r="51" spans="1:9" s="8" customFormat="1" x14ac:dyDescent="0.3">
      <c r="A51" s="268"/>
      <c r="B51" s="259"/>
      <c r="C51" s="259"/>
      <c r="D51" s="262"/>
      <c r="E51" s="262"/>
      <c r="F51" s="262"/>
      <c r="G51" s="258"/>
    </row>
    <row r="52" spans="1:9" s="8" customFormat="1" x14ac:dyDescent="0.3">
      <c r="A52" s="268" t="s">
        <v>53</v>
      </c>
      <c r="B52" s="259">
        <f>CFR!F52</f>
        <v>0</v>
      </c>
      <c r="C52" s="259">
        <f>CFR!G52</f>
        <v>0</v>
      </c>
      <c r="D52" s="275"/>
      <c r="E52" s="275"/>
      <c r="F52" s="275"/>
    </row>
    <row r="53" spans="1:9" s="8" customFormat="1" x14ac:dyDescent="0.3">
      <c r="A53" s="268"/>
      <c r="B53" s="259"/>
      <c r="C53" s="259"/>
      <c r="D53" s="276"/>
      <c r="E53" s="276"/>
      <c r="F53" s="276"/>
    </row>
    <row r="54" spans="1:9" s="8" customFormat="1" x14ac:dyDescent="0.3">
      <c r="A54" s="268" t="s">
        <v>54</v>
      </c>
      <c r="B54" s="259">
        <f>CFR!F54</f>
        <v>0</v>
      </c>
      <c r="C54" s="259">
        <f>CFR!G54</f>
        <v>0</v>
      </c>
      <c r="D54" s="276"/>
      <c r="E54" s="276"/>
      <c r="F54" s="276"/>
    </row>
    <row r="55" spans="1:9" s="8" customFormat="1" x14ac:dyDescent="0.3">
      <c r="A55" s="268"/>
      <c r="B55" s="259"/>
      <c r="C55" s="259"/>
      <c r="D55" s="276"/>
      <c r="E55" s="276"/>
      <c r="F55" s="276"/>
    </row>
    <row r="56" spans="1:9" s="8" customFormat="1" x14ac:dyDescent="0.3">
      <c r="A56" s="268" t="s">
        <v>66</v>
      </c>
      <c r="B56" s="259">
        <f>CFR!F56</f>
        <v>0</v>
      </c>
      <c r="C56" s="259">
        <f>CFR!G56</f>
        <v>0</v>
      </c>
      <c r="D56" s="276"/>
      <c r="E56" s="276"/>
      <c r="F56" s="276"/>
    </row>
    <row r="57" spans="1:9" s="8" customFormat="1" x14ac:dyDescent="0.3">
      <c r="A57" s="268"/>
      <c r="B57" s="259"/>
      <c r="C57" s="259"/>
      <c r="D57" s="277"/>
      <c r="E57" s="277"/>
      <c r="F57" s="277"/>
    </row>
    <row r="58" spans="1:9" s="8" customFormat="1" x14ac:dyDescent="0.3">
      <c r="A58" s="279" t="s">
        <v>67</v>
      </c>
      <c r="B58" s="260">
        <f>CFR!F58</f>
        <v>-600</v>
      </c>
      <c r="C58" s="260">
        <f>CFR!G58</f>
        <v>0</v>
      </c>
      <c r="D58" s="260">
        <f>+SUM(D46:D56)</f>
        <v>0</v>
      </c>
      <c r="E58" s="260">
        <f>+SUM(E46:E56)</f>
        <v>0</v>
      </c>
      <c r="F58" s="260">
        <f>+SUM(F46:F56)</f>
        <v>0</v>
      </c>
      <c r="G58" s="258" t="s">
        <v>18</v>
      </c>
    </row>
    <row r="59" spans="1:9" s="8" customFormat="1" ht="15.75" thickBot="1" x14ac:dyDescent="0.35">
      <c r="A59" s="280"/>
      <c r="B59" s="261"/>
      <c r="C59" s="261"/>
      <c r="D59" s="261"/>
      <c r="E59" s="261"/>
      <c r="F59" s="261"/>
      <c r="G59" s="258"/>
    </row>
    <row r="60" spans="1:9" s="8" customFormat="1" ht="15.75" thickTop="1" x14ac:dyDescent="0.3">
      <c r="B60" s="77"/>
      <c r="C60" s="77"/>
      <c r="D60" s="66"/>
      <c r="E60" s="66"/>
      <c r="F60" s="66"/>
    </row>
    <row r="61" spans="1:9" s="8" customFormat="1" x14ac:dyDescent="0.3">
      <c r="A61" s="16" t="s">
        <v>68</v>
      </c>
      <c r="B61" s="78">
        <f>+B58+B43+B24</f>
        <v>-639.02619047619055</v>
      </c>
      <c r="C61" s="78">
        <f>+C58+C43+C24</f>
        <v>618.96425760191494</v>
      </c>
      <c r="D61" s="78">
        <f>+D58+D43+D24</f>
        <v>798.23875396375388</v>
      </c>
      <c r="E61" s="78">
        <f>+E58+E43+E24</f>
        <v>0</v>
      </c>
      <c r="F61" s="78">
        <f>+F58+F43+F24</f>
        <v>0</v>
      </c>
    </row>
    <row r="62" spans="1:9" s="8" customFormat="1" x14ac:dyDescent="0.3">
      <c r="A62" s="16" t="s">
        <v>69</v>
      </c>
      <c r="B62" s="78">
        <f>CFR!F62</f>
        <v>1004.3618970814139</v>
      </c>
      <c r="C62" s="78">
        <f t="shared" ref="C62" si="1">+B63</f>
        <v>365.33570660522332</v>
      </c>
      <c r="D62" s="78">
        <f>C63</f>
        <v>984.29996420713826</v>
      </c>
      <c r="E62" s="78">
        <f t="shared" ref="E62:F62" si="2">+D63</f>
        <v>1782.538718170892</v>
      </c>
      <c r="F62" s="78">
        <f t="shared" si="2"/>
        <v>1782.538718170892</v>
      </c>
      <c r="I62" s="18"/>
    </row>
    <row r="63" spans="1:9" s="8" customFormat="1" x14ac:dyDescent="0.3">
      <c r="A63" s="16" t="s">
        <v>70</v>
      </c>
      <c r="B63" s="78">
        <f t="shared" ref="B63:C63" si="3">+B61+B62</f>
        <v>365.33570660522332</v>
      </c>
      <c r="C63" s="78">
        <f t="shared" si="3"/>
        <v>984.29996420713826</v>
      </c>
      <c r="D63" s="78">
        <f t="shared" ref="D63:F63" si="4">+D61+D62</f>
        <v>1782.538718170892</v>
      </c>
      <c r="E63" s="78">
        <f t="shared" si="4"/>
        <v>1782.538718170892</v>
      </c>
      <c r="F63" s="78">
        <f t="shared" si="4"/>
        <v>1782.538718170892</v>
      </c>
    </row>
    <row r="64" spans="1:9" s="8" customFormat="1" x14ac:dyDescent="0.3">
      <c r="B64" s="79"/>
      <c r="C64" s="79"/>
      <c r="D64" s="66"/>
      <c r="E64" s="66"/>
      <c r="F64" s="66"/>
    </row>
    <row r="65" spans="2:7" s="49" customFormat="1" x14ac:dyDescent="0.3">
      <c r="B65" s="77"/>
      <c r="C65" s="77"/>
      <c r="D65" s="77"/>
      <c r="E65" s="77"/>
      <c r="F65" s="77"/>
      <c r="G65" s="6"/>
    </row>
    <row r="66" spans="2:7" s="49" customFormat="1" ht="8.25" x14ac:dyDescent="0.15">
      <c r="B66" s="80">
        <f>+B63-'BS (2)'!D16</f>
        <v>0</v>
      </c>
      <c r="C66" s="80">
        <f>+C63-'BS (2)'!E16</f>
        <v>0</v>
      </c>
      <c r="D66" s="80">
        <f>+D63-'BS (2)'!F16</f>
        <v>0</v>
      </c>
      <c r="E66" s="80">
        <f>+E63-'BS (2)'!G16</f>
        <v>0</v>
      </c>
      <c r="F66" s="80">
        <f>+F63-'BS (2)'!H16</f>
        <v>0</v>
      </c>
    </row>
    <row r="67" spans="2:7" s="8" customFormat="1" x14ac:dyDescent="0.3">
      <c r="B67" s="1"/>
      <c r="C67" s="1"/>
    </row>
    <row r="68" spans="2:7" s="8" customFormat="1" x14ac:dyDescent="0.3">
      <c r="B68" s="6"/>
      <c r="C68" s="6"/>
    </row>
    <row r="69" spans="2:7" s="8" customFormat="1" x14ac:dyDescent="0.3">
      <c r="B69" s="1"/>
      <c r="C69" s="1"/>
    </row>
    <row r="70" spans="2:7" s="8" customFormat="1" x14ac:dyDescent="0.3">
      <c r="B70" s="1"/>
      <c r="C70" s="1"/>
    </row>
    <row r="71" spans="2:7" s="8" customFormat="1" x14ac:dyDescent="0.3">
      <c r="B71" s="1"/>
      <c r="C71" s="1"/>
    </row>
    <row r="72" spans="2:7" s="8" customFormat="1" x14ac:dyDescent="0.3">
      <c r="B72" s="1"/>
      <c r="C72" s="1"/>
    </row>
    <row r="73" spans="2:7" s="8" customFormat="1" x14ac:dyDescent="0.3">
      <c r="B73" s="1"/>
      <c r="C73" s="1"/>
    </row>
    <row r="74" spans="2:7" s="8" customFormat="1" x14ac:dyDescent="0.3">
      <c r="B74" s="1"/>
      <c r="C74" s="1"/>
    </row>
    <row r="75" spans="2:7" s="8" customFormat="1" x14ac:dyDescent="0.3">
      <c r="B75" s="1"/>
      <c r="C75" s="1"/>
    </row>
    <row r="76" spans="2:7" s="8" customFormat="1" x14ac:dyDescent="0.3">
      <c r="B76" s="1"/>
      <c r="C76" s="1"/>
    </row>
    <row r="77" spans="2:7" s="8" customFormat="1" x14ac:dyDescent="0.3">
      <c r="B77" s="1"/>
      <c r="C77" s="1"/>
    </row>
    <row r="78" spans="2:7" s="8" customFormat="1" x14ac:dyDescent="0.3">
      <c r="B78" s="1"/>
      <c r="C78" s="1"/>
    </row>
    <row r="79" spans="2:7" s="8" customFormat="1" x14ac:dyDescent="0.3">
      <c r="B79" s="1"/>
      <c r="C79" s="1"/>
    </row>
    <row r="80" spans="2:7" s="8" customFormat="1" x14ac:dyDescent="0.3">
      <c r="B80" s="1"/>
      <c r="C80" s="1"/>
    </row>
    <row r="81" spans="2:3" s="8" customFormat="1" x14ac:dyDescent="0.3">
      <c r="B81" s="1"/>
      <c r="C81" s="1"/>
    </row>
    <row r="82" spans="2:3" s="8" customFormat="1" x14ac:dyDescent="0.3">
      <c r="B82" s="1"/>
      <c r="C82" s="1"/>
    </row>
    <row r="83" spans="2:3" s="8" customFormat="1" x14ac:dyDescent="0.3">
      <c r="B83" s="1"/>
      <c r="C83" s="1"/>
    </row>
    <row r="84" spans="2:3" s="8" customFormat="1" x14ac:dyDescent="0.3">
      <c r="B84" s="1"/>
      <c r="C84" s="1"/>
    </row>
    <row r="85" spans="2:3" s="8" customFormat="1" x14ac:dyDescent="0.3">
      <c r="B85" s="1"/>
      <c r="C85" s="1"/>
    </row>
    <row r="86" spans="2:3" s="8" customFormat="1" x14ac:dyDescent="0.3">
      <c r="B86" s="1"/>
      <c r="C86" s="1"/>
    </row>
    <row r="87" spans="2:3" s="8" customFormat="1" x14ac:dyDescent="0.3">
      <c r="B87" s="1"/>
      <c r="C87" s="1"/>
    </row>
    <row r="88" spans="2:3" s="8" customFormat="1" x14ac:dyDescent="0.3">
      <c r="B88" s="1"/>
      <c r="C88" s="1"/>
    </row>
    <row r="89" spans="2:3" s="8" customFormat="1" x14ac:dyDescent="0.3">
      <c r="B89" s="1"/>
      <c r="C89" s="1"/>
    </row>
    <row r="90" spans="2:3" s="8" customFormat="1" x14ac:dyDescent="0.3">
      <c r="B90" s="1"/>
      <c r="C90" s="1"/>
    </row>
    <row r="91" spans="2:3" s="8" customFormat="1" x14ac:dyDescent="0.3">
      <c r="B91" s="1"/>
      <c r="C91" s="1"/>
    </row>
    <row r="92" spans="2:3" s="8" customFormat="1" x14ac:dyDescent="0.3">
      <c r="B92" s="1"/>
      <c r="C92" s="1"/>
    </row>
    <row r="93" spans="2:3" s="8" customFormat="1" x14ac:dyDescent="0.3">
      <c r="B93" s="1"/>
      <c r="C93" s="1"/>
    </row>
    <row r="94" spans="2:3" s="8" customFormat="1" x14ac:dyDescent="0.3">
      <c r="B94" s="1"/>
      <c r="C94" s="1"/>
    </row>
    <row r="95" spans="2:3" s="8" customFormat="1" x14ac:dyDescent="0.3">
      <c r="B95" s="1"/>
      <c r="C95" s="1"/>
    </row>
    <row r="96" spans="2:3" s="8" customFormat="1" x14ac:dyDescent="0.3">
      <c r="B96" s="1"/>
      <c r="C96" s="1"/>
    </row>
    <row r="97" spans="2:3" s="8" customFormat="1" x14ac:dyDescent="0.3">
      <c r="B97" s="1"/>
      <c r="C97" s="1"/>
    </row>
    <row r="98" spans="2:3" s="8" customFormat="1" x14ac:dyDescent="0.3">
      <c r="B98" s="1"/>
      <c r="C98" s="1"/>
    </row>
    <row r="99" spans="2:3" s="8" customFormat="1" x14ac:dyDescent="0.3">
      <c r="B99" s="1"/>
      <c r="C99" s="1"/>
    </row>
    <row r="100" spans="2:3" s="8" customFormat="1" x14ac:dyDescent="0.3">
      <c r="B100" s="1"/>
      <c r="C100" s="1"/>
    </row>
    <row r="101" spans="2:3" s="8" customFormat="1" x14ac:dyDescent="0.3">
      <c r="B101" s="1"/>
      <c r="C101" s="1"/>
    </row>
    <row r="102" spans="2:3" s="8" customFormat="1" x14ac:dyDescent="0.3">
      <c r="B102" s="1"/>
      <c r="C102" s="1"/>
    </row>
    <row r="103" spans="2:3" s="8" customFormat="1" x14ac:dyDescent="0.3">
      <c r="B103" s="1"/>
      <c r="C103" s="1"/>
    </row>
    <row r="104" spans="2:3" s="8" customFormat="1" x14ac:dyDescent="0.3">
      <c r="B104" s="1"/>
      <c r="C104" s="1"/>
    </row>
    <row r="105" spans="2:3" s="8" customFormat="1" x14ac:dyDescent="0.3">
      <c r="B105" s="1"/>
      <c r="C105" s="1"/>
    </row>
    <row r="106" spans="2:3" s="8" customFormat="1" x14ac:dyDescent="0.3">
      <c r="B106" s="1"/>
      <c r="C106" s="1"/>
    </row>
    <row r="107" spans="2:3" s="8" customFormat="1" x14ac:dyDescent="0.3">
      <c r="B107" s="1"/>
      <c r="C107" s="1"/>
    </row>
    <row r="108" spans="2:3" s="8" customFormat="1" x14ac:dyDescent="0.3">
      <c r="B108" s="1"/>
      <c r="C108" s="1"/>
    </row>
    <row r="109" spans="2:3" s="8" customFormat="1" x14ac:dyDescent="0.3">
      <c r="B109" s="1"/>
      <c r="C109" s="1"/>
    </row>
    <row r="110" spans="2:3" s="8" customFormat="1" x14ac:dyDescent="0.3">
      <c r="B110" s="1"/>
      <c r="C110" s="1"/>
    </row>
    <row r="111" spans="2:3" s="8" customFormat="1" x14ac:dyDescent="0.3">
      <c r="B111" s="1"/>
      <c r="C111" s="1"/>
    </row>
    <row r="112" spans="2:3" s="8" customFormat="1" x14ac:dyDescent="0.3">
      <c r="B112" s="1"/>
      <c r="C112" s="1"/>
    </row>
    <row r="113" spans="2:3" s="8" customFormat="1" x14ac:dyDescent="0.3">
      <c r="B113" s="1"/>
      <c r="C113" s="1"/>
    </row>
    <row r="114" spans="2:3" s="8" customFormat="1" x14ac:dyDescent="0.3">
      <c r="B114" s="1"/>
      <c r="C114" s="1"/>
    </row>
    <row r="115" spans="2:3" s="8" customFormat="1" x14ac:dyDescent="0.3">
      <c r="B115" s="1"/>
      <c r="C115" s="1"/>
    </row>
    <row r="116" spans="2:3" s="8" customFormat="1" x14ac:dyDescent="0.3">
      <c r="B116" s="1"/>
      <c r="C116" s="1"/>
    </row>
    <row r="117" spans="2:3" s="8" customFormat="1" x14ac:dyDescent="0.3">
      <c r="B117" s="1"/>
      <c r="C117" s="1"/>
    </row>
    <row r="118" spans="2:3" s="8" customFormat="1" x14ac:dyDescent="0.3">
      <c r="B118" s="1"/>
      <c r="C118" s="1"/>
    </row>
    <row r="119" spans="2:3" s="8" customFormat="1" x14ac:dyDescent="0.3">
      <c r="B119" s="1"/>
      <c r="C119" s="1"/>
    </row>
    <row r="120" spans="2:3" s="8" customFormat="1" x14ac:dyDescent="0.3">
      <c r="B120" s="1"/>
      <c r="C120" s="1"/>
    </row>
    <row r="121" spans="2:3" s="8" customFormat="1" x14ac:dyDescent="0.3">
      <c r="B121" s="1"/>
      <c r="C121" s="1"/>
    </row>
    <row r="122" spans="2:3" s="8" customFormat="1" x14ac:dyDescent="0.3">
      <c r="B122" s="1"/>
      <c r="C122" s="1"/>
    </row>
    <row r="123" spans="2:3" s="8" customFormat="1" x14ac:dyDescent="0.3">
      <c r="B123" s="1"/>
      <c r="C123" s="1"/>
    </row>
    <row r="124" spans="2:3" s="8" customFormat="1" x14ac:dyDescent="0.3">
      <c r="B124" s="1"/>
      <c r="C124" s="1"/>
    </row>
    <row r="125" spans="2:3" s="8" customFormat="1" x14ac:dyDescent="0.3">
      <c r="B125" s="1"/>
      <c r="C125" s="1"/>
    </row>
    <row r="126" spans="2:3" s="8" customFormat="1" x14ac:dyDescent="0.3">
      <c r="B126" s="1"/>
      <c r="C126" s="1"/>
    </row>
    <row r="127" spans="2:3" s="8" customFormat="1" x14ac:dyDescent="0.3">
      <c r="B127" s="1"/>
      <c r="C127" s="1"/>
    </row>
    <row r="128" spans="2:3" s="8" customFormat="1" x14ac:dyDescent="0.3">
      <c r="B128" s="1"/>
      <c r="C128" s="1"/>
    </row>
    <row r="129" spans="2:3" s="8" customFormat="1" x14ac:dyDescent="0.3">
      <c r="B129" s="1"/>
      <c r="C129" s="1"/>
    </row>
    <row r="130" spans="2:3" s="8" customFormat="1" x14ac:dyDescent="0.3">
      <c r="B130" s="1"/>
      <c r="C130" s="1"/>
    </row>
    <row r="131" spans="2:3" s="8" customFormat="1" x14ac:dyDescent="0.3">
      <c r="B131" s="1"/>
      <c r="C131" s="1"/>
    </row>
    <row r="132" spans="2:3" s="8" customFormat="1" x14ac:dyDescent="0.3">
      <c r="B132" s="1"/>
      <c r="C132" s="1"/>
    </row>
    <row r="133" spans="2:3" s="8" customFormat="1" x14ac:dyDescent="0.3">
      <c r="B133" s="1"/>
      <c r="C133" s="1"/>
    </row>
    <row r="134" spans="2:3" s="8" customFormat="1" x14ac:dyDescent="0.3">
      <c r="B134" s="1"/>
      <c r="C134" s="1"/>
    </row>
    <row r="135" spans="2:3" s="8" customFormat="1" x14ac:dyDescent="0.3">
      <c r="B135" s="1"/>
      <c r="C135" s="1"/>
    </row>
    <row r="136" spans="2:3" s="8" customFormat="1" x14ac:dyDescent="0.3">
      <c r="B136" s="1"/>
      <c r="C136" s="1"/>
    </row>
    <row r="137" spans="2:3" s="8" customFormat="1" x14ac:dyDescent="0.3">
      <c r="B137" s="1"/>
      <c r="C137" s="1"/>
    </row>
    <row r="138" spans="2:3" s="8" customFormat="1" x14ac:dyDescent="0.3">
      <c r="B138" s="1"/>
      <c r="C138" s="1"/>
    </row>
    <row r="139" spans="2:3" s="8" customFormat="1" x14ac:dyDescent="0.3">
      <c r="B139" s="1"/>
      <c r="C139" s="1"/>
    </row>
    <row r="140" spans="2:3" s="8" customFormat="1" x14ac:dyDescent="0.3">
      <c r="B140" s="1"/>
      <c r="C140" s="1"/>
    </row>
    <row r="141" spans="2:3" s="8" customFormat="1" x14ac:dyDescent="0.3">
      <c r="B141" s="1"/>
      <c r="C141" s="1"/>
    </row>
    <row r="142" spans="2:3" s="8" customFormat="1" x14ac:dyDescent="0.3">
      <c r="B142" s="1"/>
      <c r="C142" s="1"/>
    </row>
    <row r="143" spans="2:3" s="8" customFormat="1" x14ac:dyDescent="0.3">
      <c r="B143" s="1"/>
      <c r="C143" s="1"/>
    </row>
    <row r="144" spans="2:3" s="8" customFormat="1" x14ac:dyDescent="0.3">
      <c r="B144" s="1"/>
      <c r="C144" s="1"/>
    </row>
    <row r="145" spans="2:3" s="8" customFormat="1" x14ac:dyDescent="0.3">
      <c r="B145" s="1"/>
      <c r="C145" s="1"/>
    </row>
    <row r="146" spans="2:3" s="8" customFormat="1" x14ac:dyDescent="0.3">
      <c r="B146" s="1"/>
      <c r="C146" s="1"/>
    </row>
    <row r="147" spans="2:3" s="8" customFormat="1" x14ac:dyDescent="0.3">
      <c r="B147" s="1"/>
      <c r="C147" s="1"/>
    </row>
    <row r="148" spans="2:3" s="8" customFormat="1" x14ac:dyDescent="0.3">
      <c r="B148" s="1"/>
      <c r="C148" s="1"/>
    </row>
    <row r="149" spans="2:3" s="8" customFormat="1" x14ac:dyDescent="0.3">
      <c r="B149" s="1"/>
      <c r="C149" s="1"/>
    </row>
    <row r="150" spans="2:3" s="8" customFormat="1" x14ac:dyDescent="0.3">
      <c r="B150" s="1"/>
      <c r="C150" s="1"/>
    </row>
    <row r="151" spans="2:3" s="8" customFormat="1" x14ac:dyDescent="0.3">
      <c r="B151" s="1"/>
      <c r="C151" s="1"/>
    </row>
    <row r="152" spans="2:3" s="8" customFormat="1" x14ac:dyDescent="0.3">
      <c r="B152" s="1"/>
      <c r="C152" s="1"/>
    </row>
    <row r="153" spans="2:3" s="8" customFormat="1" x14ac:dyDescent="0.3">
      <c r="B153" s="1"/>
      <c r="C153" s="1"/>
    </row>
    <row r="154" spans="2:3" s="8" customFormat="1" x14ac:dyDescent="0.3">
      <c r="B154" s="1"/>
      <c r="C154" s="1"/>
    </row>
    <row r="155" spans="2:3" s="8" customFormat="1" x14ac:dyDescent="0.3">
      <c r="B155" s="1"/>
      <c r="C155" s="1"/>
    </row>
    <row r="156" spans="2:3" s="8" customFormat="1" x14ac:dyDescent="0.3">
      <c r="B156" s="1"/>
      <c r="C156" s="1"/>
    </row>
    <row r="157" spans="2:3" s="8" customFormat="1" x14ac:dyDescent="0.3">
      <c r="B157" s="1"/>
      <c r="C157" s="1"/>
    </row>
    <row r="158" spans="2:3" s="8" customFormat="1" x14ac:dyDescent="0.3">
      <c r="B158" s="1"/>
      <c r="C158" s="1"/>
    </row>
    <row r="159" spans="2:3" s="8" customFormat="1" x14ac:dyDescent="0.3">
      <c r="B159" s="1"/>
      <c r="C159" s="1"/>
    </row>
    <row r="160" spans="2:3" s="8" customFormat="1" x14ac:dyDescent="0.3">
      <c r="B160" s="1"/>
      <c r="C160" s="1"/>
    </row>
    <row r="161" spans="2:3" s="8" customFormat="1" x14ac:dyDescent="0.3">
      <c r="B161" s="1"/>
      <c r="C161" s="1"/>
    </row>
    <row r="162" spans="2:3" s="8" customFormat="1" x14ac:dyDescent="0.3">
      <c r="B162" s="1"/>
      <c r="C162" s="1"/>
    </row>
    <row r="163" spans="2:3" s="8" customFormat="1" x14ac:dyDescent="0.3">
      <c r="B163" s="1"/>
      <c r="C163" s="1"/>
    </row>
    <row r="164" spans="2:3" s="8" customFormat="1" x14ac:dyDescent="0.3">
      <c r="B164" s="1"/>
      <c r="C164" s="1"/>
    </row>
    <row r="165" spans="2:3" s="8" customFormat="1" x14ac:dyDescent="0.3">
      <c r="B165" s="1"/>
      <c r="C165" s="1"/>
    </row>
    <row r="166" spans="2:3" s="8" customFormat="1" x14ac:dyDescent="0.3">
      <c r="B166" s="1"/>
      <c r="C166" s="1"/>
    </row>
    <row r="167" spans="2:3" s="8" customFormat="1" x14ac:dyDescent="0.3">
      <c r="B167" s="1"/>
      <c r="C167" s="1"/>
    </row>
    <row r="168" spans="2:3" s="8" customFormat="1" x14ac:dyDescent="0.3">
      <c r="B168" s="1"/>
      <c r="C168" s="1"/>
    </row>
    <row r="169" spans="2:3" s="8" customFormat="1" x14ac:dyDescent="0.3">
      <c r="B169" s="1"/>
      <c r="C169" s="1"/>
    </row>
    <row r="170" spans="2:3" s="8" customFormat="1" x14ac:dyDescent="0.3">
      <c r="B170" s="1"/>
      <c r="C170" s="1"/>
    </row>
    <row r="171" spans="2:3" s="8" customFormat="1" x14ac:dyDescent="0.3">
      <c r="B171" s="1"/>
      <c r="C171" s="1"/>
    </row>
    <row r="172" spans="2:3" s="8" customFormat="1" x14ac:dyDescent="0.3">
      <c r="B172" s="1"/>
      <c r="C172" s="1"/>
    </row>
    <row r="173" spans="2:3" s="8" customFormat="1" x14ac:dyDescent="0.3">
      <c r="B173" s="1"/>
      <c r="C173" s="1"/>
    </row>
    <row r="174" spans="2:3" s="8" customFormat="1" x14ac:dyDescent="0.3">
      <c r="B174" s="1"/>
      <c r="C174" s="1"/>
    </row>
    <row r="175" spans="2:3" s="8" customFormat="1" x14ac:dyDescent="0.3">
      <c r="B175" s="1"/>
      <c r="C175" s="1"/>
    </row>
    <row r="176" spans="2:3" s="8" customFormat="1" x14ac:dyDescent="0.3">
      <c r="B176" s="1"/>
      <c r="C176" s="1"/>
    </row>
    <row r="177" spans="2:3" s="8" customFormat="1" x14ac:dyDescent="0.3">
      <c r="B177" s="1"/>
      <c r="C177" s="1"/>
    </row>
    <row r="178" spans="2:3" s="8" customFormat="1" x14ac:dyDescent="0.3">
      <c r="B178" s="1"/>
      <c r="C178" s="1"/>
    </row>
    <row r="179" spans="2:3" s="8" customFormat="1" x14ac:dyDescent="0.3">
      <c r="B179" s="1"/>
      <c r="C179" s="1"/>
    </row>
    <row r="180" spans="2:3" s="8" customFormat="1" x14ac:dyDescent="0.3">
      <c r="B180" s="1"/>
      <c r="C180" s="1"/>
    </row>
    <row r="181" spans="2:3" s="8" customFormat="1" x14ac:dyDescent="0.3">
      <c r="B181" s="1"/>
      <c r="C181" s="1"/>
    </row>
    <row r="182" spans="2:3" s="8" customFormat="1" x14ac:dyDescent="0.3">
      <c r="B182" s="1"/>
      <c r="C182" s="1"/>
    </row>
    <row r="183" spans="2:3" s="8" customFormat="1" x14ac:dyDescent="0.3">
      <c r="B183" s="1"/>
      <c r="C183" s="1"/>
    </row>
    <row r="184" spans="2:3" s="8" customFormat="1" x14ac:dyDescent="0.3">
      <c r="B184" s="1"/>
      <c r="C184" s="1"/>
    </row>
    <row r="185" spans="2:3" s="8" customFormat="1" x14ac:dyDescent="0.3">
      <c r="B185" s="1"/>
      <c r="C185" s="1"/>
    </row>
    <row r="186" spans="2:3" s="8" customFormat="1" x14ac:dyDescent="0.3">
      <c r="B186" s="1"/>
      <c r="C186" s="1"/>
    </row>
    <row r="187" spans="2:3" s="8" customFormat="1" x14ac:dyDescent="0.3">
      <c r="B187" s="1"/>
      <c r="C187" s="1"/>
    </row>
    <row r="188" spans="2:3" s="8" customFormat="1" x14ac:dyDescent="0.3">
      <c r="B188" s="1"/>
      <c r="C188" s="1"/>
    </row>
    <row r="189" spans="2:3" s="8" customFormat="1" x14ac:dyDescent="0.3">
      <c r="B189" s="1"/>
      <c r="C189" s="1"/>
    </row>
    <row r="190" spans="2:3" s="8" customFormat="1" x14ac:dyDescent="0.3">
      <c r="B190" s="1"/>
      <c r="C190" s="1"/>
    </row>
    <row r="191" spans="2:3" s="8" customFormat="1" x14ac:dyDescent="0.3">
      <c r="B191" s="1"/>
      <c r="C191" s="1"/>
    </row>
    <row r="192" spans="2:3" s="8" customFormat="1" x14ac:dyDescent="0.3">
      <c r="B192" s="1"/>
      <c r="C192" s="1"/>
    </row>
    <row r="193" spans="2:3" s="8" customFormat="1" x14ac:dyDescent="0.3">
      <c r="B193" s="1"/>
      <c r="C193" s="1"/>
    </row>
    <row r="194" spans="2:3" s="8" customFormat="1" x14ac:dyDescent="0.3">
      <c r="B194" s="1"/>
      <c r="C194" s="1"/>
    </row>
    <row r="195" spans="2:3" s="8" customFormat="1" x14ac:dyDescent="0.3">
      <c r="B195" s="1"/>
      <c r="C195" s="1"/>
    </row>
    <row r="196" spans="2:3" s="8" customFormat="1" x14ac:dyDescent="0.3">
      <c r="B196" s="1"/>
      <c r="C196" s="1"/>
    </row>
    <row r="197" spans="2:3" s="8" customFormat="1" x14ac:dyDescent="0.3">
      <c r="B197" s="1"/>
      <c r="C197" s="1"/>
    </row>
    <row r="198" spans="2:3" s="8" customFormat="1" x14ac:dyDescent="0.3">
      <c r="B198" s="1"/>
      <c r="C198" s="1"/>
    </row>
    <row r="199" spans="2:3" s="8" customFormat="1" x14ac:dyDescent="0.3">
      <c r="B199" s="1"/>
      <c r="C199" s="1"/>
    </row>
    <row r="200" spans="2:3" s="8" customFormat="1" x14ac:dyDescent="0.3">
      <c r="B200" s="1"/>
      <c r="C200" s="1"/>
    </row>
    <row r="201" spans="2:3" s="8" customFormat="1" x14ac:dyDescent="0.3">
      <c r="B201" s="1"/>
      <c r="C201" s="1"/>
    </row>
    <row r="202" spans="2:3" s="8" customFormat="1" x14ac:dyDescent="0.3">
      <c r="B202" s="1"/>
      <c r="C202" s="1"/>
    </row>
    <row r="203" spans="2:3" s="8" customFormat="1" x14ac:dyDescent="0.3">
      <c r="B203" s="1"/>
      <c r="C203" s="1"/>
    </row>
    <row r="204" spans="2:3" s="8" customFormat="1" x14ac:dyDescent="0.3">
      <c r="B204" s="1"/>
      <c r="C204" s="1"/>
    </row>
    <row r="205" spans="2:3" s="8" customFormat="1" x14ac:dyDescent="0.3">
      <c r="B205" s="1"/>
      <c r="C205" s="1"/>
    </row>
    <row r="206" spans="2:3" s="8" customFormat="1" x14ac:dyDescent="0.3">
      <c r="B206" s="1"/>
      <c r="C206" s="1"/>
    </row>
    <row r="207" spans="2:3" s="8" customFormat="1" x14ac:dyDescent="0.3">
      <c r="B207" s="1"/>
      <c r="C207" s="1"/>
    </row>
    <row r="208" spans="2:3" s="8" customFormat="1" x14ac:dyDescent="0.3">
      <c r="B208" s="1"/>
      <c r="C208" s="1"/>
    </row>
    <row r="209" spans="2:3" s="8" customFormat="1" x14ac:dyDescent="0.3">
      <c r="B209" s="1"/>
      <c r="C209" s="1"/>
    </row>
    <row r="210" spans="2:3" s="8" customFormat="1" x14ac:dyDescent="0.3">
      <c r="B210" s="1"/>
      <c r="C210" s="1"/>
    </row>
    <row r="211" spans="2:3" s="8" customFormat="1" x14ac:dyDescent="0.3">
      <c r="B211" s="1"/>
      <c r="C211" s="1"/>
    </row>
    <row r="212" spans="2:3" s="8" customFormat="1" x14ac:dyDescent="0.3">
      <c r="B212" s="1"/>
      <c r="C212" s="1"/>
    </row>
    <row r="213" spans="2:3" s="8" customFormat="1" x14ac:dyDescent="0.3">
      <c r="B213" s="1"/>
      <c r="C213" s="1"/>
    </row>
    <row r="214" spans="2:3" s="8" customFormat="1" x14ac:dyDescent="0.3">
      <c r="B214" s="1"/>
      <c r="C214" s="1"/>
    </row>
    <row r="215" spans="2:3" s="8" customFormat="1" x14ac:dyDescent="0.3">
      <c r="B215" s="1"/>
      <c r="C215" s="1"/>
    </row>
    <row r="216" spans="2:3" s="8" customFormat="1" x14ac:dyDescent="0.3">
      <c r="B216" s="1"/>
      <c r="C216" s="1"/>
    </row>
    <row r="217" spans="2:3" s="8" customFormat="1" x14ac:dyDescent="0.3">
      <c r="B217" s="1"/>
      <c r="C217" s="1"/>
    </row>
    <row r="218" spans="2:3" s="8" customFormat="1" x14ac:dyDescent="0.3">
      <c r="B218" s="1"/>
      <c r="C218" s="1"/>
    </row>
    <row r="219" spans="2:3" s="8" customFormat="1" x14ac:dyDescent="0.3">
      <c r="B219" s="1"/>
      <c r="C219" s="1"/>
    </row>
    <row r="220" spans="2:3" s="8" customFormat="1" x14ac:dyDescent="0.3">
      <c r="B220" s="1"/>
      <c r="C220" s="1"/>
    </row>
    <row r="221" spans="2:3" s="8" customFormat="1" x14ac:dyDescent="0.3">
      <c r="B221" s="1"/>
      <c r="C221" s="1"/>
    </row>
    <row r="222" spans="2:3" s="8" customFormat="1" x14ac:dyDescent="0.3">
      <c r="B222" s="1"/>
      <c r="C222" s="1"/>
    </row>
    <row r="223" spans="2:3" s="8" customFormat="1" x14ac:dyDescent="0.3">
      <c r="B223" s="1"/>
      <c r="C223" s="1"/>
    </row>
    <row r="224" spans="2:3" s="8" customFormat="1" x14ac:dyDescent="0.3">
      <c r="B224" s="1"/>
      <c r="C224" s="1"/>
    </row>
    <row r="225" spans="2:3" s="8" customFormat="1" x14ac:dyDescent="0.3">
      <c r="B225" s="1"/>
      <c r="C225" s="1"/>
    </row>
    <row r="226" spans="2:3" s="8" customFormat="1" x14ac:dyDescent="0.3">
      <c r="B226" s="1"/>
      <c r="C226" s="1"/>
    </row>
    <row r="227" spans="2:3" s="8" customFormat="1" x14ac:dyDescent="0.3">
      <c r="B227" s="1"/>
      <c r="C227" s="1"/>
    </row>
    <row r="228" spans="2:3" s="8" customFormat="1" x14ac:dyDescent="0.3">
      <c r="B228" s="1"/>
      <c r="C228" s="1"/>
    </row>
    <row r="229" spans="2:3" s="8" customFormat="1" x14ac:dyDescent="0.3">
      <c r="B229" s="1"/>
      <c r="C229" s="1"/>
    </row>
    <row r="230" spans="2:3" s="8" customFormat="1" x14ac:dyDescent="0.3">
      <c r="B230" s="1"/>
      <c r="C230" s="1"/>
    </row>
    <row r="231" spans="2:3" s="8" customFormat="1" x14ac:dyDescent="0.3">
      <c r="B231" s="1"/>
      <c r="C231" s="1"/>
    </row>
    <row r="232" spans="2:3" s="8" customFormat="1" x14ac:dyDescent="0.3">
      <c r="B232" s="1"/>
      <c r="C232" s="1"/>
    </row>
    <row r="233" spans="2:3" s="8" customFormat="1" x14ac:dyDescent="0.3">
      <c r="B233" s="1"/>
      <c r="C233" s="1"/>
    </row>
    <row r="234" spans="2:3" s="8" customFormat="1" x14ac:dyDescent="0.3">
      <c r="B234" s="1"/>
      <c r="C234" s="1"/>
    </row>
    <row r="235" spans="2:3" s="8" customFormat="1" x14ac:dyDescent="0.3">
      <c r="B235" s="1"/>
      <c r="C235" s="1"/>
    </row>
    <row r="236" spans="2:3" s="8" customFormat="1" x14ac:dyDescent="0.3">
      <c r="B236" s="1"/>
      <c r="C236" s="1"/>
    </row>
    <row r="237" spans="2:3" s="8" customFormat="1" x14ac:dyDescent="0.3">
      <c r="B237" s="1"/>
      <c r="C237" s="1"/>
    </row>
    <row r="238" spans="2:3" s="8" customFormat="1" x14ac:dyDescent="0.3">
      <c r="B238" s="1"/>
      <c r="C238" s="1"/>
    </row>
    <row r="239" spans="2:3" s="8" customFormat="1" x14ac:dyDescent="0.3">
      <c r="B239" s="1"/>
      <c r="C239" s="1"/>
    </row>
    <row r="240" spans="2:3" s="8" customFormat="1" x14ac:dyDescent="0.3">
      <c r="B240" s="1"/>
      <c r="C240" s="1"/>
    </row>
    <row r="241" spans="2:3" s="8" customFormat="1" x14ac:dyDescent="0.3">
      <c r="B241" s="1"/>
      <c r="C241" s="1"/>
    </row>
    <row r="242" spans="2:3" s="8" customFormat="1" x14ac:dyDescent="0.3">
      <c r="B242" s="1"/>
      <c r="C242" s="1"/>
    </row>
    <row r="243" spans="2:3" s="8" customFormat="1" x14ac:dyDescent="0.3">
      <c r="B243" s="1"/>
      <c r="C243" s="1"/>
    </row>
    <row r="244" spans="2:3" s="8" customFormat="1" x14ac:dyDescent="0.3">
      <c r="B244" s="1"/>
      <c r="C244" s="1"/>
    </row>
    <row r="245" spans="2:3" s="8" customFormat="1" x14ac:dyDescent="0.3">
      <c r="B245" s="1"/>
      <c r="C245" s="1"/>
    </row>
    <row r="246" spans="2:3" s="8" customFormat="1" x14ac:dyDescent="0.3">
      <c r="B246" s="1"/>
      <c r="C246" s="1"/>
    </row>
    <row r="247" spans="2:3" s="8" customFormat="1" x14ac:dyDescent="0.3">
      <c r="B247" s="1"/>
      <c r="C247" s="1"/>
    </row>
    <row r="248" spans="2:3" s="8" customFormat="1" x14ac:dyDescent="0.3">
      <c r="B248" s="1"/>
      <c r="C248" s="1"/>
    </row>
    <row r="249" spans="2:3" s="8" customFormat="1" x14ac:dyDescent="0.3">
      <c r="B249" s="1"/>
      <c r="C249" s="1"/>
    </row>
    <row r="250" spans="2:3" s="8" customFormat="1" x14ac:dyDescent="0.3">
      <c r="B250" s="1"/>
      <c r="C250" s="1"/>
    </row>
    <row r="251" spans="2:3" s="8" customFormat="1" x14ac:dyDescent="0.3">
      <c r="B251" s="1"/>
      <c r="C251" s="1"/>
    </row>
    <row r="252" spans="2:3" s="8" customFormat="1" x14ac:dyDescent="0.3">
      <c r="B252" s="1"/>
      <c r="C252" s="1"/>
    </row>
    <row r="253" spans="2:3" s="8" customFormat="1" x14ac:dyDescent="0.3">
      <c r="B253" s="1"/>
      <c r="C253" s="1"/>
    </row>
    <row r="254" spans="2:3" s="8" customFormat="1" x14ac:dyDescent="0.3">
      <c r="B254" s="1"/>
      <c r="C254" s="1"/>
    </row>
    <row r="255" spans="2:3" s="8" customFormat="1" x14ac:dyDescent="0.3">
      <c r="B255" s="1"/>
      <c r="C255" s="1"/>
    </row>
    <row r="256" spans="2:3" s="8" customFormat="1" x14ac:dyDescent="0.3">
      <c r="B256" s="1"/>
      <c r="C256" s="1"/>
    </row>
    <row r="257" spans="2:3" s="8" customFormat="1" x14ac:dyDescent="0.3">
      <c r="B257" s="1"/>
      <c r="C257" s="1"/>
    </row>
    <row r="258" spans="2:3" s="8" customFormat="1" x14ac:dyDescent="0.3">
      <c r="B258" s="1"/>
      <c r="C258" s="1"/>
    </row>
    <row r="259" spans="2:3" s="8" customFormat="1" x14ac:dyDescent="0.3">
      <c r="B259" s="1"/>
      <c r="C259" s="1"/>
    </row>
    <row r="260" spans="2:3" s="8" customFormat="1" x14ac:dyDescent="0.3">
      <c r="B260" s="1"/>
      <c r="C260" s="1"/>
    </row>
    <row r="261" spans="2:3" s="8" customFormat="1" x14ac:dyDescent="0.3">
      <c r="B261" s="1"/>
      <c r="C261" s="1"/>
    </row>
    <row r="262" spans="2:3" s="8" customFormat="1" x14ac:dyDescent="0.3">
      <c r="B262" s="1"/>
      <c r="C262" s="1"/>
    </row>
    <row r="263" spans="2:3" s="8" customFormat="1" x14ac:dyDescent="0.3">
      <c r="B263" s="1"/>
      <c r="C263" s="1"/>
    </row>
    <row r="264" spans="2:3" s="8" customFormat="1" x14ac:dyDescent="0.3">
      <c r="B264" s="1"/>
      <c r="C264" s="1"/>
    </row>
    <row r="265" spans="2:3" s="8" customFormat="1" x14ac:dyDescent="0.3">
      <c r="B265" s="1"/>
      <c r="C265" s="1"/>
    </row>
    <row r="266" spans="2:3" s="8" customFormat="1" x14ac:dyDescent="0.3">
      <c r="B266" s="1"/>
      <c r="C266" s="1"/>
    </row>
    <row r="267" spans="2:3" s="8" customFormat="1" x14ac:dyDescent="0.3">
      <c r="B267" s="1"/>
      <c r="C267" s="1"/>
    </row>
    <row r="268" spans="2:3" s="8" customFormat="1" x14ac:dyDescent="0.3">
      <c r="B268" s="1"/>
      <c r="C268" s="1"/>
    </row>
    <row r="269" spans="2:3" s="8" customFormat="1" x14ac:dyDescent="0.3">
      <c r="B269" s="1"/>
      <c r="C269" s="1"/>
    </row>
    <row r="270" spans="2:3" s="8" customFormat="1" x14ac:dyDescent="0.3">
      <c r="B270" s="1"/>
      <c r="C270" s="1"/>
    </row>
    <row r="271" spans="2:3" s="8" customFormat="1" x14ac:dyDescent="0.3">
      <c r="B271" s="1"/>
      <c r="C271" s="1"/>
    </row>
    <row r="272" spans="2:3" s="8" customFormat="1" x14ac:dyDescent="0.3">
      <c r="B272" s="1"/>
      <c r="C272" s="1"/>
    </row>
    <row r="273" spans="2:3" s="8" customFormat="1" x14ac:dyDescent="0.3">
      <c r="B273" s="1"/>
      <c r="C273" s="1"/>
    </row>
    <row r="274" spans="2:3" s="8" customFormat="1" x14ac:dyDescent="0.3">
      <c r="B274" s="1"/>
      <c r="C274" s="1"/>
    </row>
    <row r="275" spans="2:3" s="8" customFormat="1" x14ac:dyDescent="0.3">
      <c r="B275" s="1"/>
      <c r="C275" s="1"/>
    </row>
    <row r="276" spans="2:3" s="8" customFormat="1" x14ac:dyDescent="0.3">
      <c r="B276" s="1"/>
      <c r="C276" s="1"/>
    </row>
    <row r="277" spans="2:3" s="8" customFormat="1" x14ac:dyDescent="0.3">
      <c r="B277" s="1"/>
      <c r="C277" s="1"/>
    </row>
    <row r="278" spans="2:3" s="8" customFormat="1" x14ac:dyDescent="0.3">
      <c r="B278" s="1"/>
      <c r="C278" s="1"/>
    </row>
    <row r="279" spans="2:3" s="8" customFormat="1" x14ac:dyDescent="0.3">
      <c r="B279" s="1"/>
      <c r="C279" s="1"/>
    </row>
    <row r="280" spans="2:3" s="8" customFormat="1" x14ac:dyDescent="0.3">
      <c r="B280" s="1"/>
      <c r="C280" s="1"/>
    </row>
    <row r="281" spans="2:3" s="8" customFormat="1" x14ac:dyDescent="0.3">
      <c r="B281" s="1"/>
      <c r="C281" s="1"/>
    </row>
    <row r="282" spans="2:3" s="8" customFormat="1" x14ac:dyDescent="0.3">
      <c r="B282" s="1"/>
      <c r="C282" s="1"/>
    </row>
    <row r="283" spans="2:3" s="8" customFormat="1" x14ac:dyDescent="0.3">
      <c r="B283" s="1"/>
      <c r="C283" s="1"/>
    </row>
    <row r="284" spans="2:3" s="8" customFormat="1" x14ac:dyDescent="0.3">
      <c r="B284" s="1"/>
      <c r="C284" s="1"/>
    </row>
    <row r="285" spans="2:3" s="8" customFormat="1" x14ac:dyDescent="0.3">
      <c r="B285" s="1"/>
      <c r="C285" s="1"/>
    </row>
    <row r="286" spans="2:3" s="8" customFormat="1" x14ac:dyDescent="0.3">
      <c r="B286" s="1"/>
      <c r="C286" s="1"/>
    </row>
    <row r="287" spans="2:3" s="8" customFormat="1" x14ac:dyDescent="0.3">
      <c r="B287" s="1"/>
      <c r="C287" s="1"/>
    </row>
    <row r="288" spans="2:3" s="8" customFormat="1" x14ac:dyDescent="0.3">
      <c r="B288" s="1"/>
      <c r="C288" s="1"/>
    </row>
    <row r="289" spans="2:3" s="8" customFormat="1" x14ac:dyDescent="0.3">
      <c r="B289" s="1"/>
      <c r="C289" s="1"/>
    </row>
    <row r="290" spans="2:3" s="8" customFormat="1" x14ac:dyDescent="0.3">
      <c r="B290" s="1"/>
      <c r="C290" s="1"/>
    </row>
    <row r="291" spans="2:3" s="8" customFormat="1" x14ac:dyDescent="0.3">
      <c r="B291" s="1"/>
      <c r="C291" s="1"/>
    </row>
    <row r="292" spans="2:3" s="8" customFormat="1" x14ac:dyDescent="0.3">
      <c r="B292" s="1"/>
      <c r="C292" s="1"/>
    </row>
    <row r="293" spans="2:3" s="8" customFormat="1" x14ac:dyDescent="0.3">
      <c r="B293" s="1"/>
      <c r="C293" s="1"/>
    </row>
    <row r="294" spans="2:3" s="8" customFormat="1" x14ac:dyDescent="0.3">
      <c r="B294" s="1"/>
      <c r="C294" s="1"/>
    </row>
    <row r="295" spans="2:3" s="8" customFormat="1" x14ac:dyDescent="0.3">
      <c r="B295" s="1"/>
      <c r="C295" s="1"/>
    </row>
    <row r="296" spans="2:3" s="8" customFormat="1" x14ac:dyDescent="0.3">
      <c r="B296" s="1"/>
      <c r="C296" s="1"/>
    </row>
    <row r="297" spans="2:3" s="8" customFormat="1" x14ac:dyDescent="0.3">
      <c r="B297" s="1"/>
      <c r="C297" s="1"/>
    </row>
    <row r="298" spans="2:3" s="8" customFormat="1" x14ac:dyDescent="0.3">
      <c r="B298" s="1"/>
      <c r="C298" s="1"/>
    </row>
    <row r="299" spans="2:3" s="8" customFormat="1" x14ac:dyDescent="0.3">
      <c r="B299" s="1"/>
      <c r="C299" s="1"/>
    </row>
    <row r="300" spans="2:3" s="8" customFormat="1" x14ac:dyDescent="0.3">
      <c r="B300" s="1"/>
      <c r="C300" s="1"/>
    </row>
    <row r="301" spans="2:3" s="8" customFormat="1" x14ac:dyDescent="0.3">
      <c r="B301" s="1"/>
      <c r="C301" s="1"/>
    </row>
    <row r="302" spans="2:3" s="8" customFormat="1" x14ac:dyDescent="0.3">
      <c r="B302" s="1"/>
      <c r="C302" s="1"/>
    </row>
    <row r="303" spans="2:3" s="8" customFormat="1" x14ac:dyDescent="0.3">
      <c r="B303" s="1"/>
      <c r="C303" s="1"/>
    </row>
    <row r="304" spans="2:3" s="8" customFormat="1" x14ac:dyDescent="0.3">
      <c r="B304" s="1"/>
      <c r="C304" s="1"/>
    </row>
    <row r="305" spans="2:3" s="8" customFormat="1" x14ac:dyDescent="0.3">
      <c r="B305" s="1"/>
      <c r="C305" s="1"/>
    </row>
    <row r="306" spans="2:3" s="8" customFormat="1" x14ac:dyDescent="0.3">
      <c r="B306" s="1"/>
      <c r="C306" s="1"/>
    </row>
    <row r="307" spans="2:3" s="8" customFormat="1" x14ac:dyDescent="0.3">
      <c r="B307" s="1"/>
      <c r="C307" s="1"/>
    </row>
    <row r="308" spans="2:3" s="8" customFormat="1" x14ac:dyDescent="0.3">
      <c r="B308" s="1"/>
      <c r="C308" s="1"/>
    </row>
    <row r="309" spans="2:3" s="8" customFormat="1" x14ac:dyDescent="0.3">
      <c r="B309" s="1"/>
      <c r="C309" s="1"/>
    </row>
    <row r="310" spans="2:3" s="8" customFormat="1" x14ac:dyDescent="0.3">
      <c r="B310" s="1"/>
      <c r="C310" s="1"/>
    </row>
    <row r="311" spans="2:3" s="8" customFormat="1" x14ac:dyDescent="0.3">
      <c r="B311" s="1"/>
      <c r="C311" s="1"/>
    </row>
    <row r="312" spans="2:3" s="8" customFormat="1" x14ac:dyDescent="0.3">
      <c r="B312" s="1"/>
      <c r="C312" s="1"/>
    </row>
    <row r="313" spans="2:3" s="8" customFormat="1" x14ac:dyDescent="0.3">
      <c r="B313" s="1"/>
      <c r="C313" s="1"/>
    </row>
    <row r="314" spans="2:3" s="8" customFormat="1" x14ac:dyDescent="0.3">
      <c r="B314" s="1"/>
      <c r="C314" s="1"/>
    </row>
    <row r="315" spans="2:3" s="8" customFormat="1" x14ac:dyDescent="0.3">
      <c r="B315" s="1"/>
      <c r="C315" s="1"/>
    </row>
    <row r="316" spans="2:3" s="8" customFormat="1" x14ac:dyDescent="0.3">
      <c r="B316" s="1"/>
      <c r="C316" s="1"/>
    </row>
    <row r="317" spans="2:3" s="8" customFormat="1" x14ac:dyDescent="0.3">
      <c r="B317" s="1"/>
      <c r="C317" s="1"/>
    </row>
    <row r="318" spans="2:3" s="8" customFormat="1" x14ac:dyDescent="0.3">
      <c r="B318" s="1"/>
      <c r="C318" s="1"/>
    </row>
    <row r="319" spans="2:3" s="8" customFormat="1" x14ac:dyDescent="0.3">
      <c r="B319" s="1"/>
      <c r="C319" s="1"/>
    </row>
    <row r="320" spans="2:3" s="8" customFormat="1" x14ac:dyDescent="0.3">
      <c r="B320" s="1"/>
      <c r="C320" s="1"/>
    </row>
    <row r="321" spans="2:3" s="8" customFormat="1" x14ac:dyDescent="0.3">
      <c r="B321" s="1"/>
      <c r="C321" s="1"/>
    </row>
    <row r="322" spans="2:3" s="8" customFormat="1" x14ac:dyDescent="0.3">
      <c r="B322" s="1"/>
      <c r="C322" s="1"/>
    </row>
    <row r="323" spans="2:3" s="8" customFormat="1" x14ac:dyDescent="0.3">
      <c r="B323" s="1"/>
      <c r="C323" s="1"/>
    </row>
    <row r="324" spans="2:3" s="8" customFormat="1" x14ac:dyDescent="0.3">
      <c r="B324" s="1"/>
      <c r="C324" s="1"/>
    </row>
    <row r="325" spans="2:3" s="8" customFormat="1" x14ac:dyDescent="0.3">
      <c r="B325" s="1"/>
      <c r="C325" s="1"/>
    </row>
    <row r="326" spans="2:3" s="8" customFormat="1" x14ac:dyDescent="0.3">
      <c r="B326" s="1"/>
      <c r="C326" s="1"/>
    </row>
    <row r="327" spans="2:3" s="8" customFormat="1" x14ac:dyDescent="0.3">
      <c r="B327" s="1"/>
      <c r="C327" s="1"/>
    </row>
    <row r="328" spans="2:3" s="8" customFormat="1" x14ac:dyDescent="0.3">
      <c r="B328" s="1"/>
      <c r="C328" s="1"/>
    </row>
    <row r="329" spans="2:3" s="8" customFormat="1" x14ac:dyDescent="0.3">
      <c r="B329" s="1"/>
      <c r="C329" s="1"/>
    </row>
    <row r="330" spans="2:3" s="8" customFormat="1" x14ac:dyDescent="0.3">
      <c r="B330" s="1"/>
      <c r="C330" s="1"/>
    </row>
    <row r="331" spans="2:3" s="8" customFormat="1" x14ac:dyDescent="0.3">
      <c r="B331" s="1"/>
      <c r="C331" s="1"/>
    </row>
    <row r="332" spans="2:3" s="8" customFormat="1" x14ac:dyDescent="0.3">
      <c r="B332" s="1"/>
      <c r="C332" s="1"/>
    </row>
    <row r="333" spans="2:3" s="8" customFormat="1" x14ac:dyDescent="0.3">
      <c r="B333" s="1"/>
      <c r="C333" s="1"/>
    </row>
    <row r="334" spans="2:3" s="8" customFormat="1" x14ac:dyDescent="0.3">
      <c r="B334" s="1"/>
      <c r="C334" s="1"/>
    </row>
    <row r="335" spans="2:3" s="8" customFormat="1" x14ac:dyDescent="0.3">
      <c r="B335" s="1"/>
      <c r="C335" s="1"/>
    </row>
    <row r="336" spans="2:3" s="8" customFormat="1" x14ac:dyDescent="0.3">
      <c r="B336" s="1"/>
      <c r="C336" s="1"/>
    </row>
    <row r="337" spans="2:3" s="8" customFormat="1" x14ac:dyDescent="0.3">
      <c r="B337" s="1"/>
      <c r="C337" s="1"/>
    </row>
    <row r="338" spans="2:3" s="8" customFormat="1" x14ac:dyDescent="0.3">
      <c r="B338" s="1"/>
      <c r="C338" s="1"/>
    </row>
    <row r="339" spans="2:3" s="8" customFormat="1" x14ac:dyDescent="0.3">
      <c r="B339" s="1"/>
      <c r="C339" s="1"/>
    </row>
    <row r="340" spans="2:3" s="8" customFormat="1" x14ac:dyDescent="0.3">
      <c r="B340" s="1"/>
      <c r="C340" s="1"/>
    </row>
    <row r="341" spans="2:3" s="8" customFormat="1" x14ac:dyDescent="0.3">
      <c r="B341" s="1"/>
      <c r="C341" s="1"/>
    </row>
    <row r="342" spans="2:3" s="8" customFormat="1" x14ac:dyDescent="0.3">
      <c r="B342" s="1"/>
      <c r="C342" s="1"/>
    </row>
    <row r="343" spans="2:3" s="8" customFormat="1" x14ac:dyDescent="0.3">
      <c r="B343" s="1"/>
      <c r="C343" s="1"/>
    </row>
    <row r="344" spans="2:3" s="8" customFormat="1" x14ac:dyDescent="0.3">
      <c r="B344" s="1"/>
      <c r="C344" s="1"/>
    </row>
    <row r="345" spans="2:3" s="8" customFormat="1" x14ac:dyDescent="0.3">
      <c r="B345" s="1"/>
      <c r="C345" s="1"/>
    </row>
    <row r="346" spans="2:3" s="8" customFormat="1" x14ac:dyDescent="0.3">
      <c r="B346" s="1"/>
      <c r="C346" s="1"/>
    </row>
    <row r="347" spans="2:3" s="8" customFormat="1" x14ac:dyDescent="0.3">
      <c r="B347" s="1"/>
      <c r="C347" s="1"/>
    </row>
    <row r="348" spans="2:3" s="8" customFormat="1" x14ac:dyDescent="0.3">
      <c r="B348" s="1"/>
      <c r="C348" s="1"/>
    </row>
    <row r="349" spans="2:3" s="8" customFormat="1" x14ac:dyDescent="0.3">
      <c r="B349" s="1"/>
      <c r="C349" s="1"/>
    </row>
    <row r="350" spans="2:3" s="8" customFormat="1" x14ac:dyDescent="0.3">
      <c r="B350" s="1"/>
      <c r="C350" s="1"/>
    </row>
    <row r="351" spans="2:3" s="8" customFormat="1" x14ac:dyDescent="0.3">
      <c r="B351" s="1"/>
      <c r="C351" s="1"/>
    </row>
    <row r="352" spans="2:3" s="8" customFormat="1" x14ac:dyDescent="0.3">
      <c r="B352" s="1"/>
      <c r="C352" s="1"/>
    </row>
    <row r="353" spans="2:3" s="8" customFormat="1" x14ac:dyDescent="0.3">
      <c r="B353" s="1"/>
      <c r="C353" s="1"/>
    </row>
    <row r="354" spans="2:3" s="8" customFormat="1" x14ac:dyDescent="0.3">
      <c r="B354" s="1"/>
      <c r="C354" s="1"/>
    </row>
    <row r="355" spans="2:3" s="8" customFormat="1" x14ac:dyDescent="0.3">
      <c r="B355" s="1"/>
      <c r="C355" s="1"/>
    </row>
    <row r="356" spans="2:3" s="8" customFormat="1" x14ac:dyDescent="0.3">
      <c r="B356" s="1"/>
      <c r="C356" s="1"/>
    </row>
    <row r="357" spans="2:3" s="8" customFormat="1" x14ac:dyDescent="0.3">
      <c r="B357" s="1"/>
      <c r="C357" s="1"/>
    </row>
    <row r="358" spans="2:3" s="8" customFormat="1" x14ac:dyDescent="0.3">
      <c r="B358" s="1"/>
      <c r="C358" s="1"/>
    </row>
    <row r="359" spans="2:3" s="8" customFormat="1" x14ac:dyDescent="0.3">
      <c r="B359" s="1"/>
      <c r="C359" s="1"/>
    </row>
    <row r="360" spans="2:3" s="8" customFormat="1" x14ac:dyDescent="0.3">
      <c r="B360" s="1"/>
      <c r="C360" s="1"/>
    </row>
    <row r="361" spans="2:3" s="8" customFormat="1" x14ac:dyDescent="0.3">
      <c r="B361" s="1"/>
      <c r="C361" s="1"/>
    </row>
    <row r="362" spans="2:3" s="8" customFormat="1" x14ac:dyDescent="0.3">
      <c r="B362" s="1"/>
      <c r="C362" s="1"/>
    </row>
    <row r="363" spans="2:3" s="8" customFormat="1" x14ac:dyDescent="0.3">
      <c r="B363" s="1"/>
      <c r="C363" s="1"/>
    </row>
    <row r="364" spans="2:3" s="8" customFormat="1" x14ac:dyDescent="0.3">
      <c r="B364" s="1"/>
      <c r="C364" s="1"/>
    </row>
    <row r="365" spans="2:3" s="8" customFormat="1" x14ac:dyDescent="0.3">
      <c r="B365" s="1"/>
      <c r="C365" s="1"/>
    </row>
    <row r="366" spans="2:3" s="8" customFormat="1" x14ac:dyDescent="0.3">
      <c r="B366" s="1"/>
      <c r="C366" s="1"/>
    </row>
    <row r="367" spans="2:3" s="8" customFormat="1" x14ac:dyDescent="0.3">
      <c r="B367" s="1"/>
      <c r="C367" s="1"/>
    </row>
    <row r="368" spans="2:3" s="8" customFormat="1" x14ac:dyDescent="0.3">
      <c r="B368" s="1"/>
      <c r="C368" s="1"/>
    </row>
    <row r="369" spans="2:3" s="8" customFormat="1" x14ac:dyDescent="0.3">
      <c r="B369" s="1"/>
      <c r="C369" s="1"/>
    </row>
    <row r="370" spans="2:3" s="8" customFormat="1" x14ac:dyDescent="0.3">
      <c r="B370" s="1"/>
      <c r="C370" s="1"/>
    </row>
    <row r="371" spans="2:3" s="8" customFormat="1" x14ac:dyDescent="0.3">
      <c r="B371" s="1"/>
      <c r="C371" s="1"/>
    </row>
    <row r="372" spans="2:3" s="8" customFormat="1" x14ac:dyDescent="0.3">
      <c r="B372" s="1"/>
      <c r="C372" s="1"/>
    </row>
    <row r="373" spans="2:3" s="8" customFormat="1" x14ac:dyDescent="0.3">
      <c r="B373" s="1"/>
      <c r="C373" s="1"/>
    </row>
    <row r="374" spans="2:3" s="8" customFormat="1" x14ac:dyDescent="0.3">
      <c r="B374" s="1"/>
      <c r="C374" s="1"/>
    </row>
    <row r="375" spans="2:3" s="8" customFormat="1" x14ac:dyDescent="0.3">
      <c r="B375" s="1"/>
      <c r="C375" s="1"/>
    </row>
    <row r="376" spans="2:3" s="8" customFormat="1" x14ac:dyDescent="0.3">
      <c r="B376" s="1"/>
      <c r="C376" s="1"/>
    </row>
    <row r="377" spans="2:3" s="8" customFormat="1" x14ac:dyDescent="0.3">
      <c r="B377" s="1"/>
      <c r="C377" s="1"/>
    </row>
    <row r="378" spans="2:3" s="8" customFormat="1" x14ac:dyDescent="0.3">
      <c r="B378" s="1"/>
      <c r="C378" s="1"/>
    </row>
    <row r="379" spans="2:3" s="8" customFormat="1" x14ac:dyDescent="0.3">
      <c r="B379" s="1"/>
      <c r="C379" s="1"/>
    </row>
    <row r="380" spans="2:3" s="8" customFormat="1" x14ac:dyDescent="0.3">
      <c r="B380" s="1"/>
      <c r="C380" s="1"/>
    </row>
    <row r="381" spans="2:3" s="8" customFormat="1" x14ac:dyDescent="0.3">
      <c r="B381" s="1"/>
      <c r="C381" s="1"/>
    </row>
    <row r="382" spans="2:3" s="8" customFormat="1" x14ac:dyDescent="0.3">
      <c r="B382" s="1"/>
      <c r="C382" s="1"/>
    </row>
    <row r="383" spans="2:3" s="8" customFormat="1" x14ac:dyDescent="0.3">
      <c r="B383" s="1"/>
      <c r="C383" s="1"/>
    </row>
    <row r="384" spans="2:3" s="8" customFormat="1" x14ac:dyDescent="0.3">
      <c r="B384" s="1"/>
      <c r="C384" s="1"/>
    </row>
    <row r="385" spans="2:3" s="8" customFormat="1" x14ac:dyDescent="0.3">
      <c r="B385" s="1"/>
      <c r="C385" s="1"/>
    </row>
    <row r="386" spans="2:3" s="8" customFormat="1" x14ac:dyDescent="0.3">
      <c r="B386" s="1"/>
      <c r="C386" s="1"/>
    </row>
    <row r="387" spans="2:3" s="8" customFormat="1" x14ac:dyDescent="0.3">
      <c r="B387" s="1"/>
      <c r="C387" s="1"/>
    </row>
    <row r="388" spans="2:3" s="8" customFormat="1" x14ac:dyDescent="0.3">
      <c r="B388" s="1"/>
      <c r="C388" s="1"/>
    </row>
    <row r="389" spans="2:3" s="8" customFormat="1" x14ac:dyDescent="0.3">
      <c r="B389" s="1"/>
      <c r="C389" s="1"/>
    </row>
    <row r="390" spans="2:3" s="8" customFormat="1" x14ac:dyDescent="0.3">
      <c r="B390" s="1"/>
      <c r="C390" s="1"/>
    </row>
    <row r="391" spans="2:3" s="8" customFormat="1" x14ac:dyDescent="0.3">
      <c r="B391" s="1"/>
      <c r="C391" s="1"/>
    </row>
    <row r="392" spans="2:3" s="8" customFormat="1" x14ac:dyDescent="0.3">
      <c r="B392" s="1"/>
      <c r="C392" s="1"/>
    </row>
    <row r="393" spans="2:3" s="8" customFormat="1" x14ac:dyDescent="0.3">
      <c r="B393" s="1"/>
      <c r="C393" s="1"/>
    </row>
    <row r="394" spans="2:3" s="8" customFormat="1" x14ac:dyDescent="0.3">
      <c r="B394" s="1"/>
      <c r="C394" s="1"/>
    </row>
    <row r="395" spans="2:3" s="8" customFormat="1" x14ac:dyDescent="0.3">
      <c r="B395" s="1"/>
      <c r="C395" s="1"/>
    </row>
    <row r="396" spans="2:3" s="8" customFormat="1" x14ac:dyDescent="0.3">
      <c r="B396" s="1"/>
      <c r="C396" s="1"/>
    </row>
    <row r="397" spans="2:3" s="8" customFormat="1" x14ac:dyDescent="0.3">
      <c r="B397" s="1"/>
      <c r="C397" s="1"/>
    </row>
    <row r="398" spans="2:3" s="8" customFormat="1" x14ac:dyDescent="0.3">
      <c r="B398" s="1"/>
      <c r="C398" s="1"/>
    </row>
    <row r="399" spans="2:3" s="8" customFormat="1" x14ac:dyDescent="0.3">
      <c r="B399" s="1"/>
      <c r="C399" s="1"/>
    </row>
    <row r="400" spans="2:3" s="8" customFormat="1" x14ac:dyDescent="0.3">
      <c r="B400" s="1"/>
      <c r="C400" s="1"/>
    </row>
    <row r="401" spans="2:3" s="8" customFormat="1" x14ac:dyDescent="0.3">
      <c r="B401" s="1"/>
      <c r="C401" s="1"/>
    </row>
    <row r="402" spans="2:3" s="8" customFormat="1" x14ac:dyDescent="0.3">
      <c r="B402" s="1"/>
      <c r="C402" s="1"/>
    </row>
    <row r="403" spans="2:3" s="8" customFormat="1" x14ac:dyDescent="0.3">
      <c r="B403" s="1"/>
      <c r="C403" s="1"/>
    </row>
    <row r="404" spans="2:3" s="8" customFormat="1" x14ac:dyDescent="0.3">
      <c r="B404" s="1"/>
      <c r="C404" s="1"/>
    </row>
    <row r="405" spans="2:3" s="8" customFormat="1" x14ac:dyDescent="0.3">
      <c r="B405" s="1"/>
      <c r="C405" s="1"/>
    </row>
    <row r="406" spans="2:3" s="8" customFormat="1" x14ac:dyDescent="0.3">
      <c r="B406" s="1"/>
      <c r="C406" s="1"/>
    </row>
    <row r="407" spans="2:3" s="8" customFormat="1" x14ac:dyDescent="0.3">
      <c r="B407" s="1"/>
      <c r="C407" s="1"/>
    </row>
    <row r="408" spans="2:3" s="8" customFormat="1" x14ac:dyDescent="0.3">
      <c r="B408" s="1"/>
      <c r="C408" s="1"/>
    </row>
    <row r="409" spans="2:3" s="8" customFormat="1" x14ac:dyDescent="0.3">
      <c r="B409" s="1"/>
      <c r="C409" s="1"/>
    </row>
    <row r="410" spans="2:3" s="8" customFormat="1" x14ac:dyDescent="0.3">
      <c r="B410" s="1"/>
      <c r="C410" s="1"/>
    </row>
    <row r="411" spans="2:3" s="8" customFormat="1" x14ac:dyDescent="0.3">
      <c r="B411" s="1"/>
      <c r="C411" s="1"/>
    </row>
    <row r="412" spans="2:3" s="8" customFormat="1" x14ac:dyDescent="0.3">
      <c r="B412" s="1"/>
      <c r="C412" s="1"/>
    </row>
    <row r="413" spans="2:3" s="8" customFormat="1" x14ac:dyDescent="0.3">
      <c r="B413" s="1"/>
      <c r="C413" s="1"/>
    </row>
    <row r="414" spans="2:3" s="8" customFormat="1" x14ac:dyDescent="0.3">
      <c r="B414" s="1"/>
      <c r="C414" s="1"/>
    </row>
    <row r="415" spans="2:3" s="8" customFormat="1" x14ac:dyDescent="0.3">
      <c r="B415" s="1"/>
      <c r="C415" s="1"/>
    </row>
    <row r="416" spans="2:3" s="8" customFormat="1" x14ac:dyDescent="0.3">
      <c r="B416" s="1"/>
      <c r="C416" s="1"/>
    </row>
    <row r="417" spans="2:3" s="8" customFormat="1" x14ac:dyDescent="0.3">
      <c r="B417" s="1"/>
      <c r="C417" s="1"/>
    </row>
    <row r="418" spans="2:3" s="8" customFormat="1" x14ac:dyDescent="0.3">
      <c r="B418" s="1"/>
      <c r="C418" s="1"/>
    </row>
    <row r="419" spans="2:3" s="8" customFormat="1" x14ac:dyDescent="0.3">
      <c r="B419" s="1"/>
      <c r="C419" s="1"/>
    </row>
    <row r="420" spans="2:3" s="8" customFormat="1" x14ac:dyDescent="0.3">
      <c r="B420" s="1"/>
      <c r="C420" s="1"/>
    </row>
    <row r="421" spans="2:3" s="8" customFormat="1" x14ac:dyDescent="0.3">
      <c r="B421" s="1"/>
      <c r="C421" s="1"/>
    </row>
    <row r="422" spans="2:3" s="8" customFormat="1" x14ac:dyDescent="0.3">
      <c r="B422" s="1"/>
      <c r="C422" s="1"/>
    </row>
    <row r="423" spans="2:3" s="8" customFormat="1" x14ac:dyDescent="0.3">
      <c r="B423" s="1"/>
      <c r="C423" s="1"/>
    </row>
    <row r="424" spans="2:3" s="8" customFormat="1" x14ac:dyDescent="0.3">
      <c r="B424" s="1"/>
      <c r="C424" s="1"/>
    </row>
    <row r="425" spans="2:3" s="8" customFormat="1" x14ac:dyDescent="0.3">
      <c r="B425" s="1"/>
      <c r="C425" s="1"/>
    </row>
    <row r="426" spans="2:3" s="8" customFormat="1" x14ac:dyDescent="0.3">
      <c r="B426" s="1"/>
      <c r="C426" s="1"/>
    </row>
    <row r="427" spans="2:3" s="8" customFormat="1" x14ac:dyDescent="0.3">
      <c r="B427" s="1"/>
      <c r="C427" s="1"/>
    </row>
    <row r="428" spans="2:3" s="8" customFormat="1" x14ac:dyDescent="0.3">
      <c r="B428" s="1"/>
      <c r="C428" s="1"/>
    </row>
    <row r="429" spans="2:3" s="8" customFormat="1" x14ac:dyDescent="0.3">
      <c r="B429" s="1"/>
      <c r="C429" s="1"/>
    </row>
    <row r="430" spans="2:3" s="8" customFormat="1" x14ac:dyDescent="0.3">
      <c r="B430" s="1"/>
      <c r="C430" s="1"/>
    </row>
    <row r="431" spans="2:3" s="8" customFormat="1" x14ac:dyDescent="0.3">
      <c r="B431" s="1"/>
      <c r="C431" s="1"/>
    </row>
    <row r="432" spans="2:3" s="8" customFormat="1" x14ac:dyDescent="0.3">
      <c r="B432" s="1"/>
      <c r="C432" s="1"/>
    </row>
    <row r="433" spans="2:3" s="8" customFormat="1" x14ac:dyDescent="0.3">
      <c r="B433" s="1"/>
      <c r="C433" s="1"/>
    </row>
    <row r="434" spans="2:3" s="8" customFormat="1" x14ac:dyDescent="0.3">
      <c r="B434" s="1"/>
      <c r="C434" s="1"/>
    </row>
    <row r="435" spans="2:3" s="8" customFormat="1" x14ac:dyDescent="0.3">
      <c r="B435" s="1"/>
      <c r="C435" s="1"/>
    </row>
    <row r="436" spans="2:3" s="8" customFormat="1" x14ac:dyDescent="0.3">
      <c r="B436" s="1"/>
      <c r="C436" s="1"/>
    </row>
    <row r="437" spans="2:3" s="8" customFormat="1" x14ac:dyDescent="0.3">
      <c r="B437" s="1"/>
      <c r="C437" s="1"/>
    </row>
    <row r="438" spans="2:3" s="8" customFormat="1" x14ac:dyDescent="0.3">
      <c r="B438" s="1"/>
      <c r="C438" s="1"/>
    </row>
    <row r="439" spans="2:3" s="8" customFormat="1" x14ac:dyDescent="0.3">
      <c r="B439" s="1"/>
      <c r="C439" s="1"/>
    </row>
    <row r="440" spans="2:3" s="8" customFormat="1" x14ac:dyDescent="0.3">
      <c r="B440" s="1"/>
      <c r="C440" s="1"/>
    </row>
    <row r="441" spans="2:3" s="8" customFormat="1" x14ac:dyDescent="0.3">
      <c r="B441" s="1"/>
      <c r="C441" s="1"/>
    </row>
    <row r="442" spans="2:3" s="8" customFormat="1" x14ac:dyDescent="0.3">
      <c r="B442" s="1"/>
      <c r="C442" s="1"/>
    </row>
    <row r="443" spans="2:3" s="8" customFormat="1" x14ac:dyDescent="0.3">
      <c r="B443" s="1"/>
      <c r="C443" s="1"/>
    </row>
    <row r="444" spans="2:3" s="8" customFormat="1" x14ac:dyDescent="0.3">
      <c r="B444" s="1"/>
      <c r="C444" s="1"/>
    </row>
    <row r="445" spans="2:3" s="8" customFormat="1" x14ac:dyDescent="0.3">
      <c r="B445" s="1"/>
      <c r="C445" s="1"/>
    </row>
    <row r="446" spans="2:3" s="8" customFormat="1" x14ac:dyDescent="0.3">
      <c r="B446" s="1"/>
      <c r="C446" s="1"/>
    </row>
    <row r="447" spans="2:3" s="8" customFormat="1" x14ac:dyDescent="0.3">
      <c r="B447" s="1"/>
      <c r="C447" s="1"/>
    </row>
    <row r="448" spans="2:3" s="8" customFormat="1" x14ac:dyDescent="0.3">
      <c r="B448" s="1"/>
      <c r="C448" s="1"/>
    </row>
    <row r="449" spans="2:3" s="8" customFormat="1" x14ac:dyDescent="0.3">
      <c r="B449" s="1"/>
      <c r="C449" s="1"/>
    </row>
    <row r="450" spans="2:3" s="8" customFormat="1" x14ac:dyDescent="0.3">
      <c r="B450" s="1"/>
      <c r="C450" s="1"/>
    </row>
    <row r="451" spans="2:3" s="8" customFormat="1" x14ac:dyDescent="0.3">
      <c r="B451" s="1"/>
      <c r="C451" s="1"/>
    </row>
    <row r="452" spans="2:3" s="8" customFormat="1" x14ac:dyDescent="0.3">
      <c r="B452" s="1"/>
      <c r="C452" s="1"/>
    </row>
    <row r="453" spans="2:3" s="8" customFormat="1" x14ac:dyDescent="0.3">
      <c r="B453" s="1"/>
      <c r="C453" s="1"/>
    </row>
    <row r="454" spans="2:3" s="8" customFormat="1" x14ac:dyDescent="0.3">
      <c r="B454" s="1"/>
      <c r="C454" s="1"/>
    </row>
    <row r="455" spans="2:3" s="8" customFormat="1" x14ac:dyDescent="0.3">
      <c r="B455" s="1"/>
      <c r="C455" s="1"/>
    </row>
    <row r="456" spans="2:3" s="8" customFormat="1" x14ac:dyDescent="0.3">
      <c r="B456" s="1"/>
      <c r="C456" s="1"/>
    </row>
    <row r="457" spans="2:3" s="8" customFormat="1" x14ac:dyDescent="0.3">
      <c r="B457" s="1"/>
      <c r="C457" s="1"/>
    </row>
    <row r="458" spans="2:3" s="8" customFormat="1" x14ac:dyDescent="0.3">
      <c r="B458" s="1"/>
      <c r="C458" s="1"/>
    </row>
    <row r="459" spans="2:3" s="8" customFormat="1" x14ac:dyDescent="0.3">
      <c r="B459" s="1"/>
      <c r="C459" s="1"/>
    </row>
    <row r="460" spans="2:3" s="8" customFormat="1" x14ac:dyDescent="0.3">
      <c r="B460" s="1"/>
      <c r="C460" s="1"/>
    </row>
    <row r="461" spans="2:3" s="8" customFormat="1" x14ac:dyDescent="0.3">
      <c r="B461" s="1"/>
      <c r="C461" s="1"/>
    </row>
    <row r="462" spans="2:3" s="8" customFormat="1" x14ac:dyDescent="0.3">
      <c r="B462" s="1"/>
      <c r="C462" s="1"/>
    </row>
    <row r="463" spans="2:3" s="8" customFormat="1" x14ac:dyDescent="0.3">
      <c r="B463" s="1"/>
      <c r="C463" s="1"/>
    </row>
    <row r="464" spans="2:3" s="8" customFormat="1" x14ac:dyDescent="0.3">
      <c r="B464" s="1"/>
      <c r="C464" s="1"/>
    </row>
    <row r="465" spans="2:3" s="8" customFormat="1" x14ac:dyDescent="0.3">
      <c r="B465" s="1"/>
      <c r="C465" s="1"/>
    </row>
    <row r="466" spans="2:3" s="8" customFormat="1" x14ac:dyDescent="0.3">
      <c r="B466" s="1"/>
      <c r="C466" s="1"/>
    </row>
    <row r="467" spans="2:3" s="8" customFormat="1" x14ac:dyDescent="0.3">
      <c r="B467" s="1"/>
      <c r="C467" s="1"/>
    </row>
    <row r="468" spans="2:3" s="8" customFormat="1" x14ac:dyDescent="0.3">
      <c r="B468" s="1"/>
      <c r="C468" s="1"/>
    </row>
    <row r="469" spans="2:3" s="8" customFormat="1" x14ac:dyDescent="0.3">
      <c r="B469" s="1"/>
      <c r="C469" s="1"/>
    </row>
    <row r="470" spans="2:3" s="8" customFormat="1" x14ac:dyDescent="0.3">
      <c r="B470" s="1"/>
      <c r="C470" s="1"/>
    </row>
    <row r="471" spans="2:3" s="8" customFormat="1" x14ac:dyDescent="0.3">
      <c r="B471" s="1"/>
      <c r="C471" s="1"/>
    </row>
    <row r="472" spans="2:3" s="8" customFormat="1" x14ac:dyDescent="0.3">
      <c r="B472" s="1"/>
      <c r="C472" s="1"/>
    </row>
    <row r="473" spans="2:3" s="8" customFormat="1" x14ac:dyDescent="0.3">
      <c r="B473" s="1"/>
      <c r="C473" s="1"/>
    </row>
    <row r="474" spans="2:3" s="8" customFormat="1" x14ac:dyDescent="0.3">
      <c r="B474" s="1"/>
      <c r="C474" s="1"/>
    </row>
    <row r="475" spans="2:3" s="8" customFormat="1" x14ac:dyDescent="0.3">
      <c r="B475" s="1"/>
      <c r="C475" s="1"/>
    </row>
    <row r="476" spans="2:3" s="8" customFormat="1" x14ac:dyDescent="0.3">
      <c r="B476" s="1"/>
      <c r="C476" s="1"/>
    </row>
    <row r="477" spans="2:3" s="8" customFormat="1" x14ac:dyDescent="0.3">
      <c r="B477" s="1"/>
      <c r="C477" s="1"/>
    </row>
    <row r="478" spans="2:3" s="8" customFormat="1" x14ac:dyDescent="0.3">
      <c r="B478" s="1"/>
      <c r="C478" s="1"/>
    </row>
    <row r="479" spans="2:3" s="8" customFormat="1" x14ac:dyDescent="0.3">
      <c r="B479" s="1"/>
      <c r="C479" s="1"/>
    </row>
    <row r="480" spans="2:3" s="8" customFormat="1" x14ac:dyDescent="0.3">
      <c r="B480" s="1"/>
      <c r="C480" s="1"/>
    </row>
    <row r="481" spans="2:3" s="8" customFormat="1" x14ac:dyDescent="0.3">
      <c r="B481" s="1"/>
      <c r="C481" s="1"/>
    </row>
    <row r="482" spans="2:3" s="8" customFormat="1" x14ac:dyDescent="0.3">
      <c r="B482" s="1"/>
      <c r="C482" s="1"/>
    </row>
    <row r="483" spans="2:3" s="8" customFormat="1" x14ac:dyDescent="0.3">
      <c r="B483" s="1"/>
      <c r="C483" s="1"/>
    </row>
    <row r="484" spans="2:3" s="8" customFormat="1" x14ac:dyDescent="0.3">
      <c r="B484" s="1"/>
      <c r="C484" s="1"/>
    </row>
    <row r="485" spans="2:3" s="8" customFormat="1" x14ac:dyDescent="0.3">
      <c r="B485" s="1"/>
      <c r="C485" s="1"/>
    </row>
    <row r="486" spans="2:3" s="8" customFormat="1" x14ac:dyDescent="0.3">
      <c r="B486" s="1"/>
      <c r="C486" s="1"/>
    </row>
    <row r="487" spans="2:3" s="8" customFormat="1" x14ac:dyDescent="0.3">
      <c r="B487" s="1"/>
      <c r="C487" s="1"/>
    </row>
    <row r="488" spans="2:3" s="8" customFormat="1" x14ac:dyDescent="0.3">
      <c r="B488" s="1"/>
      <c r="C488" s="1"/>
    </row>
    <row r="489" spans="2:3" s="8" customFormat="1" x14ac:dyDescent="0.3">
      <c r="B489" s="1"/>
      <c r="C489" s="1"/>
    </row>
    <row r="490" spans="2:3" s="8" customFormat="1" x14ac:dyDescent="0.3">
      <c r="B490" s="1"/>
      <c r="C490" s="1"/>
    </row>
    <row r="491" spans="2:3" s="8" customFormat="1" x14ac:dyDescent="0.3">
      <c r="B491" s="1"/>
      <c r="C491" s="1"/>
    </row>
    <row r="492" spans="2:3" s="8" customFormat="1" x14ac:dyDescent="0.3">
      <c r="B492" s="1"/>
      <c r="C492" s="1"/>
    </row>
    <row r="493" spans="2:3" s="8" customFormat="1" x14ac:dyDescent="0.3">
      <c r="B493" s="1"/>
      <c r="C493" s="1"/>
    </row>
    <row r="494" spans="2:3" s="8" customFormat="1" x14ac:dyDescent="0.3">
      <c r="B494" s="1"/>
      <c r="C494" s="1"/>
    </row>
    <row r="495" spans="2:3" s="8" customFormat="1" x14ac:dyDescent="0.3">
      <c r="B495" s="1"/>
      <c r="C495" s="1"/>
    </row>
    <row r="496" spans="2:3" s="8" customFormat="1" x14ac:dyDescent="0.3">
      <c r="B496" s="1"/>
      <c r="C496" s="1"/>
    </row>
    <row r="497" spans="2:3" s="8" customFormat="1" x14ac:dyDescent="0.3">
      <c r="B497" s="1"/>
      <c r="C497" s="1"/>
    </row>
    <row r="498" spans="2:3" s="8" customFormat="1" x14ac:dyDescent="0.3">
      <c r="B498" s="1"/>
      <c r="C498" s="1"/>
    </row>
    <row r="499" spans="2:3" s="8" customFormat="1" x14ac:dyDescent="0.3">
      <c r="B499" s="1"/>
      <c r="C499" s="1"/>
    </row>
    <row r="500" spans="2:3" s="8" customFormat="1" x14ac:dyDescent="0.3">
      <c r="B500" s="1"/>
      <c r="C500" s="1"/>
    </row>
    <row r="501" spans="2:3" s="8" customFormat="1" x14ac:dyDescent="0.3">
      <c r="B501" s="1"/>
      <c r="C501" s="1"/>
    </row>
    <row r="502" spans="2:3" s="8" customFormat="1" x14ac:dyDescent="0.3">
      <c r="B502" s="1"/>
      <c r="C502" s="1"/>
    </row>
    <row r="503" spans="2:3" s="8" customFormat="1" x14ac:dyDescent="0.3">
      <c r="B503" s="1"/>
      <c r="C503" s="1"/>
    </row>
    <row r="504" spans="2:3" s="8" customFormat="1" x14ac:dyDescent="0.3">
      <c r="B504" s="1"/>
      <c r="C504" s="1"/>
    </row>
    <row r="505" spans="2:3" s="8" customFormat="1" x14ac:dyDescent="0.3">
      <c r="B505" s="1"/>
      <c r="C505" s="1"/>
    </row>
    <row r="506" spans="2:3" s="8" customFormat="1" x14ac:dyDescent="0.3">
      <c r="B506" s="1"/>
      <c r="C506" s="1"/>
    </row>
    <row r="507" spans="2:3" s="8" customFormat="1" x14ac:dyDescent="0.3">
      <c r="B507" s="1"/>
      <c r="C507" s="1"/>
    </row>
    <row r="508" spans="2:3" s="8" customFormat="1" x14ac:dyDescent="0.3">
      <c r="B508" s="1"/>
      <c r="C508" s="1"/>
    </row>
    <row r="509" spans="2:3" s="8" customFormat="1" x14ac:dyDescent="0.3">
      <c r="B509" s="1"/>
      <c r="C509" s="1"/>
    </row>
    <row r="510" spans="2:3" s="8" customFormat="1" x14ac:dyDescent="0.3">
      <c r="B510" s="1"/>
      <c r="C510" s="1"/>
    </row>
    <row r="511" spans="2:3" s="8" customFormat="1" x14ac:dyDescent="0.3">
      <c r="B511" s="1"/>
      <c r="C511" s="1"/>
    </row>
    <row r="512" spans="2:3" s="8" customFormat="1" x14ac:dyDescent="0.3">
      <c r="B512" s="1"/>
      <c r="C512" s="1"/>
    </row>
    <row r="513" spans="2:3" s="8" customFormat="1" x14ac:dyDescent="0.3">
      <c r="B513" s="1"/>
      <c r="C513" s="1"/>
    </row>
    <row r="514" spans="2:3" s="8" customFormat="1" x14ac:dyDescent="0.3">
      <c r="B514" s="1"/>
      <c r="C514" s="1"/>
    </row>
    <row r="515" spans="2:3" s="8" customFormat="1" x14ac:dyDescent="0.3">
      <c r="B515" s="1"/>
      <c r="C515" s="1"/>
    </row>
    <row r="516" spans="2:3" s="8" customFormat="1" x14ac:dyDescent="0.3">
      <c r="B516" s="1"/>
      <c r="C516" s="1"/>
    </row>
    <row r="517" spans="2:3" s="8" customFormat="1" x14ac:dyDescent="0.3">
      <c r="B517" s="1"/>
      <c r="C517" s="1"/>
    </row>
    <row r="518" spans="2:3" s="8" customFormat="1" x14ac:dyDescent="0.3">
      <c r="B518" s="1"/>
      <c r="C518" s="1"/>
    </row>
    <row r="519" spans="2:3" s="8" customFormat="1" x14ac:dyDescent="0.3">
      <c r="B519" s="1"/>
      <c r="C519" s="1"/>
    </row>
    <row r="520" spans="2:3" s="8" customFormat="1" x14ac:dyDescent="0.3">
      <c r="B520" s="1"/>
      <c r="C520" s="1"/>
    </row>
    <row r="521" spans="2:3" s="8" customFormat="1" x14ac:dyDescent="0.3">
      <c r="B521" s="1"/>
      <c r="C521" s="1"/>
    </row>
    <row r="522" spans="2:3" s="8" customFormat="1" x14ac:dyDescent="0.3">
      <c r="B522" s="1"/>
      <c r="C522" s="1"/>
    </row>
    <row r="523" spans="2:3" s="8" customFormat="1" x14ac:dyDescent="0.3">
      <c r="B523" s="1"/>
      <c r="C523" s="1"/>
    </row>
    <row r="524" spans="2:3" s="8" customFormat="1" x14ac:dyDescent="0.3">
      <c r="B524" s="1"/>
      <c r="C524" s="1"/>
    </row>
    <row r="525" spans="2:3" s="8" customFormat="1" x14ac:dyDescent="0.3">
      <c r="B525" s="1"/>
      <c r="C525" s="1"/>
    </row>
    <row r="526" spans="2:3" s="8" customFormat="1" x14ac:dyDescent="0.3">
      <c r="B526" s="1"/>
      <c r="C526" s="1"/>
    </row>
    <row r="527" spans="2:3" s="8" customFormat="1" x14ac:dyDescent="0.3">
      <c r="B527" s="1"/>
      <c r="C527" s="1"/>
    </row>
    <row r="528" spans="2:3" s="8" customFormat="1" x14ac:dyDescent="0.3">
      <c r="B528" s="1"/>
      <c r="C528" s="1"/>
    </row>
    <row r="529" spans="2:3" s="8" customFormat="1" x14ac:dyDescent="0.3">
      <c r="B529" s="1"/>
      <c r="C529" s="1"/>
    </row>
    <row r="530" spans="2:3" s="8" customFormat="1" x14ac:dyDescent="0.3">
      <c r="B530" s="1"/>
      <c r="C530" s="1"/>
    </row>
    <row r="531" spans="2:3" s="8" customFormat="1" x14ac:dyDescent="0.3">
      <c r="B531" s="1"/>
      <c r="C531" s="1"/>
    </row>
    <row r="532" spans="2:3" s="8" customFormat="1" x14ac:dyDescent="0.3">
      <c r="B532" s="1"/>
      <c r="C532" s="1"/>
    </row>
    <row r="533" spans="2:3" s="8" customFormat="1" x14ac:dyDescent="0.3">
      <c r="B533" s="1"/>
      <c r="C533" s="1"/>
    </row>
    <row r="534" spans="2:3" s="8" customFormat="1" x14ac:dyDescent="0.3">
      <c r="B534" s="1"/>
      <c r="C534" s="1"/>
    </row>
    <row r="535" spans="2:3" s="8" customFormat="1" x14ac:dyDescent="0.3">
      <c r="B535" s="1"/>
      <c r="C535" s="1"/>
    </row>
    <row r="536" spans="2:3" s="8" customFormat="1" x14ac:dyDescent="0.3">
      <c r="B536" s="1"/>
      <c r="C536" s="1"/>
    </row>
    <row r="537" spans="2:3" s="8" customFormat="1" x14ac:dyDescent="0.3">
      <c r="B537" s="1"/>
      <c r="C537" s="1"/>
    </row>
    <row r="538" spans="2:3" s="8" customFormat="1" x14ac:dyDescent="0.3">
      <c r="B538" s="1"/>
      <c r="C538" s="1"/>
    </row>
    <row r="539" spans="2:3" s="8" customFormat="1" x14ac:dyDescent="0.3">
      <c r="B539" s="1"/>
      <c r="C539" s="1"/>
    </row>
    <row r="540" spans="2:3" s="8" customFormat="1" x14ac:dyDescent="0.3">
      <c r="B540" s="1"/>
      <c r="C540" s="1"/>
    </row>
    <row r="541" spans="2:3" s="8" customFormat="1" x14ac:dyDescent="0.3">
      <c r="B541" s="1"/>
      <c r="C541" s="1"/>
    </row>
    <row r="542" spans="2:3" s="8" customFormat="1" x14ac:dyDescent="0.3">
      <c r="B542" s="1"/>
      <c r="C542" s="1"/>
    </row>
    <row r="543" spans="2:3" s="8" customFormat="1" x14ac:dyDescent="0.3">
      <c r="B543" s="1"/>
      <c r="C543" s="1"/>
    </row>
    <row r="544" spans="2:3" s="8" customFormat="1" x14ac:dyDescent="0.3">
      <c r="B544" s="1"/>
      <c r="C544" s="1"/>
    </row>
    <row r="545" spans="2:3" s="8" customFormat="1" x14ac:dyDescent="0.3">
      <c r="B545" s="1"/>
      <c r="C545" s="1"/>
    </row>
    <row r="546" spans="2:3" s="8" customFormat="1" x14ac:dyDescent="0.3">
      <c r="B546" s="1"/>
      <c r="C546" s="1"/>
    </row>
    <row r="547" spans="2:3" s="8" customFormat="1" x14ac:dyDescent="0.3">
      <c r="B547" s="1"/>
      <c r="C547" s="1"/>
    </row>
    <row r="548" spans="2:3" s="8" customFormat="1" x14ac:dyDescent="0.3">
      <c r="B548" s="1"/>
      <c r="C548" s="1"/>
    </row>
    <row r="549" spans="2:3" s="8" customFormat="1" x14ac:dyDescent="0.3">
      <c r="B549" s="1"/>
      <c r="C549" s="1"/>
    </row>
    <row r="550" spans="2:3" s="8" customFormat="1" x14ac:dyDescent="0.3">
      <c r="B550" s="1"/>
      <c r="C550" s="1"/>
    </row>
    <row r="551" spans="2:3" s="8" customFormat="1" x14ac:dyDescent="0.3">
      <c r="B551" s="1"/>
      <c r="C551" s="1"/>
    </row>
    <row r="552" spans="2:3" s="8" customFormat="1" x14ac:dyDescent="0.3">
      <c r="B552" s="1"/>
      <c r="C552" s="1"/>
    </row>
    <row r="553" spans="2:3" s="8" customFormat="1" x14ac:dyDescent="0.3">
      <c r="B553" s="1"/>
      <c r="C553" s="1"/>
    </row>
    <row r="554" spans="2:3" s="8" customFormat="1" x14ac:dyDescent="0.3">
      <c r="B554" s="1"/>
      <c r="C554" s="1"/>
    </row>
  </sheetData>
  <mergeCells count="175">
    <mergeCell ref="A48:A49"/>
    <mergeCell ref="A50:A51"/>
    <mergeCell ref="A52:A53"/>
    <mergeCell ref="A54:A55"/>
    <mergeCell ref="A56:A57"/>
    <mergeCell ref="A24:A25"/>
    <mergeCell ref="A43:A44"/>
    <mergeCell ref="A58:A59"/>
    <mergeCell ref="G37:G38"/>
    <mergeCell ref="G43:G44"/>
    <mergeCell ref="G50:G51"/>
    <mergeCell ref="G58:G59"/>
    <mergeCell ref="A46:A47"/>
    <mergeCell ref="B58:B59"/>
    <mergeCell ref="C58:C59"/>
    <mergeCell ref="D58:D59"/>
    <mergeCell ref="E58:E59"/>
    <mergeCell ref="F58:F59"/>
    <mergeCell ref="B54:B55"/>
    <mergeCell ref="C54:C55"/>
    <mergeCell ref="D54:D55"/>
    <mergeCell ref="E54:E55"/>
    <mergeCell ref="F54:F55"/>
    <mergeCell ref="B56:B5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7:A28"/>
    <mergeCell ref="A29:A30"/>
    <mergeCell ref="A31:A32"/>
    <mergeCell ref="A33:A34"/>
    <mergeCell ref="A35:A36"/>
    <mergeCell ref="A37:A38"/>
    <mergeCell ref="A39:A40"/>
    <mergeCell ref="A41:A42"/>
    <mergeCell ref="G4:G5"/>
    <mergeCell ref="G6:G7"/>
    <mergeCell ref="G8:G9"/>
    <mergeCell ref="G12:G13"/>
    <mergeCell ref="G14:G15"/>
    <mergeCell ref="G16:G17"/>
    <mergeCell ref="G18:G19"/>
    <mergeCell ref="G24:G25"/>
    <mergeCell ref="G27:G28"/>
    <mergeCell ref="C56:C57"/>
    <mergeCell ref="D56:D57"/>
    <mergeCell ref="E56:E57"/>
    <mergeCell ref="F56:F57"/>
    <mergeCell ref="B50:B51"/>
    <mergeCell ref="C50:C51"/>
    <mergeCell ref="D50:D51"/>
    <mergeCell ref="E50:E51"/>
    <mergeCell ref="F50:F51"/>
    <mergeCell ref="B52:B53"/>
    <mergeCell ref="C52:C53"/>
    <mergeCell ref="D52:D53"/>
    <mergeCell ref="E52:E53"/>
    <mergeCell ref="F52:F53"/>
    <mergeCell ref="B46:B47"/>
    <mergeCell ref="C46:C47"/>
    <mergeCell ref="D46:D47"/>
    <mergeCell ref="E46:E47"/>
    <mergeCell ref="F46:F47"/>
    <mergeCell ref="B48:B49"/>
    <mergeCell ref="C48:C49"/>
    <mergeCell ref="D48:D49"/>
    <mergeCell ref="E48:E49"/>
    <mergeCell ref="F48:F49"/>
    <mergeCell ref="B41:B42"/>
    <mergeCell ref="C41:C42"/>
    <mergeCell ref="D41:D42"/>
    <mergeCell ref="E41:E42"/>
    <mergeCell ref="F41:F42"/>
    <mergeCell ref="B43:B44"/>
    <mergeCell ref="C43:C44"/>
    <mergeCell ref="D43:D44"/>
    <mergeCell ref="E43:E44"/>
    <mergeCell ref="F43:F44"/>
    <mergeCell ref="B37:B38"/>
    <mergeCell ref="C37:C38"/>
    <mergeCell ref="D37:D38"/>
    <mergeCell ref="E37:E38"/>
    <mergeCell ref="F37:F38"/>
    <mergeCell ref="B39:B40"/>
    <mergeCell ref="C39:C40"/>
    <mergeCell ref="D39:D40"/>
    <mergeCell ref="E39:E40"/>
    <mergeCell ref="F39:F40"/>
    <mergeCell ref="B33:B34"/>
    <mergeCell ref="C33:C34"/>
    <mergeCell ref="D33:D34"/>
    <mergeCell ref="E33:E34"/>
    <mergeCell ref="F33:F34"/>
    <mergeCell ref="B35:B36"/>
    <mergeCell ref="C35:C36"/>
    <mergeCell ref="D35:D36"/>
    <mergeCell ref="E35:E36"/>
    <mergeCell ref="F35:F36"/>
    <mergeCell ref="B29:B30"/>
    <mergeCell ref="C29:C30"/>
    <mergeCell ref="D29:D30"/>
    <mergeCell ref="E29:E30"/>
    <mergeCell ref="F29:F30"/>
    <mergeCell ref="B31:B32"/>
    <mergeCell ref="C31:C32"/>
    <mergeCell ref="D31:D32"/>
    <mergeCell ref="E31:E32"/>
    <mergeCell ref="F31:F32"/>
    <mergeCell ref="B24:B25"/>
    <mergeCell ref="C24:C25"/>
    <mergeCell ref="D24:D25"/>
    <mergeCell ref="E24:E25"/>
    <mergeCell ref="F24:F25"/>
    <mergeCell ref="B27:B28"/>
    <mergeCell ref="C27:C28"/>
    <mergeCell ref="D27:D28"/>
    <mergeCell ref="E27:E28"/>
    <mergeCell ref="F27:F28"/>
    <mergeCell ref="B20:B21"/>
    <mergeCell ref="C20:C21"/>
    <mergeCell ref="D20:D21"/>
    <mergeCell ref="E20:E21"/>
    <mergeCell ref="F20:F21"/>
    <mergeCell ref="B22:B23"/>
    <mergeCell ref="C22:C23"/>
    <mergeCell ref="D22:D23"/>
    <mergeCell ref="E22:E23"/>
    <mergeCell ref="F22:F23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B12:B13"/>
    <mergeCell ref="C12:C13"/>
    <mergeCell ref="D12:D13"/>
    <mergeCell ref="E12:E13"/>
    <mergeCell ref="F12:F13"/>
    <mergeCell ref="B14:B15"/>
    <mergeCell ref="C14:C15"/>
    <mergeCell ref="D14:D15"/>
    <mergeCell ref="E14:E15"/>
    <mergeCell ref="F14:F15"/>
    <mergeCell ref="B8:B9"/>
    <mergeCell ref="C8:C9"/>
    <mergeCell ref="D8:D9"/>
    <mergeCell ref="E8:E9"/>
    <mergeCell ref="F8:F9"/>
    <mergeCell ref="B10:B11"/>
    <mergeCell ref="C10:C11"/>
    <mergeCell ref="D10:D11"/>
    <mergeCell ref="E10:E11"/>
    <mergeCell ref="F10:F11"/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03E9-A5E5-4AC2-A66B-D843F05AAE73}">
  <sheetPr>
    <tabColor theme="5" tint="0.79998168889431442"/>
  </sheetPr>
  <dimension ref="A1:BI207"/>
  <sheetViews>
    <sheetView topLeftCell="B1" zoomScaleNormal="100" workbookViewId="0">
      <pane xSplit="1" ySplit="1" topLeftCell="C2" activePane="bottomRight" state="frozen"/>
      <selection pane="topRight" activeCell="A31" sqref="A31:XFD37"/>
      <selection pane="bottomLeft" activeCell="A31" sqref="A31:XFD37"/>
      <selection pane="bottomRight" activeCell="B1" sqref="B1"/>
    </sheetView>
  </sheetViews>
  <sheetFormatPr defaultColWidth="11" defaultRowHeight="15" x14ac:dyDescent="0.3"/>
  <cols>
    <col min="1" max="1" width="8.125" style="8" customWidth="1"/>
    <col min="2" max="2" width="33.5" style="8" bestFit="1" customWidth="1"/>
    <col min="3" max="3" width="10.5" style="1" customWidth="1"/>
    <col min="4" max="5" width="10.5" style="6" customWidth="1"/>
    <col min="6" max="8" width="10.5" style="1" customWidth="1"/>
    <col min="9" max="61" width="11" style="8"/>
    <col min="62" max="16384" width="11" style="1"/>
  </cols>
  <sheetData>
    <row r="1" spans="1:9" x14ac:dyDescent="0.3">
      <c r="B1" s="3" t="s">
        <v>71</v>
      </c>
      <c r="C1" s="5" t="s">
        <v>4</v>
      </c>
      <c r="D1" s="5" t="s">
        <v>5</v>
      </c>
      <c r="E1" s="5" t="s">
        <v>6</v>
      </c>
      <c r="F1" s="7" t="s">
        <v>7</v>
      </c>
      <c r="G1" s="7" t="s">
        <v>8</v>
      </c>
      <c r="H1" s="7" t="s">
        <v>9</v>
      </c>
    </row>
    <row r="2" spans="1:9" s="8" customFormat="1" ht="5.0999999999999996" customHeight="1" x14ac:dyDescent="0.3">
      <c r="C2" s="19"/>
      <c r="D2" s="19"/>
      <c r="E2" s="19"/>
    </row>
    <row r="3" spans="1:9" s="8" customFormat="1" x14ac:dyDescent="0.3">
      <c r="A3" s="8" t="s">
        <v>72</v>
      </c>
      <c r="B3" s="8" t="s">
        <v>73</v>
      </c>
      <c r="C3" s="102">
        <f>REV_sbE!D3</f>
        <v>3250</v>
      </c>
      <c r="D3" s="102">
        <f>REV_sbE!E3</f>
        <v>3410</v>
      </c>
      <c r="E3" s="102">
        <f>REV_sbE!F3</f>
        <v>3577.876923076923</v>
      </c>
      <c r="F3" s="115"/>
      <c r="G3" s="115"/>
      <c r="H3" s="115"/>
    </row>
    <row r="4" spans="1:9" s="8" customFormat="1" x14ac:dyDescent="0.3">
      <c r="A4" s="9" t="s">
        <v>74</v>
      </c>
      <c r="B4" s="8" t="s">
        <v>75</v>
      </c>
      <c r="C4" s="102">
        <f>REV_sbE!D4</f>
        <v>1650</v>
      </c>
      <c r="D4" s="102">
        <f>REV_sbE!E4</f>
        <v>1700</v>
      </c>
      <c r="E4" s="102">
        <f>REV_sbE!F4</f>
        <v>1751.5151515151515</v>
      </c>
      <c r="F4" s="115"/>
      <c r="G4" s="115"/>
      <c r="H4" s="115"/>
    </row>
    <row r="5" spans="1:9" s="8" customFormat="1" x14ac:dyDescent="0.3">
      <c r="A5" s="9" t="s">
        <v>76</v>
      </c>
      <c r="B5" s="8" t="s">
        <v>77</v>
      </c>
      <c r="C5" s="102">
        <f>REV_sbE!D5</f>
        <v>1480</v>
      </c>
      <c r="D5" s="102">
        <f>REV_sbE!E5</f>
        <v>1570</v>
      </c>
      <c r="E5" s="102">
        <f>REV_sbE!F5</f>
        <v>1665.4729729729729</v>
      </c>
      <c r="F5" s="122"/>
      <c r="G5" s="122"/>
      <c r="H5" s="122"/>
    </row>
    <row r="6" spans="1:9" ht="15.75" thickBot="1" x14ac:dyDescent="0.35">
      <c r="A6" s="20" t="s">
        <v>78</v>
      </c>
      <c r="B6" s="21"/>
      <c r="C6" s="73">
        <f t="shared" ref="C6:H6" si="0">+SUM(C3:C5)</f>
        <v>6380</v>
      </c>
      <c r="D6" s="73">
        <f t="shared" si="0"/>
        <v>6680</v>
      </c>
      <c r="E6" s="73">
        <f t="shared" si="0"/>
        <v>6994.8650475650484</v>
      </c>
      <c r="F6" s="73">
        <f t="shared" si="0"/>
        <v>0</v>
      </c>
      <c r="G6" s="73">
        <f t="shared" si="0"/>
        <v>0</v>
      </c>
      <c r="H6" s="73">
        <f t="shared" si="0"/>
        <v>0</v>
      </c>
    </row>
    <row r="7" spans="1:9" s="8" customFormat="1" ht="15.75" thickTop="1" x14ac:dyDescent="0.3">
      <c r="A7" s="23"/>
      <c r="B7" s="22"/>
      <c r="C7" s="102"/>
      <c r="D7" s="66"/>
      <c r="E7" s="66"/>
      <c r="F7" s="103"/>
      <c r="G7" s="103"/>
      <c r="H7" s="103"/>
    </row>
    <row r="8" spans="1:9" s="8" customFormat="1" x14ac:dyDescent="0.3">
      <c r="A8" s="8" t="s">
        <v>79</v>
      </c>
      <c r="B8" s="8" t="s">
        <v>80</v>
      </c>
      <c r="C8" s="102">
        <f>REV_sbE!D8</f>
        <v>1200</v>
      </c>
      <c r="D8" s="102">
        <f>REV_sbE!E8</f>
        <v>1600</v>
      </c>
      <c r="E8" s="102">
        <f>REV_sbE!F8</f>
        <v>1839.9999999999998</v>
      </c>
      <c r="F8" s="122"/>
      <c r="G8" s="122"/>
      <c r="H8" s="122"/>
    </row>
    <row r="9" spans="1:9" ht="15.75" thickBot="1" x14ac:dyDescent="0.35">
      <c r="A9" s="20" t="s">
        <v>78</v>
      </c>
      <c r="B9" s="21"/>
      <c r="C9" s="73">
        <f t="shared" ref="C9:H9" si="1">+SUM(C8:C8)</f>
        <v>1200</v>
      </c>
      <c r="D9" s="73">
        <f t="shared" si="1"/>
        <v>1600</v>
      </c>
      <c r="E9" s="73">
        <f t="shared" si="1"/>
        <v>1839.9999999999998</v>
      </c>
      <c r="F9" s="73">
        <f t="shared" si="1"/>
        <v>0</v>
      </c>
      <c r="G9" s="73">
        <f t="shared" si="1"/>
        <v>0</v>
      </c>
      <c r="H9" s="73">
        <f t="shared" si="1"/>
        <v>0</v>
      </c>
    </row>
    <row r="10" spans="1:9" s="8" customFormat="1" ht="15.75" thickTop="1" x14ac:dyDescent="0.3">
      <c r="A10" s="23"/>
      <c r="B10" s="22"/>
      <c r="C10" s="102"/>
      <c r="D10" s="66"/>
      <c r="E10" s="66"/>
      <c r="F10" s="103"/>
      <c r="G10" s="103"/>
      <c r="H10" s="103"/>
    </row>
    <row r="11" spans="1:9" x14ac:dyDescent="0.3">
      <c r="B11" s="3" t="s">
        <v>81</v>
      </c>
      <c r="C11" s="104" t="s">
        <v>4</v>
      </c>
      <c r="D11" s="104" t="s">
        <v>5</v>
      </c>
      <c r="E11" s="104" t="s">
        <v>6</v>
      </c>
      <c r="F11" s="105" t="s">
        <v>7</v>
      </c>
      <c r="G11" s="105" t="s">
        <v>8</v>
      </c>
      <c r="H11" s="105" t="s">
        <v>9</v>
      </c>
    </row>
    <row r="12" spans="1:9" s="8" customFormat="1" x14ac:dyDescent="0.3">
      <c r="A12" s="8" t="s">
        <v>82</v>
      </c>
      <c r="B12" s="8" t="s">
        <v>83</v>
      </c>
      <c r="C12" s="102">
        <f>REV_sbE!D12</f>
        <v>180</v>
      </c>
      <c r="D12" s="102">
        <f>REV_sbE!E12</f>
        <v>250</v>
      </c>
      <c r="E12" s="102">
        <f>PnL!J6</f>
        <v>750</v>
      </c>
      <c r="F12" s="115"/>
      <c r="G12" s="115"/>
      <c r="H12" s="115"/>
      <c r="I12" s="25"/>
    </row>
    <row r="13" spans="1:9" s="8" customFormat="1" x14ac:dyDescent="0.3">
      <c r="B13" s="8" t="s">
        <v>84</v>
      </c>
      <c r="C13" s="102"/>
      <c r="D13" s="102">
        <f>REV_sbE!E13</f>
        <v>0</v>
      </c>
      <c r="E13" s="102">
        <v>0</v>
      </c>
      <c r="F13" s="115"/>
      <c r="G13" s="115"/>
      <c r="H13" s="115"/>
      <c r="I13" s="25"/>
    </row>
    <row r="14" spans="1:9" s="8" customFormat="1" x14ac:dyDescent="0.3">
      <c r="B14" s="8" t="s">
        <v>85</v>
      </c>
      <c r="C14" s="102">
        <f>REV_sbE!D14-300</f>
        <v>390</v>
      </c>
      <c r="D14" s="102">
        <f>REV_sbE!E14-250</f>
        <v>300</v>
      </c>
      <c r="E14" s="102">
        <v>0</v>
      </c>
      <c r="F14" s="122"/>
      <c r="G14" s="122"/>
      <c r="H14" s="122"/>
      <c r="I14" s="25"/>
    </row>
    <row r="15" spans="1:9" ht="15.75" thickBot="1" x14ac:dyDescent="0.35">
      <c r="A15" s="20" t="s">
        <v>78</v>
      </c>
      <c r="B15" s="21"/>
      <c r="C15" s="73">
        <f t="shared" ref="C15:H15" si="2">+SUM(C12:C14)</f>
        <v>570</v>
      </c>
      <c r="D15" s="73">
        <f t="shared" si="2"/>
        <v>550</v>
      </c>
      <c r="E15" s="73">
        <f t="shared" si="2"/>
        <v>750</v>
      </c>
      <c r="F15" s="73">
        <f t="shared" si="2"/>
        <v>0</v>
      </c>
      <c r="G15" s="73">
        <f t="shared" si="2"/>
        <v>0</v>
      </c>
      <c r="H15" s="73">
        <f t="shared" si="2"/>
        <v>0</v>
      </c>
    </row>
    <row r="16" spans="1:9" s="8" customFormat="1" ht="15.75" thickTop="1" x14ac:dyDescent="0.3">
      <c r="C16" s="102"/>
      <c r="D16" s="66"/>
      <c r="E16" s="66"/>
      <c r="F16" s="103"/>
      <c r="G16" s="103"/>
      <c r="H16" s="103"/>
    </row>
    <row r="17" spans="1:8" s="8" customFormat="1" x14ac:dyDescent="0.3">
      <c r="C17" s="66"/>
      <c r="D17" s="66"/>
      <c r="E17" s="66"/>
      <c r="F17" s="103"/>
      <c r="G17" s="103"/>
      <c r="H17" s="103"/>
    </row>
    <row r="18" spans="1:8" s="8" customFormat="1" x14ac:dyDescent="0.3">
      <c r="C18" s="66"/>
      <c r="D18" s="66"/>
      <c r="E18" s="66"/>
      <c r="F18" s="103"/>
      <c r="G18" s="103"/>
      <c r="H18" s="103"/>
    </row>
    <row r="19" spans="1:8" x14ac:dyDescent="0.3">
      <c r="A19" s="24" t="s">
        <v>86</v>
      </c>
      <c r="B19" s="24"/>
      <c r="C19" s="106">
        <f t="shared" ref="C19:H19" si="3">+C15+C9+C6</f>
        <v>8150</v>
      </c>
      <c r="D19" s="106">
        <f t="shared" si="3"/>
        <v>8830</v>
      </c>
      <c r="E19" s="106">
        <f t="shared" si="3"/>
        <v>9584.8650475650484</v>
      </c>
      <c r="F19" s="106">
        <f t="shared" si="3"/>
        <v>0</v>
      </c>
      <c r="G19" s="106">
        <f t="shared" si="3"/>
        <v>0</v>
      </c>
      <c r="H19" s="106">
        <f t="shared" si="3"/>
        <v>0</v>
      </c>
    </row>
    <row r="20" spans="1:8" s="8" customFormat="1" x14ac:dyDescent="0.3">
      <c r="C20" s="66"/>
      <c r="D20" s="66"/>
      <c r="E20" s="66"/>
      <c r="F20" s="103"/>
      <c r="G20" s="103"/>
      <c r="H20" s="103"/>
    </row>
    <row r="21" spans="1:8" s="49" customFormat="1" ht="8.25" x14ac:dyDescent="0.15">
      <c r="C21" s="100"/>
      <c r="D21" s="100"/>
      <c r="E21" s="100"/>
      <c r="F21" s="107"/>
      <c r="G21" s="107"/>
      <c r="H21" s="107"/>
    </row>
    <row r="22" spans="1:8" s="49" customFormat="1" ht="8.25" x14ac:dyDescent="0.15">
      <c r="C22" s="91"/>
      <c r="D22" s="91"/>
      <c r="E22" s="91"/>
      <c r="F22" s="107"/>
      <c r="G22" s="107"/>
      <c r="H22" s="107"/>
    </row>
    <row r="23" spans="1:8" s="8" customFormat="1" x14ac:dyDescent="0.3">
      <c r="B23" s="8" t="s">
        <v>87</v>
      </c>
      <c r="C23" s="104" t="s">
        <v>4</v>
      </c>
      <c r="D23" s="104" t="s">
        <v>5</v>
      </c>
      <c r="E23" s="104" t="s">
        <v>6</v>
      </c>
      <c r="F23" s="105" t="s">
        <v>7</v>
      </c>
      <c r="G23" s="105" t="s">
        <v>8</v>
      </c>
      <c r="H23" s="105" t="s">
        <v>9</v>
      </c>
    </row>
    <row r="24" spans="1:8" s="8" customFormat="1" x14ac:dyDescent="0.3">
      <c r="B24" s="8" t="s">
        <v>88</v>
      </c>
      <c r="C24" s="66">
        <f>REV_sbE!D24</f>
        <v>1048.3870967741934</v>
      </c>
      <c r="D24" s="66">
        <f>REV_sbE!E24</f>
        <v>1100</v>
      </c>
      <c r="E24" s="66">
        <f>REV_sbE!F24</f>
        <v>1154.1538461538462</v>
      </c>
      <c r="F24" s="115"/>
      <c r="G24" s="115"/>
      <c r="H24" s="115"/>
    </row>
    <row r="25" spans="1:8" s="8" customFormat="1" x14ac:dyDescent="0.3">
      <c r="B25" s="8" t="s">
        <v>89</v>
      </c>
      <c r="C25" s="66">
        <f>REV_sbE!D25</f>
        <v>1031.25</v>
      </c>
      <c r="D25" s="66">
        <f>REV_sbE!E25</f>
        <v>1062.5</v>
      </c>
      <c r="E25" s="66">
        <f>REV_sbE!F25</f>
        <v>1094.6969696969695</v>
      </c>
      <c r="F25" s="115"/>
      <c r="G25" s="115"/>
      <c r="H25" s="115"/>
    </row>
    <row r="26" spans="1:8" s="8" customFormat="1" x14ac:dyDescent="0.3">
      <c r="B26" s="8" t="s">
        <v>90</v>
      </c>
      <c r="C26" s="66">
        <f>REV_sbE!D26</f>
        <v>1057.1428571428571</v>
      </c>
      <c r="D26" s="66">
        <f>REV_sbE!E26</f>
        <v>1121.4285714285716</v>
      </c>
      <c r="E26" s="66">
        <f>REV_sbE!F26</f>
        <v>1189.6235521235521</v>
      </c>
      <c r="F26" s="122"/>
      <c r="G26" s="122"/>
      <c r="H26" s="122"/>
    </row>
    <row r="27" spans="1:8" s="8" customFormat="1" ht="15.75" thickBot="1" x14ac:dyDescent="0.35">
      <c r="B27" s="21"/>
      <c r="C27" s="73">
        <f>+SUM(C24:C26)</f>
        <v>3136.7799539170501</v>
      </c>
      <c r="D27" s="73">
        <f t="shared" ref="D27:H27" si="4">+SUM(D24:D26)</f>
        <v>3283.9285714285716</v>
      </c>
      <c r="E27" s="73">
        <f t="shared" si="4"/>
        <v>3438.4743679743679</v>
      </c>
      <c r="F27" s="73">
        <f t="shared" si="4"/>
        <v>0</v>
      </c>
      <c r="G27" s="73">
        <f t="shared" si="4"/>
        <v>0</v>
      </c>
      <c r="H27" s="73">
        <f t="shared" si="4"/>
        <v>0</v>
      </c>
    </row>
    <row r="28" spans="1:8" s="8" customFormat="1" ht="15.75" thickTop="1" x14ac:dyDescent="0.3">
      <c r="B28" s="8" t="s">
        <v>91</v>
      </c>
      <c r="C28" s="66">
        <f>REV_sbE!D28</f>
        <v>10000</v>
      </c>
      <c r="D28" s="66">
        <f>REV_sbE!E28</f>
        <v>13333.333333333334</v>
      </c>
      <c r="E28" s="66">
        <f>REV_sbE!F28</f>
        <v>15333.333333333332</v>
      </c>
      <c r="F28" s="123"/>
      <c r="G28" s="123"/>
      <c r="H28" s="123"/>
    </row>
    <row r="29" spans="1:8" s="8" customFormat="1" ht="15.75" thickBot="1" x14ac:dyDescent="0.35">
      <c r="B29" s="21"/>
      <c r="C29" s="73">
        <f>C28</f>
        <v>10000</v>
      </c>
      <c r="D29" s="73">
        <f t="shared" ref="D29:H29" si="5">D28</f>
        <v>13333.333333333334</v>
      </c>
      <c r="E29" s="73">
        <f t="shared" si="5"/>
        <v>15333.333333333332</v>
      </c>
      <c r="F29" s="73">
        <f t="shared" si="5"/>
        <v>0</v>
      </c>
      <c r="G29" s="73">
        <f t="shared" si="5"/>
        <v>0</v>
      </c>
      <c r="H29" s="73">
        <f t="shared" si="5"/>
        <v>0</v>
      </c>
    </row>
    <row r="30" spans="1:8" s="8" customFormat="1" ht="15.75" thickTop="1" x14ac:dyDescent="0.3">
      <c r="C30" s="18"/>
      <c r="D30" s="18"/>
      <c r="E30" s="18"/>
      <c r="F30" s="18"/>
      <c r="G30" s="18"/>
      <c r="H30" s="18"/>
    </row>
    <row r="31" spans="1:8" s="8" customFormat="1" hidden="1" x14ac:dyDescent="0.3">
      <c r="C31" s="18"/>
      <c r="D31" s="18"/>
      <c r="E31" s="18"/>
      <c r="F31" s="18"/>
      <c r="G31" s="18"/>
      <c r="H31" s="18"/>
    </row>
    <row r="32" spans="1:8" s="8" customFormat="1" hidden="1" x14ac:dyDescent="0.3">
      <c r="C32" s="18">
        <v>7300</v>
      </c>
      <c r="D32" s="18">
        <v>7580</v>
      </c>
      <c r="E32" s="18">
        <v>8280</v>
      </c>
      <c r="F32" s="18"/>
      <c r="G32" s="18"/>
      <c r="H32" s="18"/>
    </row>
    <row r="33" spans="2:8" s="8" customFormat="1" hidden="1" x14ac:dyDescent="0.3">
      <c r="B33" s="8" t="s">
        <v>73</v>
      </c>
      <c r="C33" s="18"/>
      <c r="D33" s="26">
        <f t="shared" ref="D33:E35" si="6">D3/C3</f>
        <v>1.0492307692307692</v>
      </c>
      <c r="E33" s="26">
        <f t="shared" si="6"/>
        <v>1.0492307692307692</v>
      </c>
      <c r="F33" s="18"/>
      <c r="G33" s="26">
        <f>D24/C24</f>
        <v>1.0492307692307694</v>
      </c>
      <c r="H33" s="26">
        <f>E24/D24</f>
        <v>1.0492307692307692</v>
      </c>
    </row>
    <row r="34" spans="2:8" s="8" customFormat="1" hidden="1" x14ac:dyDescent="0.3">
      <c r="B34" s="8" t="s">
        <v>75</v>
      </c>
      <c r="C34" s="18"/>
      <c r="D34" s="26">
        <f t="shared" si="6"/>
        <v>1.0303030303030303</v>
      </c>
      <c r="E34" s="26">
        <f t="shared" si="6"/>
        <v>1.0303030303030303</v>
      </c>
      <c r="F34" s="18"/>
      <c r="G34" s="26">
        <f t="shared" ref="G34:H35" si="7">D25/C25</f>
        <v>1.0303030303030303</v>
      </c>
      <c r="H34" s="26">
        <f t="shared" si="7"/>
        <v>1.0303030303030301</v>
      </c>
    </row>
    <row r="35" spans="2:8" s="8" customFormat="1" hidden="1" x14ac:dyDescent="0.3">
      <c r="B35" s="8" t="s">
        <v>77</v>
      </c>
      <c r="C35" s="18"/>
      <c r="D35" s="26">
        <f t="shared" si="6"/>
        <v>1.0608108108108107</v>
      </c>
      <c r="E35" s="26">
        <f t="shared" si="6"/>
        <v>1.0608108108108107</v>
      </c>
      <c r="F35" s="18"/>
      <c r="G35" s="26">
        <f t="shared" si="7"/>
        <v>1.060810810810811</v>
      </c>
      <c r="H35" s="26">
        <f t="shared" si="7"/>
        <v>1.0608108108108107</v>
      </c>
    </row>
    <row r="36" spans="2:8" s="8" customFormat="1" hidden="1" x14ac:dyDescent="0.3">
      <c r="B36" s="22"/>
      <c r="C36" s="18"/>
      <c r="D36" s="26"/>
      <c r="E36" s="26"/>
      <c r="F36" s="18"/>
      <c r="G36" s="18"/>
    </row>
    <row r="37" spans="2:8" s="8" customFormat="1" hidden="1" x14ac:dyDescent="0.3">
      <c r="B37" s="8" t="s">
        <v>80</v>
      </c>
      <c r="C37" s="18"/>
      <c r="D37" s="26">
        <f>D8/C8</f>
        <v>1.3333333333333333</v>
      </c>
      <c r="E37" s="26">
        <f>E8/D8</f>
        <v>1.1499999999999999</v>
      </c>
      <c r="F37" s="18"/>
      <c r="G37" s="18"/>
    </row>
    <row r="38" spans="2:8" s="8" customFormat="1" x14ac:dyDescent="0.3">
      <c r="C38" s="18"/>
      <c r="D38" s="18"/>
      <c r="E38" s="18"/>
      <c r="F38" s="18"/>
      <c r="G38" s="18"/>
    </row>
    <row r="39" spans="2:8" s="8" customFormat="1" x14ac:dyDescent="0.3">
      <c r="C39" s="18"/>
      <c r="D39" s="18"/>
      <c r="E39" s="18"/>
      <c r="F39" s="72"/>
      <c r="G39" s="72"/>
      <c r="H39" s="72"/>
    </row>
    <row r="40" spans="2:8" s="8" customFormat="1" x14ac:dyDescent="0.3">
      <c r="C40" s="18"/>
      <c r="D40" s="18"/>
      <c r="E40" s="18"/>
      <c r="F40" s="30"/>
      <c r="G40" s="30"/>
      <c r="H40" s="30"/>
    </row>
    <row r="41" spans="2:8" s="8" customFormat="1" x14ac:dyDescent="0.3">
      <c r="C41" s="18"/>
      <c r="D41" s="18"/>
      <c r="E41" s="18"/>
      <c r="F41" s="18"/>
      <c r="G41" s="18"/>
      <c r="H41" s="18"/>
    </row>
    <row r="42" spans="2:8" s="8" customFormat="1" x14ac:dyDescent="0.3">
      <c r="C42" s="18"/>
      <c r="D42" s="18"/>
      <c r="E42" s="18"/>
      <c r="F42" s="18"/>
      <c r="G42" s="18"/>
      <c r="H42" s="18"/>
    </row>
    <row r="43" spans="2:8" s="8" customFormat="1" x14ac:dyDescent="0.3">
      <c r="C43" s="18"/>
      <c r="D43" s="18"/>
      <c r="E43" s="18"/>
      <c r="F43" s="18"/>
      <c r="G43" s="18"/>
      <c r="H43" s="18"/>
    </row>
    <row r="44" spans="2:8" s="8" customFormat="1" x14ac:dyDescent="0.3">
      <c r="C44" s="18"/>
      <c r="D44" s="18"/>
      <c r="E44" s="18"/>
      <c r="F44" s="18"/>
      <c r="G44" s="18"/>
      <c r="H44" s="18"/>
    </row>
    <row r="45" spans="2:8" s="8" customFormat="1" x14ac:dyDescent="0.3">
      <c r="C45" s="18"/>
      <c r="D45" s="18"/>
      <c r="E45" s="18"/>
      <c r="F45" s="18"/>
      <c r="G45" s="18"/>
      <c r="H45" s="18"/>
    </row>
    <row r="46" spans="2:8" s="8" customFormat="1" x14ac:dyDescent="0.3">
      <c r="C46" s="18"/>
      <c r="D46" s="18"/>
      <c r="E46" s="18"/>
      <c r="F46" s="18"/>
      <c r="G46" s="18"/>
      <c r="H46" s="18"/>
    </row>
    <row r="47" spans="2:8" s="8" customFormat="1" x14ac:dyDescent="0.3">
      <c r="F47" s="18"/>
      <c r="G47" s="18"/>
      <c r="H47" s="18"/>
    </row>
    <row r="48" spans="2:8" s="8" customFormat="1" x14ac:dyDescent="0.3">
      <c r="C48" s="18"/>
      <c r="D48" s="18"/>
      <c r="E48" s="18"/>
      <c r="F48" s="18"/>
      <c r="G48" s="18"/>
    </row>
    <row r="49" spans="3:8" s="8" customFormat="1" x14ac:dyDescent="0.3">
      <c r="C49" s="18"/>
      <c r="D49" s="18"/>
      <c r="E49" s="18"/>
      <c r="F49" s="18"/>
      <c r="G49" s="18"/>
    </row>
    <row r="50" spans="3:8" s="8" customFormat="1" x14ac:dyDescent="0.3">
      <c r="C50" s="18"/>
      <c r="D50" s="18"/>
      <c r="E50" s="18"/>
      <c r="F50" s="18"/>
      <c r="G50" s="18"/>
      <c r="H50" s="18"/>
    </row>
    <row r="51" spans="3:8" s="8" customFormat="1" x14ac:dyDescent="0.3">
      <c r="C51" s="18"/>
      <c r="D51" s="18"/>
      <c r="E51" s="18"/>
      <c r="F51" s="18"/>
      <c r="G51" s="18"/>
    </row>
    <row r="52" spans="3:8" s="8" customFormat="1" x14ac:dyDescent="0.3">
      <c r="C52" s="71"/>
      <c r="D52" s="71"/>
      <c r="E52" s="71"/>
      <c r="F52" s="18"/>
      <c r="G52" s="18"/>
    </row>
    <row r="53" spans="3:8" s="8" customFormat="1" x14ac:dyDescent="0.3">
      <c r="C53" s="18"/>
      <c r="D53" s="18"/>
      <c r="E53" s="18"/>
      <c r="F53" s="18"/>
      <c r="G53" s="18"/>
      <c r="H53" s="18"/>
    </row>
    <row r="54" spans="3:8" s="8" customFormat="1" x14ac:dyDescent="0.3">
      <c r="C54" s="18"/>
      <c r="D54" s="18"/>
      <c r="E54" s="18"/>
      <c r="F54" s="18"/>
      <c r="G54" s="18"/>
    </row>
    <row r="55" spans="3:8" s="8" customFormat="1" x14ac:dyDescent="0.3">
      <c r="C55" s="18"/>
      <c r="D55" s="18"/>
      <c r="E55" s="18"/>
      <c r="F55" s="18"/>
      <c r="G55" s="18"/>
    </row>
    <row r="56" spans="3:8" s="8" customFormat="1" x14ac:dyDescent="0.3">
      <c r="C56" s="18"/>
      <c r="D56" s="18"/>
      <c r="E56" s="18"/>
      <c r="F56" s="18"/>
      <c r="G56" s="18"/>
    </row>
    <row r="57" spans="3:8" s="8" customFormat="1" x14ac:dyDescent="0.3">
      <c r="C57" s="18"/>
      <c r="D57" s="18"/>
      <c r="E57" s="18"/>
      <c r="F57" s="18"/>
      <c r="G57" s="18"/>
    </row>
    <row r="58" spans="3:8" s="8" customFormat="1" x14ac:dyDescent="0.3">
      <c r="C58" s="18"/>
      <c r="D58" s="18"/>
      <c r="E58" s="18"/>
      <c r="F58" s="18"/>
      <c r="G58" s="18"/>
    </row>
    <row r="59" spans="3:8" s="8" customFormat="1" x14ac:dyDescent="0.3">
      <c r="C59" s="18"/>
      <c r="D59" s="18"/>
      <c r="E59" s="18"/>
      <c r="F59" s="18"/>
      <c r="G59" s="18"/>
      <c r="H59" s="18"/>
    </row>
    <row r="60" spans="3:8" s="8" customFormat="1" x14ac:dyDescent="0.3">
      <c r="C60" s="18"/>
      <c r="D60" s="18"/>
      <c r="E60" s="18"/>
      <c r="F60" s="18"/>
      <c r="G60" s="18"/>
      <c r="H60" s="18"/>
    </row>
    <row r="61" spans="3:8" s="8" customFormat="1" x14ac:dyDescent="0.3">
      <c r="C61" s="18"/>
      <c r="D61" s="18"/>
      <c r="E61" s="18"/>
      <c r="F61" s="18"/>
      <c r="G61" s="18"/>
    </row>
    <row r="62" spans="3:8" s="8" customFormat="1" x14ac:dyDescent="0.3">
      <c r="C62" s="26"/>
      <c r="D62" s="26"/>
      <c r="E62" s="26"/>
      <c r="F62" s="18"/>
      <c r="G62" s="18"/>
    </row>
    <row r="63" spans="3:8" s="8" customFormat="1" x14ac:dyDescent="0.3">
      <c r="C63" s="18"/>
      <c r="D63" s="18"/>
      <c r="E63" s="18"/>
      <c r="F63" s="18"/>
      <c r="G63" s="18"/>
    </row>
    <row r="64" spans="3:8" s="8" customFormat="1" x14ac:dyDescent="0.3">
      <c r="C64" s="18"/>
      <c r="D64" s="18"/>
      <c r="E64" s="18"/>
      <c r="F64" s="18"/>
      <c r="G64" s="18"/>
    </row>
    <row r="65" spans="3:8" s="8" customFormat="1" x14ac:dyDescent="0.3">
      <c r="C65" s="30"/>
      <c r="D65" s="30"/>
      <c r="E65" s="30"/>
      <c r="F65" s="18"/>
      <c r="G65" s="18"/>
    </row>
    <row r="66" spans="3:8" s="8" customFormat="1" x14ac:dyDescent="0.3">
      <c r="C66" s="18"/>
      <c r="D66" s="18"/>
      <c r="E66" s="18"/>
      <c r="F66" s="18"/>
      <c r="G66" s="18"/>
    </row>
    <row r="67" spans="3:8" s="8" customFormat="1" x14ac:dyDescent="0.3">
      <c r="C67" s="18"/>
      <c r="D67" s="18"/>
      <c r="E67" s="18"/>
      <c r="F67" s="18"/>
      <c r="G67" s="18"/>
    </row>
    <row r="68" spans="3:8" s="8" customFormat="1" x14ac:dyDescent="0.3">
      <c r="C68" s="18"/>
      <c r="D68" s="18"/>
      <c r="E68" s="18"/>
      <c r="F68" s="18"/>
      <c r="G68" s="18"/>
    </row>
    <row r="69" spans="3:8" s="8" customFormat="1" x14ac:dyDescent="0.3">
      <c r="C69" s="18"/>
      <c r="D69" s="18"/>
      <c r="E69" s="18"/>
      <c r="F69" s="18"/>
      <c r="G69" s="18"/>
    </row>
    <row r="70" spans="3:8" s="8" customFormat="1" x14ac:dyDescent="0.3">
      <c r="C70" s="30"/>
      <c r="D70" s="30"/>
      <c r="E70" s="30"/>
      <c r="F70" s="18"/>
      <c r="G70" s="18"/>
      <c r="H70" s="18"/>
    </row>
    <row r="71" spans="3:8" s="8" customFormat="1" x14ac:dyDescent="0.3">
      <c r="C71" s="18"/>
      <c r="D71" s="18"/>
      <c r="E71" s="18"/>
      <c r="F71" s="18"/>
      <c r="G71" s="18"/>
    </row>
    <row r="72" spans="3:8" s="8" customFormat="1" x14ac:dyDescent="0.3">
      <c r="C72" s="18"/>
      <c r="D72" s="18"/>
      <c r="E72" s="18"/>
      <c r="F72" s="18"/>
      <c r="G72" s="18"/>
    </row>
    <row r="73" spans="3:8" s="8" customFormat="1" x14ac:dyDescent="0.3">
      <c r="C73" s="18"/>
      <c r="D73" s="18"/>
      <c r="E73" s="18"/>
      <c r="F73" s="18"/>
      <c r="G73" s="18"/>
      <c r="H73" s="18"/>
    </row>
    <row r="74" spans="3:8" s="8" customFormat="1" x14ac:dyDescent="0.3">
      <c r="C74" s="18"/>
      <c r="D74" s="18"/>
      <c r="E74" s="18"/>
      <c r="F74" s="18"/>
      <c r="G74" s="18"/>
    </row>
    <row r="75" spans="3:8" s="8" customFormat="1" x14ac:dyDescent="0.3">
      <c r="C75" s="18"/>
      <c r="D75" s="18"/>
      <c r="E75" s="18"/>
      <c r="F75" s="18"/>
      <c r="G75" s="18"/>
    </row>
    <row r="76" spans="3:8" s="8" customFormat="1" x14ac:dyDescent="0.3">
      <c r="C76" s="18"/>
      <c r="D76" s="18"/>
      <c r="E76" s="18"/>
      <c r="F76" s="18"/>
      <c r="G76" s="18"/>
    </row>
    <row r="77" spans="3:8" s="8" customFormat="1" x14ac:dyDescent="0.3">
      <c r="C77" s="18"/>
      <c r="D77" s="18"/>
      <c r="E77" s="18"/>
      <c r="F77" s="18"/>
      <c r="G77" s="18"/>
    </row>
    <row r="78" spans="3:8" s="8" customFormat="1" x14ac:dyDescent="0.3">
      <c r="C78" s="18"/>
      <c r="D78" s="18"/>
      <c r="E78" s="18"/>
      <c r="F78" s="18"/>
      <c r="G78" s="18"/>
    </row>
    <row r="79" spans="3:8" s="8" customFormat="1" x14ac:dyDescent="0.3">
      <c r="C79" s="18"/>
      <c r="D79" s="18"/>
      <c r="E79" s="18"/>
      <c r="F79" s="18"/>
      <c r="G79" s="18"/>
    </row>
    <row r="80" spans="3:8" s="8" customFormat="1" x14ac:dyDescent="0.3">
      <c r="C80" s="18"/>
      <c r="D80" s="18"/>
      <c r="E80" s="18"/>
      <c r="F80" s="18"/>
      <c r="G80" s="18"/>
    </row>
    <row r="81" spans="3:7" s="8" customFormat="1" x14ac:dyDescent="0.3">
      <c r="C81" s="18"/>
      <c r="D81" s="18"/>
      <c r="E81" s="18"/>
      <c r="F81" s="18"/>
      <c r="G81" s="18"/>
    </row>
    <row r="82" spans="3:7" s="8" customFormat="1" x14ac:dyDescent="0.3">
      <c r="C82" s="18"/>
      <c r="D82" s="18"/>
      <c r="E82" s="18"/>
      <c r="F82" s="18"/>
      <c r="G82" s="18"/>
    </row>
    <row r="83" spans="3:7" s="8" customFormat="1" x14ac:dyDescent="0.3">
      <c r="C83" s="18"/>
      <c r="D83" s="18"/>
      <c r="E83" s="18"/>
      <c r="F83" s="18"/>
      <c r="G83" s="18"/>
    </row>
    <row r="84" spans="3:7" s="8" customFormat="1" x14ac:dyDescent="0.3">
      <c r="C84" s="18"/>
      <c r="D84" s="18"/>
      <c r="E84" s="18"/>
      <c r="F84" s="18"/>
      <c r="G84" s="18"/>
    </row>
    <row r="85" spans="3:7" s="8" customFormat="1" x14ac:dyDescent="0.3">
      <c r="C85" s="18"/>
      <c r="D85" s="18"/>
      <c r="E85" s="18"/>
      <c r="F85" s="18"/>
      <c r="G85" s="18"/>
    </row>
    <row r="86" spans="3:7" s="8" customFormat="1" x14ac:dyDescent="0.3">
      <c r="C86" s="18"/>
      <c r="D86" s="18"/>
      <c r="E86" s="18"/>
      <c r="F86" s="18"/>
      <c r="G86" s="18"/>
    </row>
    <row r="87" spans="3:7" s="8" customFormat="1" x14ac:dyDescent="0.3">
      <c r="C87" s="18"/>
      <c r="D87" s="18"/>
      <c r="E87" s="18"/>
      <c r="F87" s="18"/>
      <c r="G87" s="18"/>
    </row>
    <row r="88" spans="3:7" s="8" customFormat="1" x14ac:dyDescent="0.3">
      <c r="C88" s="18"/>
      <c r="D88" s="18"/>
      <c r="E88" s="18"/>
      <c r="F88" s="18"/>
      <c r="G88" s="18"/>
    </row>
    <row r="89" spans="3:7" s="8" customFormat="1" x14ac:dyDescent="0.3">
      <c r="C89" s="18"/>
      <c r="D89" s="18"/>
      <c r="E89" s="18"/>
      <c r="F89" s="18"/>
      <c r="G89" s="18"/>
    </row>
    <row r="90" spans="3:7" s="8" customFormat="1" x14ac:dyDescent="0.3">
      <c r="C90" s="18"/>
      <c r="D90" s="18"/>
      <c r="E90" s="18"/>
      <c r="F90" s="18"/>
      <c r="G90" s="18"/>
    </row>
    <row r="91" spans="3:7" s="8" customFormat="1" x14ac:dyDescent="0.3">
      <c r="C91" s="18"/>
      <c r="D91" s="18"/>
      <c r="E91" s="18"/>
      <c r="F91" s="18"/>
      <c r="G91" s="18"/>
    </row>
    <row r="92" spans="3:7" s="8" customFormat="1" x14ac:dyDescent="0.3">
      <c r="C92" s="18"/>
      <c r="D92" s="18"/>
      <c r="E92" s="18"/>
      <c r="F92" s="18"/>
      <c r="G92" s="18"/>
    </row>
    <row r="93" spans="3:7" s="8" customFormat="1" x14ac:dyDescent="0.3">
      <c r="C93" s="18"/>
      <c r="D93" s="18"/>
      <c r="E93" s="18"/>
      <c r="F93" s="18"/>
      <c r="G93" s="18"/>
    </row>
    <row r="94" spans="3:7" s="8" customFormat="1" x14ac:dyDescent="0.3">
      <c r="C94" s="18"/>
      <c r="D94" s="18"/>
      <c r="E94" s="18"/>
      <c r="F94" s="18"/>
      <c r="G94" s="18"/>
    </row>
    <row r="95" spans="3:7" s="8" customFormat="1" x14ac:dyDescent="0.3">
      <c r="C95" s="18"/>
      <c r="D95" s="18"/>
      <c r="E95" s="18"/>
      <c r="F95" s="18"/>
      <c r="G95" s="18"/>
    </row>
    <row r="96" spans="3:7" s="8" customFormat="1" x14ac:dyDescent="0.3">
      <c r="C96" s="18"/>
      <c r="D96" s="18"/>
      <c r="E96" s="18"/>
      <c r="F96" s="18"/>
      <c r="G96" s="18"/>
    </row>
    <row r="97" spans="3:7" s="8" customFormat="1" x14ac:dyDescent="0.3">
      <c r="C97" s="18"/>
      <c r="D97" s="18"/>
      <c r="E97" s="18"/>
      <c r="F97" s="18"/>
      <c r="G97" s="18"/>
    </row>
    <row r="98" spans="3:7" s="8" customFormat="1" x14ac:dyDescent="0.3">
      <c r="C98" s="18"/>
      <c r="D98" s="18"/>
      <c r="E98" s="18"/>
      <c r="F98" s="18"/>
      <c r="G98" s="18"/>
    </row>
    <row r="99" spans="3:7" s="8" customFormat="1" x14ac:dyDescent="0.3">
      <c r="C99" s="18"/>
      <c r="D99" s="18"/>
      <c r="E99" s="18"/>
      <c r="F99" s="18"/>
      <c r="G99" s="18"/>
    </row>
    <row r="100" spans="3:7" s="8" customFormat="1" x14ac:dyDescent="0.3">
      <c r="C100" s="18"/>
      <c r="D100" s="18"/>
      <c r="E100" s="18"/>
      <c r="F100" s="18"/>
      <c r="G100" s="18"/>
    </row>
    <row r="101" spans="3:7" s="8" customFormat="1" x14ac:dyDescent="0.3">
      <c r="C101" s="18"/>
      <c r="D101" s="18"/>
      <c r="E101" s="18"/>
      <c r="F101" s="18"/>
      <c r="G101" s="18"/>
    </row>
    <row r="102" spans="3:7" s="8" customFormat="1" x14ac:dyDescent="0.3">
      <c r="C102" s="18"/>
      <c r="D102" s="18"/>
      <c r="E102" s="18"/>
      <c r="F102" s="18"/>
      <c r="G102" s="18"/>
    </row>
    <row r="103" spans="3:7" s="8" customFormat="1" x14ac:dyDescent="0.3">
      <c r="C103" s="18"/>
      <c r="D103" s="18"/>
      <c r="E103" s="18"/>
      <c r="F103" s="18"/>
      <c r="G103" s="18"/>
    </row>
    <row r="104" spans="3:7" s="8" customFormat="1" x14ac:dyDescent="0.3">
      <c r="C104" s="18"/>
      <c r="D104" s="18"/>
      <c r="E104" s="18"/>
      <c r="F104" s="18"/>
      <c r="G104" s="18"/>
    </row>
    <row r="105" spans="3:7" s="8" customFormat="1" x14ac:dyDescent="0.3">
      <c r="C105" s="18"/>
      <c r="D105" s="18"/>
      <c r="E105" s="18"/>
      <c r="F105" s="18"/>
      <c r="G105" s="18"/>
    </row>
    <row r="106" spans="3:7" s="8" customFormat="1" x14ac:dyDescent="0.3">
      <c r="C106" s="18"/>
      <c r="D106" s="18"/>
      <c r="E106" s="18"/>
      <c r="F106" s="18"/>
      <c r="G106" s="18"/>
    </row>
    <row r="107" spans="3:7" s="8" customFormat="1" x14ac:dyDescent="0.3">
      <c r="C107" s="18"/>
      <c r="D107" s="18"/>
      <c r="E107" s="18"/>
      <c r="F107" s="18"/>
      <c r="G107" s="18"/>
    </row>
    <row r="108" spans="3:7" s="8" customFormat="1" x14ac:dyDescent="0.3">
      <c r="C108" s="18"/>
      <c r="D108" s="18"/>
      <c r="E108" s="18"/>
      <c r="F108" s="18"/>
      <c r="G108" s="18"/>
    </row>
    <row r="109" spans="3:7" s="8" customFormat="1" x14ac:dyDescent="0.3">
      <c r="C109" s="18"/>
      <c r="D109" s="18"/>
      <c r="E109" s="18"/>
      <c r="F109" s="18"/>
      <c r="G109" s="18"/>
    </row>
    <row r="110" spans="3:7" s="8" customFormat="1" x14ac:dyDescent="0.3">
      <c r="C110" s="18"/>
      <c r="D110" s="18"/>
      <c r="E110" s="18"/>
      <c r="F110" s="18"/>
      <c r="G110" s="18"/>
    </row>
    <row r="111" spans="3:7" s="8" customFormat="1" x14ac:dyDescent="0.3">
      <c r="C111" s="18"/>
      <c r="D111" s="18"/>
      <c r="E111" s="18"/>
      <c r="F111" s="18"/>
      <c r="G111" s="18"/>
    </row>
    <row r="112" spans="3:7" s="8" customFormat="1" x14ac:dyDescent="0.3">
      <c r="C112" s="18"/>
      <c r="D112" s="18"/>
      <c r="E112" s="18"/>
      <c r="F112" s="18"/>
      <c r="G112" s="18"/>
    </row>
    <row r="113" spans="3:7" s="8" customFormat="1" x14ac:dyDescent="0.3">
      <c r="C113" s="18"/>
      <c r="D113" s="18"/>
      <c r="E113" s="18"/>
      <c r="F113" s="18"/>
      <c r="G113" s="18"/>
    </row>
    <row r="114" spans="3:7" s="8" customFormat="1" x14ac:dyDescent="0.3">
      <c r="C114" s="18"/>
      <c r="D114" s="18"/>
      <c r="E114" s="18"/>
      <c r="F114" s="18"/>
      <c r="G114" s="18"/>
    </row>
    <row r="115" spans="3:7" s="8" customFormat="1" x14ac:dyDescent="0.3">
      <c r="C115" s="18"/>
      <c r="D115" s="18"/>
      <c r="E115" s="18"/>
      <c r="F115" s="18"/>
      <c r="G115" s="18"/>
    </row>
    <row r="116" spans="3:7" s="8" customFormat="1" x14ac:dyDescent="0.3">
      <c r="C116" s="18"/>
      <c r="D116" s="18"/>
      <c r="E116" s="18"/>
      <c r="F116" s="18"/>
      <c r="G116" s="18"/>
    </row>
    <row r="117" spans="3:7" s="8" customFormat="1" x14ac:dyDescent="0.3">
      <c r="C117" s="18"/>
      <c r="D117" s="18"/>
      <c r="E117" s="18"/>
      <c r="F117" s="18"/>
      <c r="G117" s="18"/>
    </row>
    <row r="118" spans="3:7" s="8" customFormat="1" x14ac:dyDescent="0.3">
      <c r="C118" s="18"/>
      <c r="D118" s="18"/>
      <c r="E118" s="18"/>
      <c r="F118" s="18"/>
      <c r="G118" s="18"/>
    </row>
    <row r="119" spans="3:7" s="8" customFormat="1" x14ac:dyDescent="0.3">
      <c r="C119" s="18"/>
      <c r="D119" s="18"/>
      <c r="E119" s="18"/>
      <c r="F119" s="18"/>
      <c r="G119" s="18"/>
    </row>
    <row r="120" spans="3:7" s="8" customFormat="1" x14ac:dyDescent="0.3">
      <c r="C120" s="18"/>
      <c r="D120" s="18"/>
      <c r="E120" s="18"/>
      <c r="F120" s="18"/>
      <c r="G120" s="18"/>
    </row>
    <row r="121" spans="3:7" s="8" customFormat="1" x14ac:dyDescent="0.3">
      <c r="C121" s="18"/>
      <c r="D121" s="18"/>
      <c r="E121" s="18"/>
      <c r="F121" s="18"/>
      <c r="G121" s="18"/>
    </row>
    <row r="122" spans="3:7" s="8" customFormat="1" x14ac:dyDescent="0.3">
      <c r="C122" s="18"/>
      <c r="D122" s="18"/>
      <c r="E122" s="18"/>
      <c r="F122" s="18"/>
      <c r="G122" s="18"/>
    </row>
    <row r="123" spans="3:7" s="8" customFormat="1" x14ac:dyDescent="0.3">
      <c r="C123" s="18"/>
      <c r="D123" s="18"/>
      <c r="E123" s="18"/>
      <c r="F123" s="18"/>
      <c r="G123" s="18"/>
    </row>
    <row r="124" spans="3:7" s="8" customFormat="1" x14ac:dyDescent="0.3">
      <c r="C124" s="18"/>
      <c r="D124" s="18"/>
      <c r="E124" s="18"/>
      <c r="F124" s="18"/>
      <c r="G124" s="18"/>
    </row>
    <row r="125" spans="3:7" s="8" customFormat="1" x14ac:dyDescent="0.3">
      <c r="C125" s="18"/>
      <c r="D125" s="18"/>
      <c r="E125" s="18"/>
      <c r="F125" s="18"/>
      <c r="G125" s="18"/>
    </row>
    <row r="126" spans="3:7" s="8" customFormat="1" x14ac:dyDescent="0.3">
      <c r="C126" s="18"/>
      <c r="D126" s="18"/>
      <c r="E126" s="18"/>
      <c r="F126" s="18"/>
      <c r="G126" s="18"/>
    </row>
    <row r="127" spans="3:7" s="8" customFormat="1" x14ac:dyDescent="0.3">
      <c r="C127" s="18"/>
      <c r="D127" s="18"/>
      <c r="E127" s="18"/>
      <c r="F127" s="18"/>
      <c r="G127" s="18"/>
    </row>
    <row r="128" spans="3:7" s="8" customFormat="1" x14ac:dyDescent="0.3">
      <c r="C128" s="18"/>
      <c r="D128" s="18"/>
      <c r="E128" s="18"/>
      <c r="F128" s="18"/>
      <c r="G128" s="18"/>
    </row>
    <row r="129" spans="3:7" s="8" customFormat="1" x14ac:dyDescent="0.3">
      <c r="C129" s="18"/>
      <c r="D129" s="18"/>
      <c r="E129" s="18"/>
      <c r="F129" s="18"/>
      <c r="G129" s="18"/>
    </row>
    <row r="130" spans="3:7" s="8" customFormat="1" x14ac:dyDescent="0.3">
      <c r="C130" s="18"/>
      <c r="D130" s="18"/>
      <c r="E130" s="18"/>
      <c r="F130" s="18"/>
      <c r="G130" s="18"/>
    </row>
    <row r="131" spans="3:7" s="8" customFormat="1" x14ac:dyDescent="0.3">
      <c r="C131" s="18"/>
      <c r="D131" s="18"/>
      <c r="E131" s="18"/>
      <c r="F131" s="18"/>
      <c r="G131" s="18"/>
    </row>
    <row r="132" spans="3:7" s="8" customFormat="1" x14ac:dyDescent="0.3">
      <c r="C132" s="18"/>
      <c r="D132" s="18"/>
      <c r="E132" s="18"/>
      <c r="F132" s="18"/>
      <c r="G132" s="18"/>
    </row>
    <row r="133" spans="3:7" s="8" customFormat="1" x14ac:dyDescent="0.3">
      <c r="C133" s="18"/>
      <c r="D133" s="18"/>
      <c r="E133" s="18"/>
      <c r="F133" s="18"/>
      <c r="G133" s="18"/>
    </row>
    <row r="134" spans="3:7" s="8" customFormat="1" x14ac:dyDescent="0.3">
      <c r="C134" s="18"/>
      <c r="D134" s="18"/>
      <c r="E134" s="18"/>
      <c r="F134" s="18"/>
      <c r="G134" s="18"/>
    </row>
    <row r="135" spans="3:7" s="8" customFormat="1" x14ac:dyDescent="0.3">
      <c r="C135" s="18"/>
      <c r="D135" s="18"/>
      <c r="E135" s="18"/>
      <c r="F135" s="18"/>
      <c r="G135" s="18"/>
    </row>
    <row r="136" spans="3:7" s="8" customFormat="1" x14ac:dyDescent="0.3">
      <c r="C136" s="18"/>
      <c r="D136" s="18"/>
      <c r="E136" s="18"/>
      <c r="F136" s="18"/>
      <c r="G136" s="18"/>
    </row>
    <row r="137" spans="3:7" s="8" customFormat="1" x14ac:dyDescent="0.3">
      <c r="C137" s="18"/>
      <c r="D137" s="18"/>
      <c r="E137" s="18"/>
      <c r="F137" s="18"/>
      <c r="G137" s="18"/>
    </row>
    <row r="138" spans="3:7" s="8" customFormat="1" x14ac:dyDescent="0.3">
      <c r="C138" s="18"/>
      <c r="D138" s="18"/>
      <c r="E138" s="18"/>
      <c r="F138" s="18"/>
      <c r="G138" s="18"/>
    </row>
    <row r="139" spans="3:7" s="8" customFormat="1" x14ac:dyDescent="0.3">
      <c r="C139" s="18"/>
      <c r="D139" s="18"/>
      <c r="E139" s="18"/>
      <c r="F139" s="18"/>
      <c r="G139" s="18"/>
    </row>
    <row r="140" spans="3:7" s="8" customFormat="1" x14ac:dyDescent="0.3">
      <c r="C140" s="18"/>
      <c r="D140" s="18"/>
      <c r="E140" s="18"/>
      <c r="F140" s="18"/>
      <c r="G140" s="18"/>
    </row>
    <row r="141" spans="3:7" s="8" customFormat="1" x14ac:dyDescent="0.3">
      <c r="C141" s="18"/>
      <c r="D141" s="18"/>
      <c r="E141" s="18"/>
      <c r="F141" s="18"/>
      <c r="G141" s="18"/>
    </row>
    <row r="142" spans="3:7" s="8" customFormat="1" x14ac:dyDescent="0.3">
      <c r="C142" s="18"/>
      <c r="D142" s="18"/>
      <c r="E142" s="18"/>
      <c r="F142" s="18"/>
      <c r="G142" s="18"/>
    </row>
    <row r="143" spans="3:7" s="8" customFormat="1" x14ac:dyDescent="0.3">
      <c r="C143" s="18"/>
      <c r="D143" s="18"/>
      <c r="E143" s="18"/>
      <c r="F143" s="18"/>
      <c r="G143" s="18"/>
    </row>
    <row r="144" spans="3:7" s="8" customFormat="1" x14ac:dyDescent="0.3">
      <c r="C144" s="18"/>
      <c r="D144" s="18"/>
      <c r="E144" s="18"/>
      <c r="F144" s="18"/>
      <c r="G144" s="18"/>
    </row>
    <row r="145" spans="3:7" s="8" customFormat="1" x14ac:dyDescent="0.3">
      <c r="C145" s="18"/>
      <c r="D145" s="18"/>
      <c r="E145" s="18"/>
      <c r="F145" s="18"/>
      <c r="G145" s="18"/>
    </row>
    <row r="146" spans="3:7" s="8" customFormat="1" x14ac:dyDescent="0.3">
      <c r="C146" s="18"/>
      <c r="D146" s="18"/>
      <c r="E146" s="18"/>
      <c r="F146" s="18"/>
      <c r="G146" s="18"/>
    </row>
    <row r="147" spans="3:7" s="8" customFormat="1" x14ac:dyDescent="0.3">
      <c r="C147" s="18"/>
      <c r="D147" s="18"/>
      <c r="E147" s="18"/>
      <c r="F147" s="18"/>
      <c r="G147" s="18"/>
    </row>
    <row r="148" spans="3:7" s="8" customFormat="1" x14ac:dyDescent="0.3">
      <c r="C148" s="18"/>
      <c r="D148" s="18"/>
      <c r="E148" s="18"/>
      <c r="F148" s="18"/>
      <c r="G148" s="18"/>
    </row>
    <row r="149" spans="3:7" s="8" customFormat="1" x14ac:dyDescent="0.3">
      <c r="C149" s="18"/>
      <c r="D149" s="18"/>
      <c r="E149" s="18"/>
      <c r="F149" s="18"/>
      <c r="G149" s="18"/>
    </row>
    <row r="150" spans="3:7" s="8" customFormat="1" x14ac:dyDescent="0.3">
      <c r="C150" s="18"/>
      <c r="D150" s="18"/>
      <c r="E150" s="18"/>
      <c r="F150" s="18"/>
      <c r="G150" s="18"/>
    </row>
    <row r="151" spans="3:7" s="8" customFormat="1" x14ac:dyDescent="0.3">
      <c r="C151" s="18"/>
      <c r="D151" s="18"/>
      <c r="E151" s="18"/>
      <c r="F151" s="18"/>
      <c r="G151" s="18"/>
    </row>
    <row r="152" spans="3:7" s="8" customFormat="1" x14ac:dyDescent="0.3">
      <c r="C152" s="18"/>
      <c r="D152" s="18"/>
      <c r="E152" s="18"/>
      <c r="F152" s="18"/>
      <c r="G152" s="18"/>
    </row>
    <row r="153" spans="3:7" s="8" customFormat="1" x14ac:dyDescent="0.3">
      <c r="C153" s="18"/>
      <c r="D153" s="18"/>
      <c r="E153" s="18"/>
      <c r="F153" s="18"/>
      <c r="G153" s="18"/>
    </row>
    <row r="154" spans="3:7" s="8" customFormat="1" x14ac:dyDescent="0.3">
      <c r="C154" s="18"/>
      <c r="D154" s="18"/>
      <c r="E154" s="18"/>
      <c r="F154" s="18"/>
      <c r="G154" s="18"/>
    </row>
    <row r="155" spans="3:7" s="8" customFormat="1" x14ac:dyDescent="0.3">
      <c r="C155" s="18"/>
      <c r="D155" s="18"/>
      <c r="E155" s="18"/>
      <c r="F155" s="18"/>
      <c r="G155" s="18"/>
    </row>
    <row r="156" spans="3:7" s="8" customFormat="1" x14ac:dyDescent="0.3">
      <c r="C156" s="18"/>
      <c r="D156" s="18"/>
      <c r="E156" s="18"/>
      <c r="F156" s="18"/>
      <c r="G156" s="18"/>
    </row>
    <row r="157" spans="3:7" s="8" customFormat="1" x14ac:dyDescent="0.3">
      <c r="C157" s="18"/>
      <c r="D157" s="18"/>
      <c r="E157" s="18"/>
      <c r="F157" s="18"/>
      <c r="G157" s="18"/>
    </row>
    <row r="158" spans="3:7" s="8" customFormat="1" x14ac:dyDescent="0.3">
      <c r="C158" s="18"/>
      <c r="D158" s="18"/>
      <c r="E158" s="18"/>
      <c r="F158" s="18"/>
      <c r="G158" s="18"/>
    </row>
    <row r="159" spans="3:7" s="8" customFormat="1" x14ac:dyDescent="0.3">
      <c r="C159" s="18"/>
      <c r="D159" s="18"/>
      <c r="E159" s="18"/>
      <c r="F159" s="18"/>
      <c r="G159" s="18"/>
    </row>
    <row r="160" spans="3:7" s="8" customFormat="1" x14ac:dyDescent="0.3">
      <c r="C160" s="18"/>
      <c r="D160" s="18"/>
      <c r="E160" s="18"/>
      <c r="F160" s="18"/>
      <c r="G160" s="18"/>
    </row>
    <row r="161" spans="3:7" s="8" customFormat="1" x14ac:dyDescent="0.3">
      <c r="C161" s="18"/>
      <c r="D161" s="18"/>
      <c r="E161" s="18"/>
      <c r="F161" s="18"/>
      <c r="G161" s="18"/>
    </row>
    <row r="162" spans="3:7" s="8" customFormat="1" x14ac:dyDescent="0.3">
      <c r="C162" s="18"/>
      <c r="D162" s="18"/>
      <c r="E162" s="18"/>
      <c r="F162" s="18"/>
      <c r="G162" s="18"/>
    </row>
    <row r="163" spans="3:7" s="8" customFormat="1" x14ac:dyDescent="0.3">
      <c r="C163" s="18"/>
      <c r="D163" s="18"/>
      <c r="E163" s="18"/>
      <c r="F163" s="18"/>
      <c r="G163" s="18"/>
    </row>
    <row r="164" spans="3:7" s="8" customFormat="1" x14ac:dyDescent="0.3">
      <c r="C164" s="18"/>
      <c r="D164" s="18"/>
      <c r="E164" s="18"/>
      <c r="F164" s="18"/>
      <c r="G164" s="18"/>
    </row>
    <row r="165" spans="3:7" s="8" customFormat="1" x14ac:dyDescent="0.3">
      <c r="C165" s="18"/>
      <c r="D165" s="18"/>
      <c r="E165" s="18"/>
      <c r="F165" s="18"/>
      <c r="G165" s="18"/>
    </row>
    <row r="166" spans="3:7" s="8" customFormat="1" x14ac:dyDescent="0.3">
      <c r="C166" s="18"/>
      <c r="D166" s="18"/>
      <c r="E166" s="18"/>
      <c r="F166" s="18"/>
      <c r="G166" s="18"/>
    </row>
    <row r="167" spans="3:7" s="8" customFormat="1" x14ac:dyDescent="0.3">
      <c r="C167" s="18"/>
      <c r="D167" s="18"/>
      <c r="E167" s="18"/>
      <c r="F167" s="18"/>
      <c r="G167" s="18"/>
    </row>
    <row r="168" spans="3:7" s="8" customFormat="1" x14ac:dyDescent="0.3">
      <c r="C168" s="18"/>
      <c r="D168" s="18"/>
      <c r="E168" s="18"/>
      <c r="F168" s="18"/>
      <c r="G168" s="18"/>
    </row>
    <row r="169" spans="3:7" s="8" customFormat="1" x14ac:dyDescent="0.3">
      <c r="C169" s="18"/>
      <c r="D169" s="18"/>
      <c r="E169" s="18"/>
      <c r="F169" s="18"/>
      <c r="G169" s="18"/>
    </row>
    <row r="170" spans="3:7" s="8" customFormat="1" x14ac:dyDescent="0.3">
      <c r="C170" s="18"/>
      <c r="D170" s="18"/>
      <c r="E170" s="18"/>
      <c r="F170" s="18"/>
      <c r="G170" s="18"/>
    </row>
    <row r="171" spans="3:7" s="8" customFormat="1" x14ac:dyDescent="0.3">
      <c r="C171" s="18"/>
      <c r="D171" s="18"/>
      <c r="E171" s="18"/>
      <c r="F171" s="18"/>
      <c r="G171" s="18"/>
    </row>
    <row r="172" spans="3:7" s="8" customFormat="1" x14ac:dyDescent="0.3">
      <c r="C172" s="18"/>
      <c r="D172" s="18"/>
      <c r="E172" s="18"/>
      <c r="F172" s="18"/>
      <c r="G172" s="18"/>
    </row>
    <row r="173" spans="3:7" s="8" customFormat="1" x14ac:dyDescent="0.3">
      <c r="C173" s="18"/>
      <c r="D173" s="18"/>
      <c r="E173" s="18"/>
      <c r="F173" s="18"/>
      <c r="G173" s="18"/>
    </row>
    <row r="174" spans="3:7" s="8" customFormat="1" x14ac:dyDescent="0.3">
      <c r="D174" s="18"/>
      <c r="E174" s="18"/>
    </row>
    <row r="175" spans="3:7" s="8" customFormat="1" x14ac:dyDescent="0.3">
      <c r="D175" s="18"/>
      <c r="E175" s="18"/>
    </row>
    <row r="176" spans="3:7" s="8" customFormat="1" x14ac:dyDescent="0.3">
      <c r="D176" s="18"/>
      <c r="E176" s="18"/>
    </row>
    <row r="177" spans="4:5" s="8" customFormat="1" x14ac:dyDescent="0.3">
      <c r="D177" s="18"/>
      <c r="E177" s="18"/>
    </row>
    <row r="178" spans="4:5" s="8" customFormat="1" x14ac:dyDescent="0.3">
      <c r="D178" s="18"/>
      <c r="E178" s="18"/>
    </row>
    <row r="179" spans="4:5" s="8" customFormat="1" x14ac:dyDescent="0.3">
      <c r="D179" s="18"/>
      <c r="E179" s="18"/>
    </row>
    <row r="180" spans="4:5" s="8" customFormat="1" x14ac:dyDescent="0.3">
      <c r="D180" s="18"/>
      <c r="E180" s="18"/>
    </row>
    <row r="181" spans="4:5" s="8" customFormat="1" x14ac:dyDescent="0.3">
      <c r="D181" s="18"/>
      <c r="E181" s="18"/>
    </row>
    <row r="182" spans="4:5" s="8" customFormat="1" x14ac:dyDescent="0.3">
      <c r="D182" s="18"/>
      <c r="E182" s="18"/>
    </row>
    <row r="183" spans="4:5" s="8" customFormat="1" x14ac:dyDescent="0.3">
      <c r="D183" s="18"/>
      <c r="E183" s="18"/>
    </row>
    <row r="184" spans="4:5" s="8" customFormat="1" x14ac:dyDescent="0.3">
      <c r="D184" s="18"/>
      <c r="E184" s="18"/>
    </row>
    <row r="185" spans="4:5" s="8" customFormat="1" x14ac:dyDescent="0.3">
      <c r="D185" s="18"/>
      <c r="E185" s="18"/>
    </row>
    <row r="186" spans="4:5" s="8" customFormat="1" x14ac:dyDescent="0.3">
      <c r="D186" s="18"/>
      <c r="E186" s="18"/>
    </row>
    <row r="187" spans="4:5" s="8" customFormat="1" x14ac:dyDescent="0.3">
      <c r="D187" s="18"/>
      <c r="E187" s="18"/>
    </row>
    <row r="188" spans="4:5" s="8" customFormat="1" x14ac:dyDescent="0.3">
      <c r="D188" s="18"/>
      <c r="E188" s="18"/>
    </row>
    <row r="189" spans="4:5" s="8" customFormat="1" x14ac:dyDescent="0.3">
      <c r="D189" s="18"/>
      <c r="E189" s="18"/>
    </row>
    <row r="190" spans="4:5" s="8" customFormat="1" x14ac:dyDescent="0.3">
      <c r="D190" s="18"/>
      <c r="E190" s="18"/>
    </row>
    <row r="191" spans="4:5" s="8" customFormat="1" x14ac:dyDescent="0.3">
      <c r="D191" s="18"/>
      <c r="E191" s="18"/>
    </row>
    <row r="192" spans="4:5" s="8" customFormat="1" x14ac:dyDescent="0.3">
      <c r="D192" s="18"/>
      <c r="E192" s="18"/>
    </row>
    <row r="193" spans="4:5" s="8" customFormat="1" x14ac:dyDescent="0.3">
      <c r="D193" s="18"/>
      <c r="E193" s="18"/>
    </row>
    <row r="194" spans="4:5" s="8" customFormat="1" x14ac:dyDescent="0.3">
      <c r="D194" s="18"/>
      <c r="E194" s="18"/>
    </row>
    <row r="195" spans="4:5" s="8" customFormat="1" x14ac:dyDescent="0.3">
      <c r="D195" s="18"/>
      <c r="E195" s="18"/>
    </row>
    <row r="196" spans="4:5" s="8" customFormat="1" x14ac:dyDescent="0.3">
      <c r="D196" s="18"/>
      <c r="E196" s="18"/>
    </row>
    <row r="197" spans="4:5" s="8" customFormat="1" x14ac:dyDescent="0.3">
      <c r="D197" s="18"/>
      <c r="E197" s="18"/>
    </row>
    <row r="198" spans="4:5" s="8" customFormat="1" x14ac:dyDescent="0.3">
      <c r="D198" s="18"/>
      <c r="E198" s="18"/>
    </row>
    <row r="199" spans="4:5" s="8" customFormat="1" x14ac:dyDescent="0.3">
      <c r="D199" s="18"/>
      <c r="E199" s="18"/>
    </row>
    <row r="200" spans="4:5" s="8" customFormat="1" x14ac:dyDescent="0.3">
      <c r="D200" s="18"/>
      <c r="E200" s="18"/>
    </row>
    <row r="201" spans="4:5" s="8" customFormat="1" x14ac:dyDescent="0.3">
      <c r="D201" s="18"/>
      <c r="E201" s="18"/>
    </row>
    <row r="202" spans="4:5" s="8" customFormat="1" x14ac:dyDescent="0.3">
      <c r="D202" s="18"/>
      <c r="E202" s="18"/>
    </row>
    <row r="203" spans="4:5" s="8" customFormat="1" x14ac:dyDescent="0.3">
      <c r="D203" s="18"/>
      <c r="E203" s="18"/>
    </row>
    <row r="204" spans="4:5" s="8" customFormat="1" x14ac:dyDescent="0.3">
      <c r="D204" s="18"/>
      <c r="E204" s="18"/>
    </row>
    <row r="205" spans="4:5" s="8" customFormat="1" x14ac:dyDescent="0.3">
      <c r="D205" s="18"/>
      <c r="E205" s="18"/>
    </row>
    <row r="206" spans="4:5" s="8" customFormat="1" x14ac:dyDescent="0.3">
      <c r="D206" s="18"/>
      <c r="E206" s="18"/>
    </row>
    <row r="207" spans="4:5" s="8" customFormat="1" x14ac:dyDescent="0.3">
      <c r="D207" s="18"/>
      <c r="E207" s="18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CCDD-D03B-4C8A-960C-792ACF8DC70A}">
  <sheetPr>
    <tabColor theme="5" tint="0.79998168889431442"/>
  </sheetPr>
  <dimension ref="A1:AT201"/>
  <sheetViews>
    <sheetView zoomScaleNormal="100" workbookViewId="0">
      <pane ySplit="1" topLeftCell="A2" activePane="bottomLeft" state="frozen"/>
      <selection activeCell="A31" sqref="A31:XFD37"/>
      <selection pane="bottomLeft"/>
    </sheetView>
  </sheetViews>
  <sheetFormatPr defaultColWidth="11" defaultRowHeight="15" x14ac:dyDescent="0.3"/>
  <cols>
    <col min="1" max="1" width="9.125" style="8" customWidth="1"/>
    <col min="2" max="2" width="30.125" style="8" bestFit="1" customWidth="1"/>
    <col min="3" max="9" width="11" style="1"/>
    <col min="10" max="46" width="11" style="8"/>
    <col min="47" max="16384" width="11" style="1"/>
  </cols>
  <sheetData>
    <row r="1" spans="1:11" x14ac:dyDescent="0.3">
      <c r="A1" s="3" t="s">
        <v>92</v>
      </c>
      <c r="B1" s="51"/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11" s="8" customFormat="1" ht="5.0999999999999996" customHeight="1" x14ac:dyDescent="0.3"/>
    <row r="3" spans="1:11" s="8" customFormat="1" x14ac:dyDescent="0.3">
      <c r="B3" s="8" t="s">
        <v>93</v>
      </c>
      <c r="C3" s="18"/>
      <c r="D3" s="66">
        <f>COGS!E3</f>
        <v>1882.0679723502299</v>
      </c>
      <c r="E3" s="66">
        <f>COGS!F3</f>
        <v>1970.3571428571429</v>
      </c>
      <c r="F3" s="66">
        <f>COGS!G3</f>
        <v>2235.0083391833391</v>
      </c>
      <c r="G3" s="116"/>
      <c r="H3" s="116"/>
      <c r="I3" s="116"/>
    </row>
    <row r="4" spans="1:11" s="8" customFormat="1" x14ac:dyDescent="0.3">
      <c r="B4" s="8" t="s">
        <v>94</v>
      </c>
      <c r="C4" s="18"/>
      <c r="D4" s="66">
        <f>COGS!E4</f>
        <v>188.206797235023</v>
      </c>
      <c r="E4" s="66">
        <f>COGS!F4</f>
        <v>197.03571428571431</v>
      </c>
      <c r="F4" s="66">
        <f>COGS!G4</f>
        <v>223.50083391833391</v>
      </c>
      <c r="G4" s="116"/>
      <c r="H4" s="116"/>
      <c r="I4" s="116"/>
    </row>
    <row r="5" spans="1:11" s="8" customFormat="1" x14ac:dyDescent="0.3">
      <c r="B5" s="8" t="s">
        <v>95</v>
      </c>
      <c r="C5" s="18"/>
      <c r="D5" s="66">
        <f>COGS!E5</f>
        <v>600</v>
      </c>
      <c r="E5" s="66">
        <f>COGS!F5</f>
        <v>800</v>
      </c>
      <c r="F5" s="66">
        <f>COGS!G5</f>
        <v>919.99999999999989</v>
      </c>
      <c r="G5" s="124"/>
      <c r="H5" s="124"/>
      <c r="I5" s="124"/>
    </row>
    <row r="6" spans="1:11" s="8" customFormat="1" ht="15.75" thickBot="1" x14ac:dyDescent="0.35">
      <c r="A6" s="39" t="s">
        <v>96</v>
      </c>
      <c r="B6" s="39"/>
      <c r="C6" s="39"/>
      <c r="D6" s="108">
        <f t="shared" ref="D6:I6" si="0">+D5+D4+D3</f>
        <v>2670.2747695852531</v>
      </c>
      <c r="E6" s="108">
        <f t="shared" si="0"/>
        <v>2967.3928571428573</v>
      </c>
      <c r="F6" s="108">
        <f t="shared" si="0"/>
        <v>3378.5091731016728</v>
      </c>
      <c r="G6" s="108">
        <f t="shared" si="0"/>
        <v>0</v>
      </c>
      <c r="H6" s="108">
        <f t="shared" si="0"/>
        <v>0</v>
      </c>
      <c r="I6" s="108">
        <f t="shared" si="0"/>
        <v>0</v>
      </c>
      <c r="K6" s="18"/>
    </row>
    <row r="7" spans="1:11" s="8" customFormat="1" ht="15.75" thickTop="1" x14ac:dyDescent="0.3">
      <c r="D7" s="66"/>
      <c r="E7" s="66"/>
      <c r="F7" s="66"/>
      <c r="G7" s="66"/>
      <c r="H7" s="66"/>
      <c r="I7" s="66"/>
      <c r="K7" s="18"/>
    </row>
    <row r="8" spans="1:11" s="8" customFormat="1" x14ac:dyDescent="0.3">
      <c r="B8" s="40"/>
      <c r="C8" s="41"/>
      <c r="D8" s="109"/>
      <c r="E8" s="109"/>
      <c r="F8" s="109"/>
      <c r="G8" s="109"/>
      <c r="H8" s="109"/>
      <c r="I8" s="109"/>
      <c r="K8" s="18"/>
    </row>
    <row r="9" spans="1:11" s="8" customFormat="1" x14ac:dyDescent="0.3">
      <c r="B9" s="40"/>
      <c r="C9" s="42"/>
      <c r="D9" s="109"/>
      <c r="E9" s="109"/>
      <c r="F9" s="109"/>
      <c r="G9" s="109"/>
      <c r="H9" s="109"/>
      <c r="I9" s="109"/>
    </row>
    <row r="10" spans="1:11" s="8" customFormat="1" x14ac:dyDescent="0.3">
      <c r="D10" s="66"/>
      <c r="E10" s="66"/>
      <c r="F10" s="66"/>
      <c r="G10" s="66"/>
      <c r="H10" s="66"/>
      <c r="I10" s="66"/>
    </row>
    <row r="11" spans="1:11" s="8" customFormat="1" x14ac:dyDescent="0.3">
      <c r="D11" s="66"/>
      <c r="E11" s="66"/>
      <c r="F11" s="66"/>
      <c r="G11" s="66"/>
      <c r="H11" s="66"/>
      <c r="I11" s="66"/>
    </row>
    <row r="12" spans="1:11" s="8" customFormat="1" x14ac:dyDescent="0.3">
      <c r="D12" s="66"/>
      <c r="E12" s="66"/>
      <c r="F12" s="66"/>
      <c r="G12" s="66"/>
      <c r="H12" s="66"/>
      <c r="I12" s="66"/>
      <c r="K12" s="18"/>
    </row>
    <row r="13" spans="1:11" s="8" customFormat="1" x14ac:dyDescent="0.3">
      <c r="D13" s="66"/>
      <c r="E13" s="66"/>
      <c r="F13" s="66"/>
      <c r="G13" s="66"/>
      <c r="H13" s="66"/>
      <c r="I13" s="66"/>
    </row>
    <row r="14" spans="1:11" x14ac:dyDescent="0.3">
      <c r="A14" s="3" t="s">
        <v>97</v>
      </c>
      <c r="B14" s="51"/>
      <c r="C14" s="3"/>
      <c r="D14" s="104" t="s">
        <v>4</v>
      </c>
      <c r="E14" s="104" t="s">
        <v>5</v>
      </c>
      <c r="F14" s="104" t="s">
        <v>6</v>
      </c>
      <c r="G14" s="110" t="s">
        <v>7</v>
      </c>
      <c r="H14" s="110" t="s">
        <v>8</v>
      </c>
      <c r="I14" s="111" t="s">
        <v>9</v>
      </c>
    </row>
    <row r="15" spans="1:11" s="8" customFormat="1" ht="5.0999999999999996" customHeight="1" x14ac:dyDescent="0.3">
      <c r="D15" s="66"/>
      <c r="E15" s="66"/>
      <c r="F15" s="66"/>
      <c r="G15" s="66"/>
      <c r="H15" s="66"/>
      <c r="I15" s="66"/>
    </row>
    <row r="16" spans="1:11" s="8" customFormat="1" x14ac:dyDescent="0.3">
      <c r="B16" s="8" t="s">
        <v>98</v>
      </c>
      <c r="C16" s="18"/>
      <c r="D16" s="66">
        <f>COGS!E16</f>
        <v>325</v>
      </c>
      <c r="E16" s="66">
        <f>COGS!F16</f>
        <v>341</v>
      </c>
      <c r="F16" s="66">
        <f>COGS!G16</f>
        <v>325.33333333333331</v>
      </c>
      <c r="G16" s="116"/>
      <c r="H16" s="116"/>
      <c r="I16" s="116"/>
    </row>
    <row r="17" spans="1:9" s="8" customFormat="1" x14ac:dyDescent="0.3">
      <c r="B17" s="8" t="s">
        <v>99</v>
      </c>
      <c r="C17" s="18"/>
      <c r="D17" s="66">
        <f>COGS!E17</f>
        <v>165</v>
      </c>
      <c r="E17" s="66">
        <f>COGS!F17+100</f>
        <v>170</v>
      </c>
      <c r="F17" s="66">
        <f>COGS!G17</f>
        <v>131.66666666666666</v>
      </c>
      <c r="G17" s="116"/>
      <c r="H17" s="116"/>
      <c r="I17" s="116"/>
    </row>
    <row r="18" spans="1:9" s="8" customFormat="1" x14ac:dyDescent="0.3">
      <c r="B18" s="8" t="s">
        <v>100</v>
      </c>
      <c r="C18" s="18"/>
      <c r="D18" s="66">
        <f>COGS!E18</f>
        <v>133.19999999999999</v>
      </c>
      <c r="E18" s="66">
        <f>COGS!F18</f>
        <v>141.29999999999998</v>
      </c>
      <c r="F18" s="66">
        <f>COGS!G18</f>
        <v>133.5</v>
      </c>
      <c r="G18" s="116"/>
      <c r="H18" s="116"/>
      <c r="I18" s="116"/>
    </row>
    <row r="19" spans="1:9" s="8" customFormat="1" x14ac:dyDescent="0.3">
      <c r="B19" s="8" t="s">
        <v>101</v>
      </c>
      <c r="C19" s="18"/>
      <c r="D19" s="66">
        <f>COGS!E19</f>
        <v>72</v>
      </c>
      <c r="E19" s="66">
        <f>COGS!F19</f>
        <v>85</v>
      </c>
      <c r="F19" s="66">
        <f>COGS!G19</f>
        <v>76.333333333333329</v>
      </c>
      <c r="G19" s="124"/>
      <c r="H19" s="124"/>
      <c r="I19" s="124"/>
    </row>
    <row r="20" spans="1:9" s="8" customFormat="1" ht="15.75" thickBot="1" x14ac:dyDescent="0.35">
      <c r="A20" s="39" t="s">
        <v>96</v>
      </c>
      <c r="B20" s="39"/>
      <c r="C20" s="39"/>
      <c r="D20" s="108">
        <f>+D19+D17+D16+D18</f>
        <v>695.2</v>
      </c>
      <c r="E20" s="108">
        <f t="shared" ref="E20:F20" si="1">+E19+E17+E16+E18</f>
        <v>737.3</v>
      </c>
      <c r="F20" s="108">
        <f t="shared" si="1"/>
        <v>666.83333333333326</v>
      </c>
      <c r="G20" s="108">
        <f t="shared" ref="G20:I20" si="2">+G19+G17+G16</f>
        <v>0</v>
      </c>
      <c r="H20" s="108">
        <f t="shared" si="2"/>
        <v>0</v>
      </c>
      <c r="I20" s="108">
        <f t="shared" si="2"/>
        <v>0</v>
      </c>
    </row>
    <row r="21" spans="1:9" s="8" customFormat="1" ht="15.75" thickTop="1" x14ac:dyDescent="0.3">
      <c r="D21" s="66"/>
      <c r="E21" s="66"/>
      <c r="F21" s="66"/>
      <c r="G21" s="66"/>
      <c r="H21" s="66"/>
      <c r="I21" s="66"/>
    </row>
    <row r="22" spans="1:9" s="8" customFormat="1" x14ac:dyDescent="0.3">
      <c r="D22" s="106">
        <f>D20+D6</f>
        <v>3365.4747695852529</v>
      </c>
      <c r="E22" s="106">
        <f>E20+E6</f>
        <v>3704.6928571428571</v>
      </c>
      <c r="F22" s="106">
        <f t="shared" ref="F22:I22" si="3">F20+F6</f>
        <v>4045.3425064350058</v>
      </c>
      <c r="G22" s="106">
        <f t="shared" si="3"/>
        <v>0</v>
      </c>
      <c r="H22" s="106">
        <f t="shared" si="3"/>
        <v>0</v>
      </c>
      <c r="I22" s="106">
        <f t="shared" si="3"/>
        <v>0</v>
      </c>
    </row>
    <row r="23" spans="1:9" s="8" customFormat="1" x14ac:dyDescent="0.3">
      <c r="D23" s="66"/>
      <c r="E23" s="66"/>
      <c r="F23" s="66"/>
      <c r="G23" s="66"/>
      <c r="H23" s="66"/>
      <c r="I23" s="66"/>
    </row>
    <row r="24" spans="1:9" s="8" customFormat="1" x14ac:dyDescent="0.3"/>
    <row r="25" spans="1:9" s="8" customFormat="1" hidden="1" x14ac:dyDescent="0.3">
      <c r="A25" s="8" t="s">
        <v>187</v>
      </c>
    </row>
    <row r="26" spans="1:9" s="8" customFormat="1" hidden="1" x14ac:dyDescent="0.3">
      <c r="B26" s="8" t="s">
        <v>98</v>
      </c>
      <c r="D26" s="26">
        <f>D16/'REV_sbE (2)'!C3</f>
        <v>0.1</v>
      </c>
      <c r="E26" s="26">
        <f>E16/'REV_sbE (2)'!D3</f>
        <v>0.1</v>
      </c>
      <c r="F26" s="26">
        <f>F16/'REV_sbE (2)'!E3</f>
        <v>9.0929157242656433E-2</v>
      </c>
    </row>
    <row r="27" spans="1:9" s="8" customFormat="1" hidden="1" x14ac:dyDescent="0.3">
      <c r="B27" s="8" t="s">
        <v>99</v>
      </c>
      <c r="D27" s="26">
        <f>D17/'REV_sbE (2)'!C4</f>
        <v>0.1</v>
      </c>
      <c r="E27" s="26">
        <f>E17/'REV_sbE (2)'!D4</f>
        <v>0.1</v>
      </c>
      <c r="F27" s="26">
        <f>(F17+100)/'REV_sbE (2)'!E4</f>
        <v>0.13226643598615917</v>
      </c>
    </row>
    <row r="28" spans="1:9" s="8" customFormat="1" hidden="1" x14ac:dyDescent="0.3">
      <c r="B28" s="8" t="s">
        <v>100</v>
      </c>
      <c r="D28" s="26">
        <f>D18/'REV_sbE (2)'!C5</f>
        <v>0.09</v>
      </c>
      <c r="E28" s="26">
        <f>E18/'REV_sbE (2)'!D5</f>
        <v>8.9999999999999983E-2</v>
      </c>
      <c r="F28" s="26">
        <f>F18/'REV_sbE (2)'!E5</f>
        <v>8.0157410036918342E-2</v>
      </c>
    </row>
    <row r="29" spans="1:9" s="8" customFormat="1" hidden="1" x14ac:dyDescent="0.3">
      <c r="B29" s="8" t="s">
        <v>101</v>
      </c>
      <c r="D29" s="26">
        <f>D19/'REV_sbE (2)'!C5</f>
        <v>4.8648648648648651E-2</v>
      </c>
      <c r="E29" s="26">
        <f>E19/'REV_sbE (2)'!D5</f>
        <v>5.4140127388535034E-2</v>
      </c>
      <c r="F29" s="26">
        <f>F19/'REV_sbE (2)'!E5</f>
        <v>4.5832826213369031E-2</v>
      </c>
    </row>
    <row r="30" spans="1:9" s="8" customFormat="1" x14ac:dyDescent="0.3">
      <c r="D30" s="18"/>
      <c r="E30" s="18"/>
      <c r="F30" s="18"/>
    </row>
    <row r="31" spans="1:9" s="8" customFormat="1" x14ac:dyDescent="0.3"/>
    <row r="32" spans="1:9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  <row r="54" s="8" customFormat="1" x14ac:dyDescent="0.3"/>
    <row r="55" s="8" customFormat="1" x14ac:dyDescent="0.3"/>
    <row r="56" s="8" customFormat="1" x14ac:dyDescent="0.3"/>
    <row r="57" s="8" customFormat="1" x14ac:dyDescent="0.3"/>
    <row r="58" s="8" customFormat="1" x14ac:dyDescent="0.3"/>
    <row r="59" s="8" customFormat="1" x14ac:dyDescent="0.3"/>
    <row r="60" s="8" customFormat="1" x14ac:dyDescent="0.3"/>
    <row r="61" s="8" customFormat="1" x14ac:dyDescent="0.3"/>
    <row r="62" s="8" customFormat="1" x14ac:dyDescent="0.3"/>
    <row r="63" s="8" customFormat="1" x14ac:dyDescent="0.3"/>
    <row r="64" s="8" customFormat="1" x14ac:dyDescent="0.3"/>
    <row r="65" s="8" customFormat="1" x14ac:dyDescent="0.3"/>
    <row r="66" s="8" customFormat="1" x14ac:dyDescent="0.3"/>
    <row r="67" s="8" customFormat="1" x14ac:dyDescent="0.3"/>
    <row r="68" s="8" customFormat="1" x14ac:dyDescent="0.3"/>
    <row r="69" s="8" customFormat="1" x14ac:dyDescent="0.3"/>
    <row r="70" s="8" customFormat="1" x14ac:dyDescent="0.3"/>
    <row r="71" s="8" customFormat="1" x14ac:dyDescent="0.3"/>
    <row r="72" s="8" customFormat="1" x14ac:dyDescent="0.3"/>
    <row r="73" s="8" customFormat="1" x14ac:dyDescent="0.3"/>
    <row r="74" s="8" customFormat="1" x14ac:dyDescent="0.3"/>
    <row r="75" s="8" customFormat="1" x14ac:dyDescent="0.3"/>
    <row r="76" s="8" customFormat="1" x14ac:dyDescent="0.3"/>
    <row r="77" s="8" customFormat="1" x14ac:dyDescent="0.3"/>
    <row r="78" s="8" customFormat="1" x14ac:dyDescent="0.3"/>
    <row r="79" s="8" customFormat="1" x14ac:dyDescent="0.3"/>
    <row r="80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  <row r="119" s="8" customFormat="1" x14ac:dyDescent="0.3"/>
    <row r="120" s="8" customFormat="1" x14ac:dyDescent="0.3"/>
    <row r="121" s="8" customFormat="1" x14ac:dyDescent="0.3"/>
    <row r="122" s="8" customFormat="1" x14ac:dyDescent="0.3"/>
    <row r="123" s="8" customFormat="1" x14ac:dyDescent="0.3"/>
    <row r="124" s="8" customFormat="1" x14ac:dyDescent="0.3"/>
    <row r="125" s="8" customFormat="1" x14ac:dyDescent="0.3"/>
    <row r="126" s="8" customFormat="1" x14ac:dyDescent="0.3"/>
    <row r="127" s="8" customFormat="1" x14ac:dyDescent="0.3"/>
    <row r="128" s="8" customFormat="1" x14ac:dyDescent="0.3"/>
    <row r="129" s="8" customFormat="1" x14ac:dyDescent="0.3"/>
    <row r="130" s="8" customFormat="1" x14ac:dyDescent="0.3"/>
    <row r="131" s="8" customFormat="1" x14ac:dyDescent="0.3"/>
    <row r="132" s="8" customFormat="1" x14ac:dyDescent="0.3"/>
    <row r="133" s="8" customFormat="1" x14ac:dyDescent="0.3"/>
    <row r="134" s="8" customFormat="1" x14ac:dyDescent="0.3"/>
    <row r="135" s="8" customFormat="1" x14ac:dyDescent="0.3"/>
    <row r="136" s="8" customFormat="1" x14ac:dyDescent="0.3"/>
    <row r="137" s="8" customFormat="1" x14ac:dyDescent="0.3"/>
    <row r="138" s="8" customFormat="1" x14ac:dyDescent="0.3"/>
    <row r="139" s="8" customFormat="1" x14ac:dyDescent="0.3"/>
    <row r="140" s="8" customFormat="1" x14ac:dyDescent="0.3"/>
    <row r="141" s="8" customFormat="1" x14ac:dyDescent="0.3"/>
    <row r="142" s="8" customFormat="1" x14ac:dyDescent="0.3"/>
    <row r="143" s="8" customFormat="1" x14ac:dyDescent="0.3"/>
    <row r="144" s="8" customFormat="1" x14ac:dyDescent="0.3"/>
    <row r="145" s="8" customFormat="1" x14ac:dyDescent="0.3"/>
    <row r="146" s="8" customFormat="1" x14ac:dyDescent="0.3"/>
    <row r="147" s="8" customFormat="1" x14ac:dyDescent="0.3"/>
    <row r="148" s="8" customFormat="1" x14ac:dyDescent="0.3"/>
    <row r="149" s="8" customFormat="1" x14ac:dyDescent="0.3"/>
    <row r="150" s="8" customFormat="1" x14ac:dyDescent="0.3"/>
    <row r="151" s="8" customFormat="1" x14ac:dyDescent="0.3"/>
    <row r="152" s="8" customFormat="1" x14ac:dyDescent="0.3"/>
    <row r="153" s="8" customFormat="1" x14ac:dyDescent="0.3"/>
    <row r="154" s="8" customFormat="1" x14ac:dyDescent="0.3"/>
    <row r="155" s="8" customFormat="1" x14ac:dyDescent="0.3"/>
    <row r="156" s="8" customFormat="1" x14ac:dyDescent="0.3"/>
    <row r="157" s="8" customFormat="1" x14ac:dyDescent="0.3"/>
    <row r="158" s="8" customFormat="1" x14ac:dyDescent="0.3"/>
    <row r="159" s="8" customFormat="1" x14ac:dyDescent="0.3"/>
    <row r="160" s="8" customFormat="1" x14ac:dyDescent="0.3"/>
    <row r="161" s="8" customFormat="1" x14ac:dyDescent="0.3"/>
    <row r="162" s="8" customFormat="1" x14ac:dyDescent="0.3"/>
    <row r="163" s="8" customFormat="1" x14ac:dyDescent="0.3"/>
    <row r="164" s="8" customFormat="1" x14ac:dyDescent="0.3"/>
    <row r="165" s="8" customFormat="1" x14ac:dyDescent="0.3"/>
    <row r="166" s="8" customFormat="1" x14ac:dyDescent="0.3"/>
    <row r="167" s="8" customFormat="1" x14ac:dyDescent="0.3"/>
    <row r="168" s="8" customFormat="1" x14ac:dyDescent="0.3"/>
    <row r="169" s="8" customFormat="1" x14ac:dyDescent="0.3"/>
    <row r="170" s="8" customFormat="1" x14ac:dyDescent="0.3"/>
    <row r="171" s="8" customFormat="1" x14ac:dyDescent="0.3"/>
    <row r="172" s="8" customFormat="1" x14ac:dyDescent="0.3"/>
    <row r="173" s="8" customFormat="1" x14ac:dyDescent="0.3"/>
    <row r="174" s="8" customFormat="1" x14ac:dyDescent="0.3"/>
    <row r="175" s="8" customFormat="1" x14ac:dyDescent="0.3"/>
    <row r="176" s="8" customFormat="1" x14ac:dyDescent="0.3"/>
    <row r="177" s="8" customFormat="1" x14ac:dyDescent="0.3"/>
    <row r="178" s="8" customFormat="1" x14ac:dyDescent="0.3"/>
    <row r="179" s="8" customFormat="1" x14ac:dyDescent="0.3"/>
    <row r="180" s="8" customFormat="1" x14ac:dyDescent="0.3"/>
    <row r="181" s="8" customFormat="1" x14ac:dyDescent="0.3"/>
    <row r="182" s="8" customFormat="1" x14ac:dyDescent="0.3"/>
    <row r="183" s="8" customFormat="1" x14ac:dyDescent="0.3"/>
    <row r="184" s="8" customFormat="1" x14ac:dyDescent="0.3"/>
    <row r="185" s="8" customFormat="1" x14ac:dyDescent="0.3"/>
    <row r="186" s="8" customFormat="1" x14ac:dyDescent="0.3"/>
    <row r="187" s="8" customFormat="1" x14ac:dyDescent="0.3"/>
    <row r="188" s="8" customFormat="1" x14ac:dyDescent="0.3"/>
    <row r="189" s="8" customFormat="1" x14ac:dyDescent="0.3"/>
    <row r="190" s="8" customFormat="1" x14ac:dyDescent="0.3"/>
    <row r="191" s="8" customFormat="1" x14ac:dyDescent="0.3"/>
    <row r="192" s="8" customFormat="1" x14ac:dyDescent="0.3"/>
    <row r="193" s="8" customFormat="1" x14ac:dyDescent="0.3"/>
    <row r="194" s="8" customFormat="1" x14ac:dyDescent="0.3"/>
    <row r="195" s="8" customFormat="1" x14ac:dyDescent="0.3"/>
    <row r="196" s="8" customFormat="1" x14ac:dyDescent="0.3"/>
    <row r="197" s="8" customFormat="1" x14ac:dyDescent="0.3"/>
    <row r="198" s="8" customFormat="1" x14ac:dyDescent="0.3"/>
    <row r="199" s="8" customFormat="1" x14ac:dyDescent="0.3"/>
    <row r="200" s="8" customFormat="1" x14ac:dyDescent="0.3"/>
    <row r="201" s="8" customFormat="1" x14ac:dyDescent="0.3"/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DF87-571C-45FD-B75F-B7377CF7FE04}">
  <sheetPr>
    <tabColor theme="5" tint="0.79998168889431442"/>
  </sheetPr>
  <dimension ref="A1:AJ77"/>
  <sheetViews>
    <sheetView showGridLines="0" zoomScaleNormal="100" workbookViewId="0">
      <pane ySplit="1" topLeftCell="A2" activePane="bottomLeft" state="frozen"/>
      <selection activeCell="A31" sqref="A31:XFD37"/>
      <selection pane="bottomLeft"/>
    </sheetView>
  </sheetViews>
  <sheetFormatPr defaultColWidth="11" defaultRowHeight="15" x14ac:dyDescent="0.3"/>
  <cols>
    <col min="1" max="1" width="34.125" style="8" bestFit="1" customWidth="1"/>
    <col min="2" max="7" width="11" style="1"/>
    <col min="8" max="8" width="11" style="8"/>
    <col min="9" max="9" width="11" style="31"/>
    <col min="10" max="36" width="11" style="8"/>
    <col min="37" max="16384" width="11" style="1"/>
  </cols>
  <sheetData>
    <row r="1" spans="1:14" x14ac:dyDescent="0.3">
      <c r="A1" s="3" t="s">
        <v>102</v>
      </c>
      <c r="B1" s="5" t="s">
        <v>4</v>
      </c>
      <c r="C1" s="5" t="s">
        <v>5</v>
      </c>
      <c r="D1" s="5" t="s">
        <v>6</v>
      </c>
      <c r="E1" s="28" t="s">
        <v>7</v>
      </c>
      <c r="F1" s="28" t="s">
        <v>8</v>
      </c>
      <c r="G1" s="29" t="s">
        <v>9</v>
      </c>
    </row>
    <row r="2" spans="1:14" s="8" customFormat="1" x14ac:dyDescent="0.3">
      <c r="I2" s="31"/>
    </row>
    <row r="3" spans="1:14" s="8" customFormat="1" x14ac:dyDescent="0.3">
      <c r="A3" s="22" t="s">
        <v>103</v>
      </c>
      <c r="B3" s="102">
        <f>OPEX!C3</f>
        <v>0</v>
      </c>
      <c r="C3" s="102">
        <f>OPEX!D3</f>
        <v>0</v>
      </c>
      <c r="D3" s="102">
        <f>OPEX!E3</f>
        <v>0</v>
      </c>
      <c r="E3" s="117"/>
      <c r="F3" s="117"/>
      <c r="G3" s="117"/>
      <c r="I3" s="31"/>
    </row>
    <row r="4" spans="1:14" s="8" customFormat="1" x14ac:dyDescent="0.3">
      <c r="A4" s="8" t="s">
        <v>104</v>
      </c>
      <c r="B4" s="102">
        <f>OPEX!C4</f>
        <v>120</v>
      </c>
      <c r="C4" s="102">
        <f>OPEX!D4</f>
        <v>120</v>
      </c>
      <c r="D4" s="102">
        <f>OPEX!F4</f>
        <v>132.30000000000001</v>
      </c>
      <c r="E4" s="117"/>
      <c r="F4" s="117"/>
      <c r="G4" s="117"/>
      <c r="I4" s="31"/>
    </row>
    <row r="5" spans="1:14" s="8" customFormat="1" x14ac:dyDescent="0.3">
      <c r="A5" s="8" t="s">
        <v>105</v>
      </c>
      <c r="B5" s="102">
        <f>OPEX!C5</f>
        <v>95</v>
      </c>
      <c r="C5" s="102">
        <f>OPEX!D5</f>
        <v>95</v>
      </c>
      <c r="D5" s="102">
        <f>OPEX!F5</f>
        <v>100.78550000000001</v>
      </c>
      <c r="E5" s="117"/>
      <c r="F5" s="117"/>
      <c r="G5" s="117"/>
      <c r="I5" s="31"/>
    </row>
    <row r="6" spans="1:14" s="8" customFormat="1" x14ac:dyDescent="0.3">
      <c r="A6" s="8" t="s">
        <v>106</v>
      </c>
      <c r="B6" s="102">
        <f>OPEX!C6</f>
        <v>90</v>
      </c>
      <c r="C6" s="102">
        <f>OPEX!D6</f>
        <v>100</v>
      </c>
      <c r="D6" s="102">
        <f>OPEX!F6</f>
        <v>123.21000000000002</v>
      </c>
      <c r="E6" s="117"/>
      <c r="F6" s="117"/>
      <c r="G6" s="117"/>
      <c r="I6" s="31"/>
    </row>
    <row r="7" spans="1:14" s="8" customFormat="1" x14ac:dyDescent="0.3">
      <c r="A7" s="8" t="s">
        <v>107</v>
      </c>
      <c r="B7" s="102">
        <f>OPEX!C7</f>
        <v>100</v>
      </c>
      <c r="C7" s="102">
        <f>OPEX!D7</f>
        <v>100</v>
      </c>
      <c r="D7" s="102">
        <f>OPEX!F7</f>
        <v>100</v>
      </c>
      <c r="E7" s="117"/>
      <c r="F7" s="117"/>
      <c r="G7" s="117"/>
      <c r="I7" s="31"/>
    </row>
    <row r="8" spans="1:14" s="8" customFormat="1" x14ac:dyDescent="0.3">
      <c r="A8" s="8" t="s">
        <v>108</v>
      </c>
      <c r="B8" s="102">
        <f>OPEX!C8</f>
        <v>37</v>
      </c>
      <c r="C8" s="102">
        <f>OPEX!D8</f>
        <v>40</v>
      </c>
      <c r="D8" s="102">
        <f>OPEX!E8</f>
        <v>46.4</v>
      </c>
      <c r="E8" s="117"/>
      <c r="F8" s="117"/>
      <c r="G8" s="117"/>
      <c r="I8" s="31"/>
    </row>
    <row r="9" spans="1:14" s="8" customFormat="1" x14ac:dyDescent="0.3">
      <c r="A9" s="8" t="s">
        <v>109</v>
      </c>
      <c r="B9" s="102">
        <f>OPEX!C9</f>
        <v>15</v>
      </c>
      <c r="C9" s="102">
        <f>OPEX!D9</f>
        <v>15</v>
      </c>
      <c r="D9" s="102">
        <f>OPEX!E9</f>
        <v>15</v>
      </c>
      <c r="E9" s="117"/>
      <c r="F9" s="117"/>
      <c r="G9" s="117"/>
      <c r="I9" s="32"/>
      <c r="J9" s="18"/>
      <c r="K9" s="18"/>
      <c r="L9" s="18"/>
      <c r="M9" s="18"/>
      <c r="N9" s="18"/>
    </row>
    <row r="10" spans="1:14" s="8" customFormat="1" x14ac:dyDescent="0.3">
      <c r="A10" s="8" t="s">
        <v>110</v>
      </c>
      <c r="B10" s="102">
        <f>OPEX!C10+PnL!D15</f>
        <v>29</v>
      </c>
      <c r="C10" s="102">
        <f>OPEX!D10</f>
        <v>15</v>
      </c>
      <c r="D10" s="102">
        <f>OPEX!E10</f>
        <v>15</v>
      </c>
      <c r="E10" s="117"/>
      <c r="F10" s="117"/>
      <c r="G10" s="117"/>
      <c r="I10" s="32"/>
      <c r="J10" s="32"/>
      <c r="K10" s="32"/>
      <c r="L10" s="32"/>
      <c r="M10" s="32"/>
    </row>
    <row r="11" spans="1:14" s="8" customFormat="1" x14ac:dyDescent="0.3">
      <c r="A11" s="8" t="s">
        <v>111</v>
      </c>
      <c r="B11" s="102">
        <f>OPEX!C11</f>
        <v>0</v>
      </c>
      <c r="C11" s="102">
        <f>OPEX!D11+PnL!E15</f>
        <v>0</v>
      </c>
      <c r="D11" s="102">
        <f>OPEX!E11</f>
        <v>0</v>
      </c>
      <c r="E11" s="117"/>
      <c r="F11" s="117"/>
      <c r="G11" s="117"/>
      <c r="I11" s="32"/>
      <c r="J11" s="18"/>
      <c r="K11" s="18"/>
      <c r="L11" s="18"/>
      <c r="M11" s="18"/>
    </row>
    <row r="12" spans="1:14" s="8" customFormat="1" x14ac:dyDescent="0.3">
      <c r="A12" s="8" t="s">
        <v>112</v>
      </c>
      <c r="B12" s="102">
        <f>OPEX!C12</f>
        <v>0</v>
      </c>
      <c r="C12" s="102">
        <f>OPEX!D12</f>
        <v>0</v>
      </c>
      <c r="D12" s="102">
        <f>OPEX!E12</f>
        <v>70</v>
      </c>
      <c r="E12" s="117"/>
      <c r="F12" s="117"/>
      <c r="G12" s="117"/>
      <c r="I12" s="32"/>
      <c r="J12" s="18"/>
      <c r="K12" s="18"/>
      <c r="L12" s="18"/>
      <c r="M12" s="18"/>
    </row>
    <row r="13" spans="1:14" s="8" customFormat="1" x14ac:dyDescent="0.3">
      <c r="A13" s="8" t="s">
        <v>113</v>
      </c>
      <c r="B13" s="102">
        <f>OPEX!C13</f>
        <v>1272</v>
      </c>
      <c r="C13" s="102">
        <f>OPEX!D13</f>
        <v>1362</v>
      </c>
      <c r="D13" s="102">
        <f>OPEX!E13</f>
        <v>1413.5784076104078</v>
      </c>
      <c r="E13" s="117"/>
      <c r="F13" s="117"/>
      <c r="G13" s="117"/>
      <c r="I13" s="32"/>
      <c r="J13" s="18"/>
      <c r="K13" s="18"/>
      <c r="L13" s="18"/>
      <c r="M13" s="18"/>
    </row>
    <row r="14" spans="1:14" s="8" customFormat="1" x14ac:dyDescent="0.3">
      <c r="B14" s="102"/>
      <c r="C14" s="66"/>
      <c r="D14" s="66"/>
      <c r="E14" s="112"/>
      <c r="F14" s="112"/>
      <c r="G14" s="112"/>
      <c r="I14" s="32"/>
      <c r="J14" s="18"/>
      <c r="K14" s="18"/>
      <c r="L14" s="18"/>
      <c r="M14" s="18"/>
    </row>
    <row r="15" spans="1:14" ht="15.75" thickBot="1" x14ac:dyDescent="0.35">
      <c r="A15" s="27"/>
      <c r="B15" s="73">
        <f>SUM(B3:B13)</f>
        <v>1758</v>
      </c>
      <c r="C15" s="73">
        <f t="shared" ref="C15:G15" si="0">SUM(C3:C13)</f>
        <v>1847</v>
      </c>
      <c r="D15" s="73">
        <f t="shared" si="0"/>
        <v>2016.2739076104078</v>
      </c>
      <c r="E15" s="73">
        <f t="shared" si="0"/>
        <v>0</v>
      </c>
      <c r="F15" s="73">
        <f t="shared" si="0"/>
        <v>0</v>
      </c>
      <c r="G15" s="73">
        <f t="shared" si="0"/>
        <v>0</v>
      </c>
      <c r="I15" s="33"/>
      <c r="J15" s="26"/>
      <c r="K15" s="26"/>
      <c r="L15" s="26"/>
      <c r="M15" s="26"/>
    </row>
    <row r="16" spans="1:14" s="8" customFormat="1" ht="15.75" thickTop="1" x14ac:dyDescent="0.3">
      <c r="B16" s="102"/>
      <c r="C16" s="66"/>
      <c r="D16" s="66"/>
      <c r="E16" s="66"/>
      <c r="F16" s="66"/>
      <c r="G16" s="66"/>
      <c r="I16" s="31"/>
    </row>
    <row r="17" spans="1:10" s="8" customFormat="1" x14ac:dyDescent="0.3">
      <c r="B17" s="66"/>
      <c r="C17" s="66"/>
      <c r="D17" s="66"/>
      <c r="E17" s="66"/>
      <c r="F17" s="66"/>
      <c r="G17" s="66"/>
      <c r="H17" s="18"/>
      <c r="I17" s="31"/>
    </row>
    <row r="18" spans="1:10" s="8" customFormat="1" x14ac:dyDescent="0.3">
      <c r="B18" s="66"/>
      <c r="C18" s="66"/>
      <c r="D18" s="66"/>
      <c r="E18" s="66"/>
      <c r="F18" s="66"/>
      <c r="G18" s="66"/>
      <c r="I18" s="31"/>
    </row>
    <row r="19" spans="1:10" x14ac:dyDescent="0.3">
      <c r="A19" s="16"/>
      <c r="B19" s="78">
        <f>B15</f>
        <v>1758</v>
      </c>
      <c r="C19" s="78">
        <f t="shared" ref="C19:G19" si="1">C15</f>
        <v>1847</v>
      </c>
      <c r="D19" s="78">
        <f t="shared" si="1"/>
        <v>2016.2739076104078</v>
      </c>
      <c r="E19" s="78">
        <f t="shared" si="1"/>
        <v>0</v>
      </c>
      <c r="F19" s="78">
        <f t="shared" si="1"/>
        <v>0</v>
      </c>
      <c r="G19" s="78">
        <f t="shared" si="1"/>
        <v>0</v>
      </c>
    </row>
    <row r="20" spans="1:10" s="8" customFormat="1" x14ac:dyDescent="0.3">
      <c r="B20" s="66"/>
      <c r="C20" s="66"/>
      <c r="D20" s="66"/>
      <c r="E20" s="66"/>
      <c r="F20" s="66"/>
      <c r="G20" s="66"/>
      <c r="I20" s="31"/>
    </row>
    <row r="21" spans="1:10" s="8" customFormat="1" x14ac:dyDescent="0.3">
      <c r="B21" s="66"/>
      <c r="C21" s="66"/>
      <c r="D21" s="66"/>
      <c r="E21" s="66"/>
      <c r="F21" s="66"/>
      <c r="G21" s="66"/>
      <c r="I21" s="31"/>
    </row>
    <row r="22" spans="1:10" s="49" customFormat="1" ht="8.25" x14ac:dyDescent="0.15">
      <c r="B22" s="113">
        <f>+B19+'PnL (2)'!C14</f>
        <v>14</v>
      </c>
      <c r="C22" s="113">
        <f>+C19+'PnL (2)'!D14</f>
        <v>380</v>
      </c>
      <c r="D22" s="113">
        <f>+D19+'PnL (2)'!E14</f>
        <v>21.445500000000038</v>
      </c>
      <c r="E22" s="113">
        <f>+E19+'PnL (2)'!F14</f>
        <v>0</v>
      </c>
      <c r="F22" s="113">
        <f>+F19+'PnL (2)'!G14</f>
        <v>0</v>
      </c>
      <c r="G22" s="113">
        <f>+G19+'PnL (2)'!H14</f>
        <v>0</v>
      </c>
      <c r="I22" s="52"/>
    </row>
    <row r="23" spans="1:10" s="8" customFormat="1" x14ac:dyDescent="0.3">
      <c r="C23" s="30"/>
      <c r="D23" s="30"/>
      <c r="I23" s="31"/>
    </row>
    <row r="24" spans="1:10" s="8" customFormat="1" hidden="1" x14ac:dyDescent="0.3">
      <c r="C24" s="30"/>
      <c r="D24" s="30"/>
      <c r="I24" s="31"/>
    </row>
    <row r="25" spans="1:10" s="8" customFormat="1" hidden="1" x14ac:dyDescent="0.3">
      <c r="A25" s="8" t="s">
        <v>104</v>
      </c>
      <c r="B25" s="26">
        <f>B4/'REV_sbE (2)'!C3</f>
        <v>3.6923076923076927E-2</v>
      </c>
      <c r="C25" s="26">
        <f>C4/'REV_sbE (2)'!D3</f>
        <v>3.519061583577713E-2</v>
      </c>
      <c r="D25" s="26">
        <f>D4/'REV_sbE (2)'!E3</f>
        <v>3.6977236177879451E-2</v>
      </c>
      <c r="F25" s="26"/>
      <c r="G25" s="26"/>
      <c r="H25" s="26"/>
      <c r="I25" s="26"/>
      <c r="J25" s="26"/>
    </row>
    <row r="26" spans="1:10" s="8" customFormat="1" hidden="1" x14ac:dyDescent="0.3">
      <c r="A26" s="8" t="s">
        <v>105</v>
      </c>
      <c r="B26" s="26">
        <f>B5/'REV_sbE (2)'!C4</f>
        <v>5.7575757575757579E-2</v>
      </c>
      <c r="C26" s="26">
        <f>C5/'REV_sbE (2)'!D4</f>
        <v>5.5882352941176473E-2</v>
      </c>
      <c r="D26" s="26">
        <f>D5/'REV_sbE (2)'!E4</f>
        <v>5.754189446366783E-2</v>
      </c>
      <c r="I26" s="31"/>
    </row>
    <row r="27" spans="1:10" s="8" customFormat="1" hidden="1" x14ac:dyDescent="0.3">
      <c r="A27" s="8" t="s">
        <v>106</v>
      </c>
      <c r="B27" s="26">
        <f>B6/'REV_sbE (2)'!C5</f>
        <v>6.0810810810810814E-2</v>
      </c>
      <c r="C27" s="26">
        <f>C6/'REV_sbE (2)'!D5</f>
        <v>6.3694267515923567E-2</v>
      </c>
      <c r="D27" s="26">
        <f>D6/'REV_sbE (2)'!E5</f>
        <v>7.397898494867948E-2</v>
      </c>
      <c r="I27" s="31"/>
    </row>
    <row r="28" spans="1:10" s="8" customFormat="1" hidden="1" x14ac:dyDescent="0.3">
      <c r="A28" s="8" t="s">
        <v>188</v>
      </c>
      <c r="B28" s="26">
        <f>B13/(PnL!C4+PnL!C6)</f>
        <v>0.16203821656050954</v>
      </c>
      <c r="C28" s="26">
        <f>C13/(PnL!D4+PnL!D6)</f>
        <v>0.16061320754716982</v>
      </c>
      <c r="D28" s="26">
        <f>D13/(PnL!E4+PnL!E6)</f>
        <v>0.15568044136678499</v>
      </c>
      <c r="I28" s="31"/>
    </row>
    <row r="29" spans="1:10" s="8" customFormat="1" hidden="1" x14ac:dyDescent="0.3">
      <c r="C29" s="30"/>
      <c r="D29" s="30"/>
      <c r="I29" s="31"/>
    </row>
    <row r="30" spans="1:10" s="8" customFormat="1" x14ac:dyDescent="0.3">
      <c r="I30" s="31"/>
    </row>
    <row r="31" spans="1:10" s="8" customFormat="1" x14ac:dyDescent="0.3">
      <c r="C31" s="30"/>
      <c r="D31" s="30"/>
      <c r="I31" s="31"/>
    </row>
    <row r="32" spans="1:10" s="8" customFormat="1" x14ac:dyDescent="0.3">
      <c r="C32" s="30"/>
      <c r="D32" s="30"/>
      <c r="I32" s="31"/>
    </row>
    <row r="33" spans="3:9" s="8" customFormat="1" x14ac:dyDescent="0.3">
      <c r="C33" s="30"/>
      <c r="D33" s="30"/>
      <c r="E33" s="18"/>
      <c r="I33" s="31"/>
    </row>
    <row r="34" spans="3:9" s="8" customFormat="1" x14ac:dyDescent="0.3">
      <c r="C34" s="30"/>
      <c r="D34" s="30"/>
      <c r="E34" s="18"/>
      <c r="I34" s="31"/>
    </row>
    <row r="35" spans="3:9" s="8" customFormat="1" x14ac:dyDescent="0.3">
      <c r="C35" s="30"/>
      <c r="D35" s="30"/>
      <c r="I35" s="31"/>
    </row>
    <row r="36" spans="3:9" s="8" customFormat="1" x14ac:dyDescent="0.3">
      <c r="C36" s="30"/>
      <c r="D36" s="30"/>
      <c r="I36" s="31"/>
    </row>
    <row r="37" spans="3:9" s="8" customFormat="1" x14ac:dyDescent="0.3">
      <c r="C37" s="30"/>
      <c r="D37" s="30"/>
      <c r="I37" s="31"/>
    </row>
    <row r="38" spans="3:9" s="8" customFormat="1" x14ac:dyDescent="0.3">
      <c r="C38" s="30"/>
      <c r="D38" s="30"/>
      <c r="I38" s="31"/>
    </row>
    <row r="39" spans="3:9" s="8" customFormat="1" x14ac:dyDescent="0.3">
      <c r="C39" s="30"/>
      <c r="D39" s="30"/>
      <c r="I39" s="31"/>
    </row>
    <row r="40" spans="3:9" s="8" customFormat="1" x14ac:dyDescent="0.3">
      <c r="C40" s="30"/>
      <c r="D40" s="30"/>
      <c r="I40" s="31"/>
    </row>
    <row r="41" spans="3:9" s="8" customFormat="1" x14ac:dyDescent="0.3">
      <c r="C41" s="30"/>
      <c r="D41" s="30"/>
      <c r="I41" s="31"/>
    </row>
    <row r="42" spans="3:9" s="8" customFormat="1" x14ac:dyDescent="0.3">
      <c r="C42" s="30"/>
      <c r="D42" s="30"/>
      <c r="I42" s="31"/>
    </row>
    <row r="43" spans="3:9" s="8" customFormat="1" x14ac:dyDescent="0.3">
      <c r="C43" s="30"/>
      <c r="D43" s="30"/>
      <c r="I43" s="31"/>
    </row>
    <row r="44" spans="3:9" s="8" customFormat="1" x14ac:dyDescent="0.3">
      <c r="C44" s="30"/>
      <c r="D44" s="30"/>
      <c r="I44" s="31"/>
    </row>
    <row r="45" spans="3:9" s="8" customFormat="1" x14ac:dyDescent="0.3">
      <c r="C45" s="30"/>
      <c r="D45" s="30"/>
      <c r="I45" s="31"/>
    </row>
    <row r="46" spans="3:9" s="8" customFormat="1" x14ac:dyDescent="0.3">
      <c r="C46" s="30"/>
      <c r="D46" s="30"/>
      <c r="I46" s="31"/>
    </row>
    <row r="47" spans="3:9" s="8" customFormat="1" x14ac:dyDescent="0.3">
      <c r="C47" s="30"/>
      <c r="D47" s="30"/>
      <c r="I47" s="31"/>
    </row>
    <row r="48" spans="3:9" s="8" customFormat="1" x14ac:dyDescent="0.3">
      <c r="C48" s="30"/>
      <c r="D48" s="30"/>
      <c r="I48" s="31"/>
    </row>
    <row r="49" spans="3:9" s="8" customFormat="1" x14ac:dyDescent="0.3">
      <c r="C49" s="30"/>
      <c r="D49" s="30"/>
      <c r="I49" s="31"/>
    </row>
    <row r="50" spans="3:9" s="8" customFormat="1" x14ac:dyDescent="0.3">
      <c r="C50" s="30"/>
      <c r="D50" s="30"/>
      <c r="I50" s="31"/>
    </row>
    <row r="51" spans="3:9" s="8" customFormat="1" x14ac:dyDescent="0.3">
      <c r="C51" s="30"/>
      <c r="D51" s="30"/>
      <c r="I51" s="31"/>
    </row>
    <row r="52" spans="3:9" s="8" customFormat="1" x14ac:dyDescent="0.3">
      <c r="C52" s="30"/>
      <c r="D52" s="30"/>
      <c r="I52" s="31"/>
    </row>
    <row r="53" spans="3:9" s="8" customFormat="1" x14ac:dyDescent="0.3">
      <c r="C53" s="30"/>
      <c r="D53" s="30"/>
      <c r="I53" s="31"/>
    </row>
    <row r="54" spans="3:9" s="8" customFormat="1" x14ac:dyDescent="0.3">
      <c r="C54" s="30"/>
      <c r="D54" s="30"/>
      <c r="I54" s="31"/>
    </row>
    <row r="55" spans="3:9" s="8" customFormat="1" x14ac:dyDescent="0.3">
      <c r="C55" s="30"/>
      <c r="D55" s="30"/>
      <c r="I55" s="31"/>
    </row>
    <row r="56" spans="3:9" s="8" customFormat="1" x14ac:dyDescent="0.3">
      <c r="C56" s="30"/>
      <c r="D56" s="30"/>
      <c r="I56" s="31"/>
    </row>
    <row r="57" spans="3:9" s="8" customFormat="1" x14ac:dyDescent="0.3">
      <c r="C57" s="30"/>
      <c r="D57" s="30"/>
      <c r="I57" s="31"/>
    </row>
    <row r="58" spans="3:9" s="8" customFormat="1" x14ac:dyDescent="0.3">
      <c r="C58" s="30"/>
      <c r="D58" s="30"/>
      <c r="I58" s="31"/>
    </row>
    <row r="59" spans="3:9" s="8" customFormat="1" x14ac:dyDescent="0.3">
      <c r="C59" s="30"/>
      <c r="D59" s="30"/>
      <c r="I59" s="31"/>
    </row>
    <row r="60" spans="3:9" s="8" customFormat="1" x14ac:dyDescent="0.3">
      <c r="C60" s="30"/>
      <c r="D60" s="30"/>
      <c r="I60" s="31"/>
    </row>
    <row r="61" spans="3:9" s="8" customFormat="1" x14ac:dyDescent="0.3">
      <c r="C61" s="30"/>
      <c r="D61" s="30"/>
      <c r="I61" s="31"/>
    </row>
    <row r="62" spans="3:9" s="8" customFormat="1" x14ac:dyDescent="0.3">
      <c r="C62" s="30"/>
      <c r="D62" s="30"/>
      <c r="I62" s="31"/>
    </row>
    <row r="63" spans="3:9" s="8" customFormat="1" x14ac:dyDescent="0.3">
      <c r="C63" s="30"/>
      <c r="D63" s="30"/>
      <c r="I63" s="31"/>
    </row>
    <row r="64" spans="3:9" s="8" customFormat="1" x14ac:dyDescent="0.3">
      <c r="C64" s="30"/>
      <c r="D64" s="30"/>
      <c r="I64" s="31"/>
    </row>
    <row r="65" spans="3:9" s="8" customFormat="1" x14ac:dyDescent="0.3">
      <c r="C65" s="30"/>
      <c r="D65" s="30"/>
      <c r="I65" s="31"/>
    </row>
    <row r="66" spans="3:9" s="8" customFormat="1" x14ac:dyDescent="0.3">
      <c r="C66" s="30"/>
      <c r="D66" s="30"/>
      <c r="I66" s="31"/>
    </row>
    <row r="67" spans="3:9" s="8" customFormat="1" x14ac:dyDescent="0.3">
      <c r="C67" s="30"/>
      <c r="D67" s="30"/>
      <c r="I67" s="31"/>
    </row>
    <row r="68" spans="3:9" s="8" customFormat="1" x14ac:dyDescent="0.3">
      <c r="C68" s="30"/>
      <c r="D68" s="30"/>
      <c r="I68" s="31"/>
    </row>
    <row r="69" spans="3:9" s="8" customFormat="1" x14ac:dyDescent="0.3">
      <c r="C69" s="30"/>
      <c r="D69" s="30"/>
      <c r="I69" s="31"/>
    </row>
    <row r="70" spans="3:9" s="8" customFormat="1" x14ac:dyDescent="0.3">
      <c r="C70" s="30"/>
      <c r="D70" s="30"/>
      <c r="I70" s="31"/>
    </row>
    <row r="71" spans="3:9" s="8" customFormat="1" x14ac:dyDescent="0.3">
      <c r="C71" s="30"/>
      <c r="D71" s="30"/>
      <c r="I71" s="31"/>
    </row>
    <row r="72" spans="3:9" s="8" customFormat="1" x14ac:dyDescent="0.3">
      <c r="C72" s="30"/>
      <c r="D72" s="30"/>
      <c r="I72" s="31"/>
    </row>
    <row r="73" spans="3:9" s="8" customFormat="1" x14ac:dyDescent="0.3">
      <c r="C73" s="30"/>
      <c r="D73" s="30"/>
      <c r="I73" s="31"/>
    </row>
    <row r="74" spans="3:9" s="8" customFormat="1" x14ac:dyDescent="0.3">
      <c r="C74" s="30"/>
      <c r="D74" s="30"/>
      <c r="I74" s="31"/>
    </row>
    <row r="75" spans="3:9" s="8" customFormat="1" x14ac:dyDescent="0.3">
      <c r="C75" s="30"/>
      <c r="D75" s="30"/>
      <c r="I75" s="31"/>
    </row>
    <row r="76" spans="3:9" s="8" customFormat="1" x14ac:dyDescent="0.3">
      <c r="C76" s="30"/>
      <c r="D76" s="30"/>
      <c r="I76" s="31"/>
    </row>
    <row r="77" spans="3:9" s="8" customFormat="1" x14ac:dyDescent="0.3">
      <c r="C77" s="30"/>
      <c r="D77" s="30"/>
      <c r="I77" s="31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B6FD-E952-422D-8CF9-A1DB7B6F6091}">
  <sheetPr>
    <tabColor theme="7"/>
  </sheetPr>
  <dimension ref="A1:BF416"/>
  <sheetViews>
    <sheetView showGridLines="0" zoomScale="125" zoomScaleNormal="125" workbookViewId="0">
      <pane ySplit="2" topLeftCell="A3" activePane="bottomLeft" state="frozen"/>
      <selection activeCell="J24" sqref="J24:L25"/>
      <selection pane="bottomLeft" activeCell="M10" sqref="M10"/>
    </sheetView>
  </sheetViews>
  <sheetFormatPr defaultColWidth="11" defaultRowHeight="15" x14ac:dyDescent="0.3"/>
  <cols>
    <col min="1" max="1" width="5.5" style="1" customWidth="1"/>
    <col min="2" max="2" width="22.625" style="4" customWidth="1"/>
    <col min="3" max="5" width="11" style="1"/>
    <col min="6" max="6" width="14.125" style="1" bestFit="1" customWidth="1"/>
    <col min="7" max="12" width="11" style="1"/>
    <col min="13" max="58" width="11" style="8"/>
    <col min="59" max="16384" width="11" style="1"/>
  </cols>
  <sheetData>
    <row r="1" spans="1:21" x14ac:dyDescent="0.3">
      <c r="C1" s="1" t="s">
        <v>1</v>
      </c>
      <c r="G1" s="1" t="s">
        <v>2</v>
      </c>
    </row>
    <row r="2" spans="1:21" x14ac:dyDescent="0.3">
      <c r="A2" s="3" t="s">
        <v>3</v>
      </c>
      <c r="B2" s="50"/>
      <c r="C2" s="5" t="s">
        <v>4</v>
      </c>
      <c r="D2" s="5" t="s">
        <v>5</v>
      </c>
      <c r="E2" s="5" t="s">
        <v>6</v>
      </c>
      <c r="F2" s="62"/>
      <c r="G2" s="5" t="s">
        <v>4</v>
      </c>
      <c r="H2" s="5" t="s">
        <v>5</v>
      </c>
      <c r="I2" s="5" t="s">
        <v>6</v>
      </c>
      <c r="J2" s="7" t="s">
        <v>7</v>
      </c>
      <c r="K2" s="7" t="s">
        <v>8</v>
      </c>
      <c r="L2" s="7" t="s">
        <v>9</v>
      </c>
    </row>
    <row r="3" spans="1:21" ht="5.0999999999999996" customHeight="1" x14ac:dyDescent="0.3">
      <c r="A3" s="8"/>
      <c r="B3" s="8"/>
      <c r="C3" s="8"/>
      <c r="D3" s="8"/>
      <c r="E3" s="8"/>
      <c r="G3" s="8"/>
      <c r="H3" s="8"/>
      <c r="I3" s="8"/>
      <c r="J3" s="8"/>
      <c r="K3" s="8"/>
      <c r="L3" s="8"/>
    </row>
    <row r="4" spans="1:21" x14ac:dyDescent="0.3">
      <c r="A4" s="8" t="s">
        <v>10</v>
      </c>
      <c r="B4" s="9"/>
      <c r="C4" s="66">
        <v>120</v>
      </c>
      <c r="D4" s="66">
        <v>60</v>
      </c>
      <c r="E4" s="66">
        <v>600</v>
      </c>
      <c r="F4" s="81"/>
      <c r="G4" s="243">
        <f>C4+C5</f>
        <v>120</v>
      </c>
      <c r="H4" s="243">
        <f t="shared" ref="H4:I4" si="0">D4+D5</f>
        <v>60</v>
      </c>
      <c r="I4" s="243">
        <f t="shared" si="0"/>
        <v>600</v>
      </c>
      <c r="J4" s="229">
        <f>+I4-(CAPEX!G19/1000)</f>
        <v>525</v>
      </c>
      <c r="K4" s="229">
        <f>+J4-(CAPEX!H19/1000)</f>
        <v>450</v>
      </c>
      <c r="L4" s="229">
        <f>+K4-(CAPEX!I19/1000)</f>
        <v>375</v>
      </c>
      <c r="P4" s="18"/>
      <c r="U4" s="18"/>
    </row>
    <row r="5" spans="1:21" x14ac:dyDescent="0.3">
      <c r="A5" s="10"/>
      <c r="B5" s="11" t="s">
        <v>11</v>
      </c>
      <c r="C5" s="82"/>
      <c r="D5" s="82"/>
      <c r="E5" s="82"/>
      <c r="F5" s="83"/>
      <c r="G5" s="243"/>
      <c r="H5" s="243"/>
      <c r="I5" s="243"/>
      <c r="J5" s="230"/>
      <c r="K5" s="230"/>
      <c r="L5" s="230"/>
      <c r="P5" s="18"/>
    </row>
    <row r="6" spans="1:21" x14ac:dyDescent="0.3">
      <c r="A6" s="8" t="s">
        <v>12</v>
      </c>
      <c r="B6" s="9"/>
      <c r="C6" s="66">
        <v>745</v>
      </c>
      <c r="D6" s="66">
        <f>C6+PnL!D12+CAPEX!E5+CAPEX!E4+(C4-D4+CAPEX!E3)-100+CAPEX!E6</f>
        <v>1185</v>
      </c>
      <c r="E6" s="66">
        <f>1255-100+280</f>
        <v>1435</v>
      </c>
      <c r="F6" s="77"/>
      <c r="G6" s="243">
        <f>C6+C7</f>
        <v>745</v>
      </c>
      <c r="H6" s="243">
        <f t="shared" ref="H6" si="1">D6+D7</f>
        <v>1185</v>
      </c>
      <c r="I6" s="243">
        <f>E6+E7</f>
        <v>1435</v>
      </c>
      <c r="J6" s="229">
        <f>+I6+CAPEX!G9-CAPEX!G95</f>
        <v>1276.9295449578756</v>
      </c>
      <c r="K6" s="229">
        <f>+J6+CAPEX!H9-CAPEX!H95</f>
        <v>1581.884909915751</v>
      </c>
      <c r="L6" s="229">
        <f>+K6+CAPEX!I9-CAPEX!I95</f>
        <v>1309.0906056428571</v>
      </c>
      <c r="O6" s="18"/>
      <c r="P6" s="18"/>
      <c r="U6" s="18"/>
    </row>
    <row r="7" spans="1:21" x14ac:dyDescent="0.3">
      <c r="A7" s="8"/>
      <c r="B7" s="11" t="s">
        <v>11</v>
      </c>
      <c r="C7" s="82"/>
      <c r="D7" s="14"/>
      <c r="E7" s="14"/>
      <c r="F7" s="83"/>
      <c r="G7" s="243"/>
      <c r="H7" s="243"/>
      <c r="I7" s="243"/>
      <c r="J7" s="230"/>
      <c r="K7" s="230"/>
      <c r="L7" s="230"/>
      <c r="N7" s="18"/>
      <c r="O7" s="18"/>
      <c r="P7" s="18"/>
      <c r="Q7" s="18"/>
    </row>
    <row r="8" spans="1:21" x14ac:dyDescent="0.3">
      <c r="A8" s="8" t="s">
        <v>13</v>
      </c>
      <c r="B8" s="9"/>
      <c r="C8" s="66">
        <v>50</v>
      </c>
      <c r="D8" s="66">
        <v>50</v>
      </c>
      <c r="E8" s="66">
        <v>50</v>
      </c>
      <c r="F8" s="77"/>
      <c r="G8" s="243">
        <f>C8+C9</f>
        <v>50</v>
      </c>
      <c r="H8" s="243">
        <f t="shared" ref="H8" si="2">D8+D9</f>
        <v>50</v>
      </c>
      <c r="I8" s="243">
        <f t="shared" ref="I8" si="3">E8+E9</f>
        <v>50</v>
      </c>
      <c r="J8" s="229">
        <v>50</v>
      </c>
      <c r="K8" s="229">
        <v>50</v>
      </c>
      <c r="L8" s="229">
        <v>50</v>
      </c>
      <c r="N8" s="18"/>
      <c r="O8" s="18"/>
      <c r="P8" s="18"/>
      <c r="U8" s="18"/>
    </row>
    <row r="9" spans="1:21" x14ac:dyDescent="0.3">
      <c r="A9" s="8"/>
      <c r="B9" s="11" t="s">
        <v>11</v>
      </c>
      <c r="C9" s="14"/>
      <c r="D9" s="14"/>
      <c r="E9" s="14"/>
      <c r="F9" s="83"/>
      <c r="G9" s="243"/>
      <c r="H9" s="243"/>
      <c r="I9" s="243"/>
      <c r="J9" s="230"/>
      <c r="K9" s="230"/>
      <c r="L9" s="230"/>
      <c r="N9" s="18"/>
      <c r="O9" s="18"/>
      <c r="P9" s="18"/>
      <c r="Q9" s="18"/>
    </row>
    <row r="10" spans="1:21" x14ac:dyDescent="0.3">
      <c r="A10" s="8" t="s">
        <v>14</v>
      </c>
      <c r="B10" s="9"/>
      <c r="C10" s="66">
        <f>300+64.17</f>
        <v>364.17</v>
      </c>
      <c r="D10" s="66">
        <v>340</v>
      </c>
      <c r="E10" s="66">
        <v>360</v>
      </c>
      <c r="F10" s="77"/>
      <c r="G10" s="243">
        <f>C10+C11</f>
        <v>364.17</v>
      </c>
      <c r="H10" s="243">
        <f t="shared" ref="H10" si="4">D10+D11</f>
        <v>340</v>
      </c>
      <c r="I10" s="243">
        <f t="shared" ref="I10" si="5">E10+E11</f>
        <v>360</v>
      </c>
      <c r="J10" s="229">
        <v>355</v>
      </c>
      <c r="K10" s="229">
        <v>355</v>
      </c>
      <c r="L10" s="229">
        <v>355</v>
      </c>
      <c r="N10" s="18">
        <f>+AVERAGE(G10:I11)</f>
        <v>354.72333333333336</v>
      </c>
      <c r="P10" s="18"/>
      <c r="U10" s="18"/>
    </row>
    <row r="11" spans="1:21" x14ac:dyDescent="0.3">
      <c r="A11" s="8"/>
      <c r="B11" s="11" t="s">
        <v>11</v>
      </c>
      <c r="C11" s="82"/>
      <c r="D11" s="82"/>
      <c r="E11" s="82"/>
      <c r="F11" s="83"/>
      <c r="G11" s="243"/>
      <c r="H11" s="243"/>
      <c r="I11" s="243"/>
      <c r="J11" s="230"/>
      <c r="K11" s="230"/>
      <c r="L11" s="230"/>
      <c r="O11" s="30"/>
      <c r="P11" s="18"/>
    </row>
    <row r="12" spans="1:21" x14ac:dyDescent="0.3">
      <c r="A12" s="8" t="s">
        <v>15</v>
      </c>
      <c r="B12" s="9"/>
      <c r="C12" s="66">
        <f>PnL!C4/12</f>
        <v>608.33333333333337</v>
      </c>
      <c r="D12" s="66">
        <f>PnL!D4/12</f>
        <v>631.66666666666663</v>
      </c>
      <c r="E12" s="66">
        <f>PnL!E4/12</f>
        <v>690</v>
      </c>
      <c r="F12" s="77"/>
      <c r="G12" s="243">
        <f>C12+C13</f>
        <v>608.33333333333337</v>
      </c>
      <c r="H12" s="243">
        <f t="shared" ref="H12" si="6">D12+D13</f>
        <v>631.66666666666663</v>
      </c>
      <c r="I12" s="243">
        <f t="shared" ref="I12" si="7">E12+E13</f>
        <v>690</v>
      </c>
      <c r="J12" s="229">
        <f>+N12</f>
        <v>736.23875396375399</v>
      </c>
      <c r="K12" s="229">
        <f>+O12</f>
        <v>786.78013827364168</v>
      </c>
      <c r="L12" s="229">
        <f>+P12</f>
        <v>842.1414227438205</v>
      </c>
      <c r="N12" s="18">
        <v>736.23875396375399</v>
      </c>
      <c r="O12" s="8">
        <v>786.78013827364168</v>
      </c>
      <c r="P12" s="18">
        <v>842.1414227438205</v>
      </c>
      <c r="U12" s="18"/>
    </row>
    <row r="13" spans="1:21" x14ac:dyDescent="0.3">
      <c r="A13" s="8"/>
      <c r="B13" s="11" t="s">
        <v>11</v>
      </c>
      <c r="C13" s="82"/>
      <c r="D13" s="82"/>
      <c r="E13" s="82"/>
      <c r="F13" s="83"/>
      <c r="G13" s="243"/>
      <c r="H13" s="243"/>
      <c r="I13" s="243"/>
      <c r="J13" s="230"/>
      <c r="K13" s="230"/>
      <c r="L13" s="230"/>
      <c r="P13" s="18"/>
    </row>
    <row r="14" spans="1:21" x14ac:dyDescent="0.3">
      <c r="A14" s="8" t="s">
        <v>16</v>
      </c>
      <c r="B14" s="9"/>
      <c r="C14" s="66">
        <v>30</v>
      </c>
      <c r="D14" s="66">
        <v>40</v>
      </c>
      <c r="E14" s="66">
        <v>50</v>
      </c>
      <c r="F14" s="77"/>
      <c r="G14" s="243">
        <f>C14+C15</f>
        <v>30</v>
      </c>
      <c r="H14" s="243">
        <f t="shared" ref="H14" si="8">D14+D15</f>
        <v>40</v>
      </c>
      <c r="I14" s="243">
        <f t="shared" ref="I14" si="9">E14+E15</f>
        <v>50</v>
      </c>
      <c r="J14" s="229">
        <v>60</v>
      </c>
      <c r="K14" s="229">
        <v>70</v>
      </c>
      <c r="L14" s="229">
        <v>80</v>
      </c>
      <c r="O14" s="18"/>
      <c r="P14" s="18"/>
      <c r="U14" s="18"/>
    </row>
    <row r="15" spans="1:21" x14ac:dyDescent="0.3">
      <c r="A15" s="8"/>
      <c r="B15" s="11" t="s">
        <v>11</v>
      </c>
      <c r="C15" s="82"/>
      <c r="D15" s="82"/>
      <c r="E15" s="82"/>
      <c r="F15" s="83"/>
      <c r="G15" s="243"/>
      <c r="H15" s="243"/>
      <c r="I15" s="243"/>
      <c r="J15" s="230"/>
      <c r="K15" s="230"/>
      <c r="L15" s="230"/>
      <c r="O15" s="18"/>
      <c r="P15" s="18"/>
    </row>
    <row r="16" spans="1:21" x14ac:dyDescent="0.3">
      <c r="A16" s="8" t="s">
        <v>17</v>
      </c>
      <c r="B16" s="9"/>
      <c r="C16" s="66">
        <v>60</v>
      </c>
      <c r="D16" s="66">
        <f>CFR!B63</f>
        <v>627.36189708141387</v>
      </c>
      <c r="E16" s="66">
        <f>CFR!C63</f>
        <v>48.335706605223322</v>
      </c>
      <c r="F16" s="77"/>
      <c r="G16" s="243">
        <f>C16+C17</f>
        <v>760</v>
      </c>
      <c r="H16" s="243">
        <f>D16+D17</f>
        <v>1004.3618970814139</v>
      </c>
      <c r="I16" s="243">
        <f t="shared" ref="I16" si="10">E16+E17</f>
        <v>365.33570660522332</v>
      </c>
      <c r="J16" s="237">
        <f>CFR!G63</f>
        <v>984.29996420713826</v>
      </c>
      <c r="K16" s="239">
        <f>CFR!H63</f>
        <v>1464.8829517686358</v>
      </c>
      <c r="L16" s="241">
        <f>CFR!I63</f>
        <v>2528.3419584974172</v>
      </c>
      <c r="M16" s="228" t="s">
        <v>18</v>
      </c>
      <c r="N16" s="18"/>
      <c r="P16" s="18"/>
      <c r="U16" s="18"/>
    </row>
    <row r="17" spans="1:21" x14ac:dyDescent="0.3">
      <c r="A17" s="8"/>
      <c r="B17" s="11" t="s">
        <v>11</v>
      </c>
      <c r="C17" s="82">
        <f>800+PnL!C7</f>
        <v>700</v>
      </c>
      <c r="D17" s="82">
        <f>+C17+7-300-30</f>
        <v>377</v>
      </c>
      <c r="E17" s="82">
        <f>+D17-250+PnL!E15</f>
        <v>317</v>
      </c>
      <c r="F17" s="83"/>
      <c r="G17" s="243"/>
      <c r="H17" s="243"/>
      <c r="I17" s="243"/>
      <c r="J17" s="238"/>
      <c r="K17" s="240"/>
      <c r="L17" s="242"/>
      <c r="M17" s="228"/>
      <c r="N17" s="18"/>
      <c r="P17" s="18"/>
    </row>
    <row r="18" spans="1:21" s="8" customFormat="1" x14ac:dyDescent="0.3">
      <c r="A18" s="8" t="s">
        <v>19</v>
      </c>
      <c r="B18" s="9"/>
      <c r="C18" s="66">
        <v>10</v>
      </c>
      <c r="D18" s="66">
        <v>10</v>
      </c>
      <c r="E18" s="66">
        <v>10</v>
      </c>
      <c r="F18" s="77"/>
      <c r="G18" s="243">
        <f>C18+C19</f>
        <v>10</v>
      </c>
      <c r="H18" s="243">
        <f t="shared" ref="H18" si="11">D18+D19</f>
        <v>10</v>
      </c>
      <c r="I18" s="243">
        <f t="shared" ref="I18" si="12">E18+E19</f>
        <v>10</v>
      </c>
      <c r="J18" s="229">
        <v>10</v>
      </c>
      <c r="K18" s="229">
        <v>10</v>
      </c>
      <c r="L18" s="229">
        <v>10</v>
      </c>
      <c r="P18" s="18"/>
      <c r="U18" s="18"/>
    </row>
    <row r="19" spans="1:21" s="8" customFormat="1" x14ac:dyDescent="0.3">
      <c r="B19" s="11" t="s">
        <v>11</v>
      </c>
      <c r="C19" s="82"/>
      <c r="D19" s="82"/>
      <c r="E19" s="82"/>
      <c r="F19" s="83"/>
      <c r="G19" s="243"/>
      <c r="H19" s="243"/>
      <c r="I19" s="243"/>
      <c r="J19" s="230"/>
      <c r="K19" s="230"/>
      <c r="L19" s="230"/>
      <c r="P19" s="18"/>
    </row>
    <row r="20" spans="1:21" s="8" customFormat="1" x14ac:dyDescent="0.3">
      <c r="A20" s="34" t="s">
        <v>20</v>
      </c>
      <c r="B20" s="35"/>
      <c r="C20" s="84">
        <f>C4+C6+C8+C10+C12+C14+C16+C18</f>
        <v>1987.5033333333336</v>
      </c>
      <c r="D20" s="84">
        <f t="shared" ref="D20:E20" si="13">D4+D6+D8+D10+D12+D14+D16+D18</f>
        <v>2944.0285637480802</v>
      </c>
      <c r="E20" s="84">
        <f t="shared" si="13"/>
        <v>3243.3357066052231</v>
      </c>
      <c r="F20" s="79"/>
      <c r="G20" s="84">
        <f>+SUM(G4:G19)</f>
        <v>2687.5033333333336</v>
      </c>
      <c r="H20" s="84">
        <f t="shared" ref="H20:I20" si="14">+SUM(H4:H19)</f>
        <v>3321.0285637480802</v>
      </c>
      <c r="I20" s="84">
        <f t="shared" si="14"/>
        <v>3560.3357066052231</v>
      </c>
      <c r="J20" s="84">
        <f>+SUM(J4:J19)</f>
        <v>3997.4682631287678</v>
      </c>
      <c r="K20" s="84">
        <f>+SUM(K4:K19)</f>
        <v>4768.5479999580284</v>
      </c>
      <c r="L20" s="84">
        <f>+SUM(L4:L19)</f>
        <v>5549.5739868840947</v>
      </c>
      <c r="N20" s="18"/>
      <c r="O20" s="18"/>
      <c r="P20" s="18"/>
      <c r="U20" s="18"/>
    </row>
    <row r="21" spans="1:21" s="8" customFormat="1" ht="5.0999999999999996" customHeight="1" x14ac:dyDescent="0.3">
      <c r="B21" s="11"/>
      <c r="C21" s="85"/>
      <c r="D21" s="85"/>
      <c r="E21" s="85"/>
      <c r="F21" s="83"/>
      <c r="G21" s="85"/>
      <c r="H21" s="85"/>
      <c r="I21" s="85"/>
      <c r="J21" s="66"/>
      <c r="K21" s="66"/>
      <c r="L21" s="66"/>
      <c r="P21" s="18"/>
    </row>
    <row r="22" spans="1:21" s="8" customFormat="1" x14ac:dyDescent="0.3">
      <c r="A22" s="8" t="s">
        <v>21</v>
      </c>
      <c r="B22" s="11"/>
      <c r="C22" s="66">
        <v>-25</v>
      </c>
      <c r="D22" s="66">
        <v>-25</v>
      </c>
      <c r="E22" s="66">
        <v>-25</v>
      </c>
      <c r="F22" s="77"/>
      <c r="G22" s="66">
        <f>C22</f>
        <v>-25</v>
      </c>
      <c r="H22" s="66">
        <f t="shared" ref="H22:I22" si="15">D22</f>
        <v>-25</v>
      </c>
      <c r="I22" s="66">
        <f t="shared" si="15"/>
        <v>-25</v>
      </c>
      <c r="J22" s="86">
        <f>I22</f>
        <v>-25</v>
      </c>
      <c r="K22" s="87">
        <f t="shared" ref="K22:L22" si="16">J22</f>
        <v>-25</v>
      </c>
      <c r="L22" s="88">
        <f t="shared" si="16"/>
        <v>-25</v>
      </c>
      <c r="M22" s="11" t="s">
        <v>18</v>
      </c>
      <c r="N22" s="18"/>
      <c r="P22" s="18"/>
      <c r="U22" s="18"/>
    </row>
    <row r="23" spans="1:21" s="8" customFormat="1" x14ac:dyDescent="0.3">
      <c r="A23" s="8" t="s">
        <v>22</v>
      </c>
      <c r="B23" s="9"/>
      <c r="C23" s="66">
        <f>-448-200-8+60-50</f>
        <v>-646</v>
      </c>
      <c r="D23" s="66">
        <f>C23+C25</f>
        <v>-801.81562499999995</v>
      </c>
      <c r="E23" s="66">
        <f>D23+D25</f>
        <v>-1682.806265120968</v>
      </c>
      <c r="F23" s="77"/>
      <c r="G23" s="243">
        <f>C23+C24</f>
        <v>-646</v>
      </c>
      <c r="H23" s="243">
        <f>D23+D24</f>
        <v>-1322.440625</v>
      </c>
      <c r="I23" s="243">
        <f t="shared" ref="I23" si="17">E23+E24</f>
        <v>-1963.2000151209679</v>
      </c>
      <c r="J23" s="231">
        <f>I23+I25</f>
        <v>-2921.3784526209683</v>
      </c>
      <c r="K23" s="233">
        <f t="shared" ref="K23:L23" si="18">J23+J25</f>
        <v>-3409.4649297954347</v>
      </c>
      <c r="L23" s="235">
        <f t="shared" si="18"/>
        <v>-4177.5446666246953</v>
      </c>
      <c r="M23" s="228" t="s">
        <v>18</v>
      </c>
      <c r="N23" s="18"/>
      <c r="P23" s="18"/>
      <c r="U23" s="18"/>
    </row>
    <row r="24" spans="1:21" s="8" customFormat="1" x14ac:dyDescent="0.3">
      <c r="B24" s="11" t="s">
        <v>11</v>
      </c>
      <c r="C24" s="89"/>
      <c r="D24" s="89">
        <f>C24+C26</f>
        <v>-520.625</v>
      </c>
      <c r="E24" s="89">
        <f>D24+D26</f>
        <v>-280.39375000000001</v>
      </c>
      <c r="F24" s="90" t="s">
        <v>18</v>
      </c>
      <c r="G24" s="243"/>
      <c r="H24" s="243"/>
      <c r="I24" s="243"/>
      <c r="J24" s="231"/>
      <c r="K24" s="233"/>
      <c r="L24" s="235"/>
      <c r="M24" s="228"/>
      <c r="N24" s="18"/>
      <c r="P24" s="18"/>
    </row>
    <row r="25" spans="1:21" s="8" customFormat="1" x14ac:dyDescent="0.3">
      <c r="A25" s="8" t="s">
        <v>23</v>
      </c>
      <c r="B25" s="9"/>
      <c r="C25" s="66">
        <f>-PnL!C26</f>
        <v>-155.81562500000001</v>
      </c>
      <c r="D25" s="66">
        <f>-PnL!D26</f>
        <v>-880.99064012096812</v>
      </c>
      <c r="E25" s="66">
        <f>-PnL!E26</f>
        <v>-1077.1784375000002</v>
      </c>
      <c r="F25" s="77"/>
      <c r="G25" s="243">
        <f>C25+C26</f>
        <v>-676.44062499999995</v>
      </c>
      <c r="H25" s="243">
        <f t="shared" ref="H25" si="19">D25+D26</f>
        <v>-640.75939012096819</v>
      </c>
      <c r="I25" s="243">
        <f t="shared" ref="I25" si="20">E25+E26</f>
        <v>-958.1784375000002</v>
      </c>
      <c r="J25" s="231">
        <f>-PnL!J26</f>
        <v>-488.08647717446615</v>
      </c>
      <c r="K25" s="233">
        <f>-PnL!K26</f>
        <v>-768.07973682926058</v>
      </c>
      <c r="L25" s="235">
        <f>-PnL!L26</f>
        <v>-761.02598692606648</v>
      </c>
      <c r="M25" s="228" t="s">
        <v>18</v>
      </c>
      <c r="N25" s="18"/>
      <c r="P25" s="18"/>
      <c r="U25" s="18"/>
    </row>
    <row r="26" spans="1:21" s="8" customFormat="1" x14ac:dyDescent="0.3">
      <c r="B26" s="11" t="s">
        <v>11</v>
      </c>
      <c r="C26" s="89">
        <f>-PnL!C27</f>
        <v>-520.625</v>
      </c>
      <c r="D26" s="89">
        <f>-PnL!D27</f>
        <v>240.23124999999999</v>
      </c>
      <c r="E26" s="89">
        <f>-PnL!E27</f>
        <v>119</v>
      </c>
      <c r="F26" s="90" t="s">
        <v>18</v>
      </c>
      <c r="G26" s="243"/>
      <c r="H26" s="243"/>
      <c r="I26" s="243"/>
      <c r="J26" s="232"/>
      <c r="K26" s="234"/>
      <c r="L26" s="236"/>
      <c r="M26" s="228"/>
      <c r="N26" s="18"/>
      <c r="P26" s="18"/>
    </row>
    <row r="27" spans="1:21" s="8" customFormat="1" x14ac:dyDescent="0.3">
      <c r="A27" s="8" t="s">
        <v>24</v>
      </c>
      <c r="B27" s="9"/>
      <c r="C27" s="66">
        <f>-50+PnL!C22+PnL!C24+88</f>
        <v>-20.684374999999989</v>
      </c>
      <c r="D27" s="66">
        <f>C27+PnL!D22+PnL!D24+230</f>
        <v>-101.21896529377892</v>
      </c>
      <c r="E27" s="66">
        <f>D27+PnL!E22+PnL!E24+250</f>
        <v>-228.34767065092177</v>
      </c>
      <c r="F27" s="77"/>
      <c r="G27" s="243">
        <f>C27+C28</f>
        <v>-200.05937499999996</v>
      </c>
      <c r="H27" s="243">
        <f t="shared" ref="H27" si="21">D27+D28</f>
        <v>-197.82521529377891</v>
      </c>
      <c r="I27" s="243">
        <f t="shared" ref="I27" si="22">E27+E28</f>
        <v>-283.95392065092176</v>
      </c>
      <c r="J27" s="229">
        <v>-200</v>
      </c>
      <c r="K27" s="229">
        <v>-200</v>
      </c>
      <c r="L27" s="229">
        <v>-200</v>
      </c>
      <c r="N27" s="18"/>
      <c r="P27" s="18"/>
      <c r="U27" s="18"/>
    </row>
    <row r="28" spans="1:21" s="8" customFormat="1" x14ac:dyDescent="0.3">
      <c r="B28" s="11" t="s">
        <v>11</v>
      </c>
      <c r="C28" s="89">
        <f>PnL!C23+PnL!C25</f>
        <v>-179.37499999999997</v>
      </c>
      <c r="D28" s="89">
        <f>PnL!D23+PnL!D25+C28</f>
        <v>-96.606249999999974</v>
      </c>
      <c r="E28" s="89">
        <f>PnL!E23+PnL!E25+D28</f>
        <v>-55.606249999999974</v>
      </c>
      <c r="F28" s="90" t="s">
        <v>18</v>
      </c>
      <c r="G28" s="243"/>
      <c r="H28" s="243"/>
      <c r="I28" s="243"/>
      <c r="J28" s="230"/>
      <c r="K28" s="230"/>
      <c r="L28" s="230"/>
      <c r="P28" s="18"/>
    </row>
    <row r="29" spans="1:21" s="8" customFormat="1" x14ac:dyDescent="0.3">
      <c r="A29" s="8" t="s">
        <v>25</v>
      </c>
      <c r="B29" s="9"/>
      <c r="C29" s="66">
        <v>-250</v>
      </c>
      <c r="D29" s="66">
        <v>-250</v>
      </c>
      <c r="E29" s="66">
        <v>-60</v>
      </c>
      <c r="F29" s="77"/>
      <c r="G29" s="243">
        <f>C29+C30</f>
        <v>-250</v>
      </c>
      <c r="H29" s="243">
        <f t="shared" ref="H29" si="23">D29+D30</f>
        <v>-250</v>
      </c>
      <c r="I29" s="243">
        <f t="shared" ref="I29" si="24">E29+E30</f>
        <v>-60</v>
      </c>
      <c r="J29" s="229">
        <v>-60</v>
      </c>
      <c r="K29" s="229">
        <v>-60</v>
      </c>
      <c r="L29" s="229">
        <v>-60</v>
      </c>
      <c r="P29" s="18"/>
      <c r="U29" s="18"/>
    </row>
    <row r="30" spans="1:21" s="8" customFormat="1" x14ac:dyDescent="0.3">
      <c r="B30" s="11" t="s">
        <v>11</v>
      </c>
      <c r="C30" s="82"/>
      <c r="D30" s="82"/>
      <c r="E30" s="82"/>
      <c r="F30" s="83"/>
      <c r="G30" s="243"/>
      <c r="H30" s="243"/>
      <c r="I30" s="243"/>
      <c r="J30" s="230"/>
      <c r="K30" s="230"/>
      <c r="L30" s="230"/>
      <c r="P30" s="18"/>
    </row>
    <row r="31" spans="1:21" s="8" customFormat="1" x14ac:dyDescent="0.3">
      <c r="A31" s="8" t="s">
        <v>26</v>
      </c>
      <c r="B31" s="9"/>
      <c r="C31" s="66">
        <v>-60</v>
      </c>
      <c r="D31" s="66">
        <v>-40</v>
      </c>
      <c r="E31" s="66">
        <f>-20</f>
        <v>-20</v>
      </c>
      <c r="F31" s="77"/>
      <c r="G31" s="243">
        <f>C31+C32</f>
        <v>-60</v>
      </c>
      <c r="H31" s="243">
        <f t="shared" ref="H31" si="25">D31+D32</f>
        <v>-40</v>
      </c>
      <c r="I31" s="243">
        <f t="shared" ref="I31" si="26">E31+E32</f>
        <v>-20</v>
      </c>
      <c r="J31" s="229">
        <v>-20</v>
      </c>
      <c r="K31" s="229">
        <v>-20</v>
      </c>
      <c r="L31" s="229">
        <v>-20</v>
      </c>
      <c r="P31" s="18"/>
      <c r="U31" s="18"/>
    </row>
    <row r="32" spans="1:21" s="8" customFormat="1" x14ac:dyDescent="0.3">
      <c r="B32" s="11" t="s">
        <v>11</v>
      </c>
      <c r="C32" s="82"/>
      <c r="D32" s="82"/>
      <c r="E32" s="82"/>
      <c r="F32" s="83"/>
      <c r="G32" s="243"/>
      <c r="H32" s="243"/>
      <c r="I32" s="243"/>
      <c r="J32" s="230"/>
      <c r="K32" s="230"/>
      <c r="L32" s="230"/>
      <c r="N32" s="18"/>
      <c r="P32" s="18"/>
    </row>
    <row r="33" spans="1:21" s="8" customFormat="1" x14ac:dyDescent="0.3">
      <c r="A33" s="8" t="s">
        <v>27</v>
      </c>
      <c r="B33" s="9"/>
      <c r="C33" s="66">
        <v>-230</v>
      </c>
      <c r="D33" s="66">
        <v>-245</v>
      </c>
      <c r="E33" s="66">
        <f>-150</f>
        <v>-150</v>
      </c>
      <c r="F33" s="77"/>
      <c r="G33" s="243">
        <f>C33+C34</f>
        <v>-230</v>
      </c>
      <c r="H33" s="243">
        <f t="shared" ref="H33" si="27">D33+D34</f>
        <v>-245</v>
      </c>
      <c r="I33" s="243">
        <f t="shared" ref="I33" si="28">E33+E34</f>
        <v>-250</v>
      </c>
      <c r="J33" s="229">
        <v>-283</v>
      </c>
      <c r="K33" s="229">
        <v>-286</v>
      </c>
      <c r="L33" s="229">
        <v>-306</v>
      </c>
      <c r="N33" s="8">
        <v>-283.17397545045043</v>
      </c>
      <c r="O33" s="8">
        <v>-286.93159444604345</v>
      </c>
      <c r="P33" s="18">
        <v>-305.90496737939696</v>
      </c>
      <c r="Q33" s="8" t="s">
        <v>253</v>
      </c>
      <c r="U33" s="18"/>
    </row>
    <row r="34" spans="1:21" s="8" customFormat="1" x14ac:dyDescent="0.3">
      <c r="B34" s="11" t="s">
        <v>11</v>
      </c>
      <c r="C34" s="82"/>
      <c r="D34" s="82"/>
      <c r="E34" s="82">
        <v>-100</v>
      </c>
      <c r="F34" s="83"/>
      <c r="G34" s="243"/>
      <c r="H34" s="243"/>
      <c r="I34" s="243"/>
      <c r="J34" s="230"/>
      <c r="K34" s="230"/>
      <c r="L34" s="230"/>
      <c r="P34" s="18"/>
    </row>
    <row r="35" spans="1:21" s="8" customFormat="1" x14ac:dyDescent="0.3">
      <c r="A35" s="8" t="s">
        <v>28</v>
      </c>
      <c r="B35" s="9"/>
      <c r="C35" s="66">
        <v>-600</v>
      </c>
      <c r="D35" s="66">
        <v>-600</v>
      </c>
      <c r="E35" s="66">
        <v>0</v>
      </c>
      <c r="F35" s="77"/>
      <c r="G35" s="243">
        <f>C35+C36</f>
        <v>-600</v>
      </c>
      <c r="H35" s="243">
        <f t="shared" ref="H35" si="29">D35+D36</f>
        <v>-600</v>
      </c>
      <c r="I35" s="243">
        <f t="shared" ref="I35" si="30">E35+E36</f>
        <v>0</v>
      </c>
      <c r="J35" s="229">
        <v>0</v>
      </c>
      <c r="K35" s="229">
        <v>0</v>
      </c>
      <c r="L35" s="229">
        <v>0</v>
      </c>
      <c r="P35" s="18"/>
      <c r="U35" s="18"/>
    </row>
    <row r="36" spans="1:21" s="8" customFormat="1" x14ac:dyDescent="0.3">
      <c r="B36" s="11" t="s">
        <v>11</v>
      </c>
      <c r="C36" s="82"/>
      <c r="D36" s="82"/>
      <c r="E36" s="82"/>
      <c r="F36" s="83"/>
      <c r="G36" s="243"/>
      <c r="H36" s="243"/>
      <c r="I36" s="243"/>
      <c r="J36" s="230"/>
      <c r="K36" s="230"/>
      <c r="L36" s="230"/>
      <c r="P36" s="18"/>
    </row>
    <row r="37" spans="1:21" s="8" customFormat="1" x14ac:dyDescent="0.3">
      <c r="A37" s="34" t="s">
        <v>29</v>
      </c>
      <c r="B37" s="35"/>
      <c r="C37" s="84">
        <f>C22+C23+C25+C27+C29+C31+C33+C35</f>
        <v>-1987.5</v>
      </c>
      <c r="D37" s="84">
        <f t="shared" ref="D37" si="31">D22+D23+D25+D27+D29+D31+D33+D35</f>
        <v>-2944.0252304147471</v>
      </c>
      <c r="E37" s="84">
        <f>E22+E23+E25+E27+E29+E31+E33+E35</f>
        <v>-3243.33237327189</v>
      </c>
      <c r="F37" s="79"/>
      <c r="G37" s="84">
        <f t="shared" ref="G37:H37" si="32">+SUM(G22:G36)</f>
        <v>-2687.5</v>
      </c>
      <c r="H37" s="84">
        <f t="shared" si="32"/>
        <v>-3321.0252304147471</v>
      </c>
      <c r="I37" s="84">
        <f>+SUM(I22:I36)</f>
        <v>-3560.33237327189</v>
      </c>
      <c r="J37" s="84">
        <f>+SUM(J22:J36)</f>
        <v>-3997.4649297954347</v>
      </c>
      <c r="K37" s="84">
        <f>+SUM(K22:K36)</f>
        <v>-4768.5446666246953</v>
      </c>
      <c r="L37" s="84">
        <f>+SUM(L22:L36)</f>
        <v>-5549.5706535507616</v>
      </c>
      <c r="N37" s="26"/>
      <c r="O37" s="26"/>
      <c r="P37" s="26"/>
      <c r="Q37" s="26"/>
      <c r="R37" s="26"/>
      <c r="S37" s="26"/>
      <c r="U37" s="18"/>
    </row>
    <row r="38" spans="1:21" s="8" customFormat="1" x14ac:dyDescent="0.3">
      <c r="B38" s="9"/>
      <c r="C38" s="66"/>
      <c r="D38" s="66"/>
      <c r="E38" s="66"/>
      <c r="F38" s="77"/>
      <c r="G38" s="66"/>
      <c r="H38" s="66"/>
      <c r="I38" s="66"/>
      <c r="J38" s="66"/>
      <c r="K38" s="66"/>
      <c r="L38" s="66"/>
    </row>
    <row r="39" spans="1:21" s="8" customFormat="1" x14ac:dyDescent="0.3">
      <c r="B39" s="9"/>
      <c r="C39" s="66"/>
      <c r="D39" s="66"/>
      <c r="E39" s="66"/>
      <c r="F39" s="77"/>
      <c r="G39" s="66"/>
      <c r="H39" s="66"/>
      <c r="I39" s="66"/>
      <c r="J39" s="66"/>
      <c r="K39" s="66"/>
      <c r="L39" s="66"/>
    </row>
    <row r="40" spans="1:21" s="8" customFormat="1" x14ac:dyDescent="0.3">
      <c r="B40" s="9"/>
      <c r="C40" s="91">
        <f t="shared" ref="C40:J40" si="33">+C20+C37</f>
        <v>3.3333333335576754E-3</v>
      </c>
      <c r="D40" s="91">
        <f t="shared" si="33"/>
        <v>3.333333333102928E-3</v>
      </c>
      <c r="E40" s="91">
        <f t="shared" si="33"/>
        <v>3.333333333102928E-3</v>
      </c>
      <c r="F40" s="92"/>
      <c r="G40" s="91">
        <f t="shared" si="33"/>
        <v>3.3333333335576754E-3</v>
      </c>
      <c r="H40" s="91">
        <f t="shared" si="33"/>
        <v>3.333333333102928E-3</v>
      </c>
      <c r="I40" s="91">
        <f t="shared" si="33"/>
        <v>3.333333333102928E-3</v>
      </c>
      <c r="J40" s="91">
        <f t="shared" si="33"/>
        <v>3.333333333102928E-3</v>
      </c>
      <c r="K40" s="91">
        <f>+K20+K37</f>
        <v>3.333333333102928E-3</v>
      </c>
      <c r="L40" s="91">
        <f>+L20+L37</f>
        <v>3.333333333102928E-3</v>
      </c>
    </row>
    <row r="41" spans="1:21" s="8" customFormat="1" x14ac:dyDescent="0.3">
      <c r="B41" s="9"/>
      <c r="C41" s="26"/>
      <c r="D41" s="26"/>
      <c r="E41" s="26"/>
      <c r="F41" s="63"/>
      <c r="G41" s="26"/>
      <c r="H41" s="26"/>
      <c r="I41" s="26"/>
      <c r="J41" s="26"/>
      <c r="K41" s="26"/>
      <c r="L41" s="26"/>
    </row>
    <row r="42" spans="1:21" s="8" customFormat="1" x14ac:dyDescent="0.3">
      <c r="B42" s="9"/>
      <c r="F42" s="1"/>
    </row>
    <row r="43" spans="1:21" s="8" customFormat="1" x14ac:dyDescent="0.3">
      <c r="B43" s="9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1:21" s="8" customFormat="1" x14ac:dyDescent="0.3">
      <c r="B44" s="9"/>
      <c r="F44" s="1" t="s">
        <v>192</v>
      </c>
      <c r="G44" s="70">
        <f>+G10+G12+G18</f>
        <v>982.50333333333333</v>
      </c>
      <c r="H44" s="70">
        <f>+H10+H12+H18</f>
        <v>981.66666666666663</v>
      </c>
      <c r="I44" s="70">
        <f t="shared" ref="I44:L44" si="34">+I10+I12+I18</f>
        <v>1060</v>
      </c>
      <c r="J44" s="70">
        <f t="shared" si="34"/>
        <v>1101.2387539637539</v>
      </c>
      <c r="K44" s="70">
        <f t="shared" si="34"/>
        <v>1151.7801382736416</v>
      </c>
      <c r="L44" s="70">
        <f t="shared" si="34"/>
        <v>1207.1414227438204</v>
      </c>
    </row>
    <row r="45" spans="1:21" s="8" customFormat="1" x14ac:dyDescent="0.3">
      <c r="B45" s="9"/>
      <c r="F45" s="1" t="s">
        <v>193</v>
      </c>
      <c r="G45" s="70">
        <f>+G31+G33</f>
        <v>-290</v>
      </c>
      <c r="H45" s="70">
        <f t="shared" ref="H45:L45" si="35">+H31+H33</f>
        <v>-285</v>
      </c>
      <c r="I45" s="70">
        <f t="shared" si="35"/>
        <v>-270</v>
      </c>
      <c r="J45" s="70">
        <f t="shared" si="35"/>
        <v>-303</v>
      </c>
      <c r="K45" s="70">
        <f t="shared" si="35"/>
        <v>-306</v>
      </c>
      <c r="L45" s="70">
        <f t="shared" si="35"/>
        <v>-326</v>
      </c>
    </row>
    <row r="46" spans="1:21" s="8" customFormat="1" x14ac:dyDescent="0.3">
      <c r="B46" s="9"/>
      <c r="F46" s="1"/>
    </row>
    <row r="47" spans="1:21" s="8" customFormat="1" x14ac:dyDescent="0.3">
      <c r="B47" s="9"/>
      <c r="F47" s="1"/>
    </row>
    <row r="48" spans="1:21" s="8" customFormat="1" x14ac:dyDescent="0.3">
      <c r="B48" s="9"/>
      <c r="F48" s="1"/>
    </row>
    <row r="49" spans="2:9" s="8" customFormat="1" x14ac:dyDescent="0.3">
      <c r="B49" s="9"/>
      <c r="F49" s="1"/>
      <c r="G49" s="26">
        <f>+G33/PnL!G8</f>
        <v>7.3062261753494284E-2</v>
      </c>
      <c r="H49" s="26">
        <f>+H33/PnL!H8</f>
        <v>7.2798049836574105E-2</v>
      </c>
      <c r="I49" s="26">
        <f>+I33/PnL!I8</f>
        <v>6.748197749186842E-2</v>
      </c>
    </row>
    <row r="50" spans="2:9" s="8" customFormat="1" x14ac:dyDescent="0.3">
      <c r="B50" s="9"/>
      <c r="F50" s="1"/>
    </row>
    <row r="51" spans="2:9" s="8" customFormat="1" x14ac:dyDescent="0.3">
      <c r="B51" s="9"/>
      <c r="F51" s="1"/>
    </row>
    <row r="52" spans="2:9" s="8" customFormat="1" x14ac:dyDescent="0.3">
      <c r="B52" s="9"/>
      <c r="F52" s="1"/>
    </row>
    <row r="53" spans="2:9" s="8" customFormat="1" x14ac:dyDescent="0.3">
      <c r="B53" s="9"/>
      <c r="F53" s="1"/>
    </row>
    <row r="54" spans="2:9" s="8" customFormat="1" x14ac:dyDescent="0.3">
      <c r="B54" s="9"/>
      <c r="F54" s="1"/>
    </row>
    <row r="55" spans="2:9" s="8" customFormat="1" x14ac:dyDescent="0.3">
      <c r="B55" s="9"/>
      <c r="F55" s="1"/>
    </row>
    <row r="56" spans="2:9" s="8" customFormat="1" x14ac:dyDescent="0.3">
      <c r="B56" s="9"/>
      <c r="F56" s="1"/>
    </row>
    <row r="57" spans="2:9" s="8" customFormat="1" x14ac:dyDescent="0.3">
      <c r="B57" s="9"/>
      <c r="F57" s="1"/>
    </row>
    <row r="58" spans="2:9" s="8" customFormat="1" x14ac:dyDescent="0.3">
      <c r="B58" s="9"/>
      <c r="F58" s="1"/>
    </row>
    <row r="59" spans="2:9" s="8" customFormat="1" x14ac:dyDescent="0.3">
      <c r="B59" s="9"/>
      <c r="F59" s="1"/>
    </row>
    <row r="60" spans="2:9" s="8" customFormat="1" x14ac:dyDescent="0.3">
      <c r="B60" s="9"/>
      <c r="F60" s="1"/>
    </row>
    <row r="61" spans="2:9" s="8" customFormat="1" x14ac:dyDescent="0.3">
      <c r="B61" s="9"/>
      <c r="F61" s="1"/>
    </row>
    <row r="62" spans="2:9" s="8" customFormat="1" x14ac:dyDescent="0.3">
      <c r="B62" s="9"/>
      <c r="F62" s="1"/>
    </row>
    <row r="63" spans="2:9" s="8" customFormat="1" x14ac:dyDescent="0.3">
      <c r="B63" s="9"/>
      <c r="F63" s="1"/>
    </row>
    <row r="64" spans="2:9" s="8" customFormat="1" x14ac:dyDescent="0.3">
      <c r="B64" s="9"/>
      <c r="F64" s="1"/>
    </row>
    <row r="65" spans="2:6" s="8" customFormat="1" x14ac:dyDescent="0.3">
      <c r="B65" s="9"/>
      <c r="F65" s="1"/>
    </row>
    <row r="66" spans="2:6" s="8" customFormat="1" x14ac:dyDescent="0.3">
      <c r="B66" s="9"/>
      <c r="F66" s="1"/>
    </row>
    <row r="67" spans="2:6" s="8" customFormat="1" x14ac:dyDescent="0.3">
      <c r="B67" s="9"/>
      <c r="F67" s="1"/>
    </row>
    <row r="68" spans="2:6" s="8" customFormat="1" x14ac:dyDescent="0.3">
      <c r="B68" s="9"/>
      <c r="F68" s="1"/>
    </row>
    <row r="69" spans="2:6" s="8" customFormat="1" x14ac:dyDescent="0.3">
      <c r="B69" s="9"/>
      <c r="F69" s="1"/>
    </row>
    <row r="70" spans="2:6" s="8" customFormat="1" x14ac:dyDescent="0.3">
      <c r="B70" s="9"/>
      <c r="F70" s="1"/>
    </row>
    <row r="71" spans="2:6" s="8" customFormat="1" x14ac:dyDescent="0.3">
      <c r="B71" s="9"/>
      <c r="F71" s="1"/>
    </row>
    <row r="72" spans="2:6" s="8" customFormat="1" x14ac:dyDescent="0.3">
      <c r="B72" s="9"/>
      <c r="F72" s="1"/>
    </row>
    <row r="73" spans="2:6" s="8" customFormat="1" x14ac:dyDescent="0.3">
      <c r="B73" s="9"/>
      <c r="F73" s="1"/>
    </row>
    <row r="74" spans="2:6" s="8" customFormat="1" x14ac:dyDescent="0.3">
      <c r="B74" s="9"/>
      <c r="F74" s="1"/>
    </row>
    <row r="75" spans="2:6" s="8" customFormat="1" x14ac:dyDescent="0.3">
      <c r="B75" s="9"/>
      <c r="F75" s="1"/>
    </row>
    <row r="76" spans="2:6" s="8" customFormat="1" x14ac:dyDescent="0.3">
      <c r="B76" s="9"/>
      <c r="F76" s="1"/>
    </row>
    <row r="77" spans="2:6" s="8" customFormat="1" x14ac:dyDescent="0.3">
      <c r="B77" s="9"/>
      <c r="F77" s="1"/>
    </row>
    <row r="78" spans="2:6" s="8" customFormat="1" x14ac:dyDescent="0.3">
      <c r="B78" s="9"/>
      <c r="F78" s="1"/>
    </row>
    <row r="79" spans="2:6" s="8" customFormat="1" x14ac:dyDescent="0.3">
      <c r="B79" s="9"/>
      <c r="F79" s="1"/>
    </row>
    <row r="80" spans="2:6" s="8" customFormat="1" x14ac:dyDescent="0.3">
      <c r="B80" s="9"/>
      <c r="F80" s="1"/>
    </row>
    <row r="81" spans="2:6" s="8" customFormat="1" x14ac:dyDescent="0.3">
      <c r="B81" s="9"/>
      <c r="F81" s="1"/>
    </row>
    <row r="82" spans="2:6" s="8" customFormat="1" x14ac:dyDescent="0.3">
      <c r="B82" s="9"/>
      <c r="F82" s="1"/>
    </row>
    <row r="83" spans="2:6" s="8" customFormat="1" x14ac:dyDescent="0.3">
      <c r="B83" s="9"/>
      <c r="F83" s="1"/>
    </row>
    <row r="84" spans="2:6" s="8" customFormat="1" x14ac:dyDescent="0.3">
      <c r="B84" s="9"/>
      <c r="F84" s="1"/>
    </row>
    <row r="85" spans="2:6" s="8" customFormat="1" x14ac:dyDescent="0.3">
      <c r="B85" s="9"/>
      <c r="F85" s="1"/>
    </row>
    <row r="86" spans="2:6" s="8" customFormat="1" x14ac:dyDescent="0.3">
      <c r="B86" s="9"/>
      <c r="F86" s="1"/>
    </row>
    <row r="87" spans="2:6" s="8" customFormat="1" x14ac:dyDescent="0.3">
      <c r="B87" s="9"/>
      <c r="F87" s="1"/>
    </row>
    <row r="88" spans="2:6" s="8" customFormat="1" x14ac:dyDescent="0.3">
      <c r="B88" s="9"/>
      <c r="F88" s="1"/>
    </row>
    <row r="89" spans="2:6" s="8" customFormat="1" x14ac:dyDescent="0.3">
      <c r="B89" s="9"/>
      <c r="F89" s="1"/>
    </row>
    <row r="90" spans="2:6" s="8" customFormat="1" x14ac:dyDescent="0.3">
      <c r="B90" s="9"/>
      <c r="F90" s="1"/>
    </row>
    <row r="91" spans="2:6" s="8" customFormat="1" x14ac:dyDescent="0.3">
      <c r="B91" s="9"/>
      <c r="F91" s="1"/>
    </row>
    <row r="92" spans="2:6" s="8" customFormat="1" x14ac:dyDescent="0.3">
      <c r="B92" s="9"/>
      <c r="F92" s="1"/>
    </row>
    <row r="93" spans="2:6" s="8" customFormat="1" x14ac:dyDescent="0.3">
      <c r="B93" s="9"/>
      <c r="F93" s="1"/>
    </row>
    <row r="94" spans="2:6" s="8" customFormat="1" x14ac:dyDescent="0.3">
      <c r="B94" s="9"/>
      <c r="F94" s="1"/>
    </row>
    <row r="95" spans="2:6" s="8" customFormat="1" x14ac:dyDescent="0.3">
      <c r="B95" s="9"/>
      <c r="F95" s="1"/>
    </row>
    <row r="96" spans="2:6" s="8" customFormat="1" x14ac:dyDescent="0.3">
      <c r="B96" s="9"/>
      <c r="F96" s="1"/>
    </row>
    <row r="97" spans="2:6" s="8" customFormat="1" x14ac:dyDescent="0.3">
      <c r="B97" s="9"/>
      <c r="F97" s="1"/>
    </row>
    <row r="98" spans="2:6" s="8" customFormat="1" x14ac:dyDescent="0.3">
      <c r="B98" s="9"/>
      <c r="F98" s="1"/>
    </row>
    <row r="99" spans="2:6" s="8" customFormat="1" x14ac:dyDescent="0.3">
      <c r="B99" s="9"/>
      <c r="F99" s="1"/>
    </row>
    <row r="100" spans="2:6" s="8" customFormat="1" x14ac:dyDescent="0.3">
      <c r="B100" s="9"/>
      <c r="F100" s="1"/>
    </row>
    <row r="101" spans="2:6" s="8" customFormat="1" x14ac:dyDescent="0.3">
      <c r="B101" s="9"/>
      <c r="F101" s="1"/>
    </row>
    <row r="102" spans="2:6" s="8" customFormat="1" x14ac:dyDescent="0.3">
      <c r="B102" s="9"/>
      <c r="F102" s="1"/>
    </row>
    <row r="103" spans="2:6" s="8" customFormat="1" x14ac:dyDescent="0.3">
      <c r="B103" s="9"/>
      <c r="F103" s="1"/>
    </row>
    <row r="104" spans="2:6" s="8" customFormat="1" x14ac:dyDescent="0.3">
      <c r="B104" s="9"/>
      <c r="F104" s="1"/>
    </row>
    <row r="105" spans="2:6" s="8" customFormat="1" x14ac:dyDescent="0.3">
      <c r="B105" s="9"/>
      <c r="F105" s="1"/>
    </row>
    <row r="106" spans="2:6" s="8" customFormat="1" x14ac:dyDescent="0.3">
      <c r="B106" s="9"/>
      <c r="F106" s="1"/>
    </row>
    <row r="107" spans="2:6" s="8" customFormat="1" x14ac:dyDescent="0.3">
      <c r="B107" s="9"/>
      <c r="F107" s="1"/>
    </row>
    <row r="108" spans="2:6" s="8" customFormat="1" x14ac:dyDescent="0.3">
      <c r="B108" s="9"/>
      <c r="F108" s="1"/>
    </row>
    <row r="109" spans="2:6" s="8" customFormat="1" x14ac:dyDescent="0.3">
      <c r="B109" s="9"/>
      <c r="F109" s="1"/>
    </row>
    <row r="110" spans="2:6" s="8" customFormat="1" x14ac:dyDescent="0.3">
      <c r="B110" s="9"/>
      <c r="F110" s="1"/>
    </row>
    <row r="111" spans="2:6" s="8" customFormat="1" x14ac:dyDescent="0.3">
      <c r="B111" s="9"/>
      <c r="F111" s="1"/>
    </row>
    <row r="112" spans="2:6" s="8" customFormat="1" x14ac:dyDescent="0.3">
      <c r="B112" s="9"/>
      <c r="F112" s="1"/>
    </row>
    <row r="113" spans="2:6" s="8" customFormat="1" x14ac:dyDescent="0.3">
      <c r="B113" s="9"/>
      <c r="F113" s="1"/>
    </row>
    <row r="114" spans="2:6" s="8" customFormat="1" x14ac:dyDescent="0.3">
      <c r="B114" s="9"/>
      <c r="F114" s="1"/>
    </row>
    <row r="115" spans="2:6" s="8" customFormat="1" x14ac:dyDescent="0.3">
      <c r="B115" s="9"/>
      <c r="F115" s="1"/>
    </row>
    <row r="116" spans="2:6" s="8" customFormat="1" x14ac:dyDescent="0.3">
      <c r="B116" s="9"/>
      <c r="F116" s="1"/>
    </row>
    <row r="117" spans="2:6" s="8" customFormat="1" x14ac:dyDescent="0.3">
      <c r="B117" s="9"/>
      <c r="F117" s="1"/>
    </row>
    <row r="118" spans="2:6" s="8" customFormat="1" x14ac:dyDescent="0.3">
      <c r="B118" s="9"/>
      <c r="F118" s="1"/>
    </row>
    <row r="119" spans="2:6" s="8" customFormat="1" x14ac:dyDescent="0.3">
      <c r="B119" s="9"/>
      <c r="F119" s="1"/>
    </row>
    <row r="120" spans="2:6" s="8" customFormat="1" x14ac:dyDescent="0.3">
      <c r="B120" s="9"/>
      <c r="F120" s="1"/>
    </row>
    <row r="121" spans="2:6" s="8" customFormat="1" x14ac:dyDescent="0.3">
      <c r="B121" s="9"/>
      <c r="F121" s="1"/>
    </row>
    <row r="122" spans="2:6" s="8" customFormat="1" x14ac:dyDescent="0.3">
      <c r="B122" s="9"/>
      <c r="F122" s="1"/>
    </row>
    <row r="123" spans="2:6" s="8" customFormat="1" x14ac:dyDescent="0.3">
      <c r="B123" s="9"/>
      <c r="F123" s="1"/>
    </row>
    <row r="124" spans="2:6" s="8" customFormat="1" x14ac:dyDescent="0.3">
      <c r="B124" s="9"/>
      <c r="F124" s="1"/>
    </row>
    <row r="125" spans="2:6" s="8" customFormat="1" x14ac:dyDescent="0.3">
      <c r="B125" s="9"/>
      <c r="F125" s="1"/>
    </row>
    <row r="126" spans="2:6" s="8" customFormat="1" x14ac:dyDescent="0.3">
      <c r="B126" s="9"/>
      <c r="F126" s="1"/>
    </row>
    <row r="127" spans="2:6" s="8" customFormat="1" x14ac:dyDescent="0.3">
      <c r="B127" s="9"/>
      <c r="F127" s="1"/>
    </row>
    <row r="128" spans="2:6" s="8" customFormat="1" x14ac:dyDescent="0.3">
      <c r="B128" s="9"/>
      <c r="F128" s="1"/>
    </row>
    <row r="129" spans="2:6" s="8" customFormat="1" x14ac:dyDescent="0.3">
      <c r="B129" s="9"/>
      <c r="F129" s="1"/>
    </row>
    <row r="130" spans="2:6" s="8" customFormat="1" x14ac:dyDescent="0.3">
      <c r="B130" s="9"/>
      <c r="F130" s="1"/>
    </row>
    <row r="131" spans="2:6" s="8" customFormat="1" x14ac:dyDescent="0.3">
      <c r="B131" s="9"/>
      <c r="F131" s="1"/>
    </row>
    <row r="132" spans="2:6" s="8" customFormat="1" x14ac:dyDescent="0.3">
      <c r="B132" s="9"/>
      <c r="F132" s="1"/>
    </row>
    <row r="133" spans="2:6" s="8" customFormat="1" x14ac:dyDescent="0.3">
      <c r="B133" s="9"/>
      <c r="F133" s="1"/>
    </row>
    <row r="134" spans="2:6" s="8" customFormat="1" x14ac:dyDescent="0.3">
      <c r="B134" s="9"/>
      <c r="F134" s="1"/>
    </row>
    <row r="135" spans="2:6" s="8" customFormat="1" x14ac:dyDescent="0.3">
      <c r="B135" s="9"/>
      <c r="F135" s="1"/>
    </row>
    <row r="136" spans="2:6" s="8" customFormat="1" x14ac:dyDescent="0.3">
      <c r="B136" s="9"/>
      <c r="F136" s="1"/>
    </row>
    <row r="137" spans="2:6" s="8" customFormat="1" x14ac:dyDescent="0.3">
      <c r="B137" s="9"/>
      <c r="F137" s="1"/>
    </row>
    <row r="138" spans="2:6" s="8" customFormat="1" x14ac:dyDescent="0.3">
      <c r="B138" s="9"/>
      <c r="F138" s="1"/>
    </row>
    <row r="139" spans="2:6" s="8" customFormat="1" x14ac:dyDescent="0.3">
      <c r="B139" s="9"/>
      <c r="F139" s="1"/>
    </row>
    <row r="140" spans="2:6" s="8" customFormat="1" x14ac:dyDescent="0.3">
      <c r="B140" s="9"/>
      <c r="F140" s="1"/>
    </row>
    <row r="141" spans="2:6" s="8" customFormat="1" x14ac:dyDescent="0.3">
      <c r="B141" s="9"/>
      <c r="F141" s="1"/>
    </row>
    <row r="142" spans="2:6" s="8" customFormat="1" x14ac:dyDescent="0.3">
      <c r="B142" s="9"/>
      <c r="F142" s="1"/>
    </row>
    <row r="143" spans="2:6" s="8" customFormat="1" x14ac:dyDescent="0.3">
      <c r="B143" s="9"/>
      <c r="F143" s="1"/>
    </row>
    <row r="144" spans="2:6" s="8" customFormat="1" x14ac:dyDescent="0.3">
      <c r="B144" s="9"/>
      <c r="F144" s="1"/>
    </row>
    <row r="145" spans="2:6" s="8" customFormat="1" x14ac:dyDescent="0.3">
      <c r="B145" s="9"/>
      <c r="F145" s="1"/>
    </row>
    <row r="146" spans="2:6" s="8" customFormat="1" x14ac:dyDescent="0.3">
      <c r="B146" s="9"/>
      <c r="F146" s="1"/>
    </row>
    <row r="147" spans="2:6" s="8" customFormat="1" x14ac:dyDescent="0.3">
      <c r="B147" s="9"/>
      <c r="F147" s="1"/>
    </row>
    <row r="148" spans="2:6" s="8" customFormat="1" x14ac:dyDescent="0.3">
      <c r="B148" s="9"/>
      <c r="F148" s="1"/>
    </row>
    <row r="149" spans="2:6" s="8" customFormat="1" x14ac:dyDescent="0.3">
      <c r="B149" s="9"/>
      <c r="F149" s="1"/>
    </row>
    <row r="150" spans="2:6" s="8" customFormat="1" x14ac:dyDescent="0.3">
      <c r="B150" s="9"/>
      <c r="F150" s="1"/>
    </row>
    <row r="151" spans="2:6" s="8" customFormat="1" x14ac:dyDescent="0.3">
      <c r="B151" s="9"/>
      <c r="F151" s="1"/>
    </row>
    <row r="152" spans="2:6" s="8" customFormat="1" x14ac:dyDescent="0.3">
      <c r="B152" s="9"/>
      <c r="F152" s="1"/>
    </row>
    <row r="153" spans="2:6" s="8" customFormat="1" x14ac:dyDescent="0.3">
      <c r="B153" s="9"/>
      <c r="F153" s="1"/>
    </row>
    <row r="154" spans="2:6" s="8" customFormat="1" x14ac:dyDescent="0.3">
      <c r="B154" s="9"/>
      <c r="F154" s="1"/>
    </row>
    <row r="155" spans="2:6" s="8" customFormat="1" x14ac:dyDescent="0.3">
      <c r="B155" s="9"/>
      <c r="F155" s="1"/>
    </row>
    <row r="156" spans="2:6" s="8" customFormat="1" x14ac:dyDescent="0.3">
      <c r="B156" s="9"/>
      <c r="F156" s="1"/>
    </row>
    <row r="157" spans="2:6" s="8" customFormat="1" x14ac:dyDescent="0.3">
      <c r="B157" s="9"/>
      <c r="F157" s="1"/>
    </row>
    <row r="158" spans="2:6" s="8" customFormat="1" x14ac:dyDescent="0.3">
      <c r="B158" s="9"/>
      <c r="F158" s="1"/>
    </row>
    <row r="159" spans="2:6" s="8" customFormat="1" x14ac:dyDescent="0.3">
      <c r="B159" s="9"/>
      <c r="F159" s="1"/>
    </row>
    <row r="160" spans="2:6" s="8" customFormat="1" x14ac:dyDescent="0.3">
      <c r="B160" s="9"/>
      <c r="F160" s="1"/>
    </row>
    <row r="161" spans="2:6" s="8" customFormat="1" x14ac:dyDescent="0.3">
      <c r="B161" s="9"/>
      <c r="F161" s="1"/>
    </row>
    <row r="162" spans="2:6" s="8" customFormat="1" x14ac:dyDescent="0.3">
      <c r="B162" s="9"/>
      <c r="F162" s="1"/>
    </row>
    <row r="163" spans="2:6" s="8" customFormat="1" x14ac:dyDescent="0.3">
      <c r="B163" s="9"/>
      <c r="F163" s="1"/>
    </row>
    <row r="164" spans="2:6" s="8" customFormat="1" x14ac:dyDescent="0.3">
      <c r="B164" s="9"/>
      <c r="F164" s="1"/>
    </row>
    <row r="165" spans="2:6" s="8" customFormat="1" x14ac:dyDescent="0.3">
      <c r="B165" s="9"/>
      <c r="F165" s="1"/>
    </row>
    <row r="166" spans="2:6" s="8" customFormat="1" x14ac:dyDescent="0.3">
      <c r="B166" s="9"/>
      <c r="F166" s="1"/>
    </row>
    <row r="167" spans="2:6" s="8" customFormat="1" x14ac:dyDescent="0.3">
      <c r="B167" s="9"/>
      <c r="F167" s="1"/>
    </row>
    <row r="168" spans="2:6" s="8" customFormat="1" x14ac:dyDescent="0.3">
      <c r="B168" s="9"/>
      <c r="F168" s="1"/>
    </row>
    <row r="169" spans="2:6" s="8" customFormat="1" x14ac:dyDescent="0.3">
      <c r="B169" s="9"/>
      <c r="F169" s="1"/>
    </row>
    <row r="170" spans="2:6" s="8" customFormat="1" x14ac:dyDescent="0.3">
      <c r="B170" s="9"/>
      <c r="F170" s="1"/>
    </row>
    <row r="171" spans="2:6" s="8" customFormat="1" x14ac:dyDescent="0.3">
      <c r="B171" s="9"/>
      <c r="F171" s="1"/>
    </row>
    <row r="172" spans="2:6" s="8" customFormat="1" x14ac:dyDescent="0.3">
      <c r="B172" s="9"/>
      <c r="F172" s="1"/>
    </row>
    <row r="173" spans="2:6" s="8" customFormat="1" x14ac:dyDescent="0.3">
      <c r="B173" s="9"/>
      <c r="F173" s="1"/>
    </row>
    <row r="174" spans="2:6" s="8" customFormat="1" x14ac:dyDescent="0.3">
      <c r="B174" s="9"/>
      <c r="F174" s="1"/>
    </row>
    <row r="175" spans="2:6" s="8" customFormat="1" x14ac:dyDescent="0.3">
      <c r="B175" s="9"/>
      <c r="F175" s="1"/>
    </row>
    <row r="176" spans="2:6" s="8" customFormat="1" x14ac:dyDescent="0.3">
      <c r="B176" s="9"/>
      <c r="F176" s="1"/>
    </row>
    <row r="177" spans="2:6" s="8" customFormat="1" x14ac:dyDescent="0.3">
      <c r="B177" s="9"/>
      <c r="F177" s="1"/>
    </row>
    <row r="178" spans="2:6" s="8" customFormat="1" x14ac:dyDescent="0.3">
      <c r="B178" s="9"/>
      <c r="F178" s="1"/>
    </row>
    <row r="179" spans="2:6" s="8" customFormat="1" x14ac:dyDescent="0.3">
      <c r="B179" s="9"/>
      <c r="F179" s="1"/>
    </row>
    <row r="180" spans="2:6" s="8" customFormat="1" x14ac:dyDescent="0.3">
      <c r="B180" s="9"/>
      <c r="F180" s="1"/>
    </row>
    <row r="181" spans="2:6" s="8" customFormat="1" x14ac:dyDescent="0.3">
      <c r="B181" s="9"/>
      <c r="F181" s="1"/>
    </row>
    <row r="182" spans="2:6" s="8" customFormat="1" x14ac:dyDescent="0.3">
      <c r="B182" s="9"/>
      <c r="F182" s="1"/>
    </row>
    <row r="183" spans="2:6" s="8" customFormat="1" x14ac:dyDescent="0.3">
      <c r="B183" s="9"/>
      <c r="F183" s="1"/>
    </row>
    <row r="184" spans="2:6" s="8" customFormat="1" x14ac:dyDescent="0.3">
      <c r="B184" s="9"/>
      <c r="F184" s="1"/>
    </row>
    <row r="185" spans="2:6" s="8" customFormat="1" x14ac:dyDescent="0.3">
      <c r="B185" s="9"/>
      <c r="F185" s="1"/>
    </row>
    <row r="186" spans="2:6" s="8" customFormat="1" x14ac:dyDescent="0.3">
      <c r="B186" s="9"/>
      <c r="F186" s="1"/>
    </row>
    <row r="187" spans="2:6" s="8" customFormat="1" x14ac:dyDescent="0.3">
      <c r="B187" s="9"/>
      <c r="F187" s="1"/>
    </row>
    <row r="188" spans="2:6" s="8" customFormat="1" x14ac:dyDescent="0.3">
      <c r="B188" s="9"/>
      <c r="F188" s="1"/>
    </row>
    <row r="189" spans="2:6" s="8" customFormat="1" x14ac:dyDescent="0.3">
      <c r="B189" s="9"/>
      <c r="F189" s="1"/>
    </row>
    <row r="190" spans="2:6" s="8" customFormat="1" x14ac:dyDescent="0.3">
      <c r="B190" s="9"/>
      <c r="F190" s="1"/>
    </row>
    <row r="191" spans="2:6" s="8" customFormat="1" x14ac:dyDescent="0.3">
      <c r="B191" s="9"/>
      <c r="F191" s="1"/>
    </row>
    <row r="192" spans="2:6" s="8" customFormat="1" x14ac:dyDescent="0.3">
      <c r="B192" s="9"/>
      <c r="F192" s="1"/>
    </row>
    <row r="193" spans="2:6" s="8" customFormat="1" x14ac:dyDescent="0.3">
      <c r="B193" s="9"/>
      <c r="F193" s="1"/>
    </row>
    <row r="194" spans="2:6" s="8" customFormat="1" x14ac:dyDescent="0.3">
      <c r="B194" s="9"/>
      <c r="F194" s="1"/>
    </row>
    <row r="195" spans="2:6" s="8" customFormat="1" x14ac:dyDescent="0.3">
      <c r="B195" s="9"/>
      <c r="F195" s="1"/>
    </row>
    <row r="196" spans="2:6" s="8" customFormat="1" x14ac:dyDescent="0.3">
      <c r="B196" s="9"/>
      <c r="F196" s="1"/>
    </row>
    <row r="197" spans="2:6" s="8" customFormat="1" x14ac:dyDescent="0.3">
      <c r="B197" s="9"/>
      <c r="F197" s="1"/>
    </row>
    <row r="198" spans="2:6" s="8" customFormat="1" x14ac:dyDescent="0.3">
      <c r="B198" s="9"/>
      <c r="F198" s="1"/>
    </row>
    <row r="199" spans="2:6" s="8" customFormat="1" x14ac:dyDescent="0.3">
      <c r="B199" s="9"/>
      <c r="F199" s="1"/>
    </row>
    <row r="200" spans="2:6" s="8" customFormat="1" x14ac:dyDescent="0.3">
      <c r="B200" s="9"/>
      <c r="F200" s="1"/>
    </row>
    <row r="201" spans="2:6" s="8" customFormat="1" x14ac:dyDescent="0.3">
      <c r="B201" s="9"/>
      <c r="F201" s="1"/>
    </row>
    <row r="202" spans="2:6" s="8" customFormat="1" x14ac:dyDescent="0.3">
      <c r="B202" s="9"/>
      <c r="F202" s="1"/>
    </row>
    <row r="203" spans="2:6" s="8" customFormat="1" x14ac:dyDescent="0.3">
      <c r="B203" s="9"/>
      <c r="F203" s="1"/>
    </row>
    <row r="204" spans="2:6" s="8" customFormat="1" x14ac:dyDescent="0.3">
      <c r="B204" s="9"/>
      <c r="F204" s="1"/>
    </row>
    <row r="205" spans="2:6" s="8" customFormat="1" x14ac:dyDescent="0.3">
      <c r="B205" s="9"/>
      <c r="F205" s="1"/>
    </row>
    <row r="206" spans="2:6" s="8" customFormat="1" x14ac:dyDescent="0.3">
      <c r="B206" s="9"/>
      <c r="F206" s="1"/>
    </row>
    <row r="207" spans="2:6" s="8" customFormat="1" x14ac:dyDescent="0.3">
      <c r="B207" s="9"/>
      <c r="F207" s="1"/>
    </row>
    <row r="208" spans="2:6" s="8" customFormat="1" x14ac:dyDescent="0.3">
      <c r="B208" s="9"/>
      <c r="F208" s="1"/>
    </row>
    <row r="209" spans="2:6" s="8" customFormat="1" x14ac:dyDescent="0.3">
      <c r="B209" s="9"/>
      <c r="F209" s="1"/>
    </row>
    <row r="210" spans="2:6" s="8" customFormat="1" x14ac:dyDescent="0.3">
      <c r="B210" s="9"/>
      <c r="F210" s="1"/>
    </row>
    <row r="211" spans="2:6" s="8" customFormat="1" x14ac:dyDescent="0.3">
      <c r="B211" s="9"/>
      <c r="F211" s="1"/>
    </row>
    <row r="212" spans="2:6" s="8" customFormat="1" x14ac:dyDescent="0.3">
      <c r="B212" s="9"/>
      <c r="F212" s="1"/>
    </row>
    <row r="213" spans="2:6" s="8" customFormat="1" x14ac:dyDescent="0.3">
      <c r="B213" s="9"/>
      <c r="F213" s="1"/>
    </row>
    <row r="214" spans="2:6" s="8" customFormat="1" x14ac:dyDescent="0.3">
      <c r="B214" s="9"/>
      <c r="F214" s="1"/>
    </row>
    <row r="215" spans="2:6" s="8" customFormat="1" x14ac:dyDescent="0.3">
      <c r="B215" s="9"/>
      <c r="F215" s="1"/>
    </row>
    <row r="216" spans="2:6" s="8" customFormat="1" x14ac:dyDescent="0.3">
      <c r="B216" s="9"/>
      <c r="F216" s="1"/>
    </row>
    <row r="217" spans="2:6" s="8" customFormat="1" x14ac:dyDescent="0.3">
      <c r="B217" s="9"/>
      <c r="F217" s="1"/>
    </row>
    <row r="218" spans="2:6" s="8" customFormat="1" x14ac:dyDescent="0.3">
      <c r="B218" s="9"/>
      <c r="F218" s="1"/>
    </row>
    <row r="219" spans="2:6" s="8" customFormat="1" x14ac:dyDescent="0.3">
      <c r="B219" s="9"/>
      <c r="F219" s="1"/>
    </row>
    <row r="220" spans="2:6" s="8" customFormat="1" x14ac:dyDescent="0.3">
      <c r="B220" s="9"/>
      <c r="F220" s="1"/>
    </row>
    <row r="221" spans="2:6" s="8" customFormat="1" x14ac:dyDescent="0.3">
      <c r="B221" s="9"/>
      <c r="F221" s="1"/>
    </row>
    <row r="222" spans="2:6" s="8" customFormat="1" x14ac:dyDescent="0.3">
      <c r="B222" s="9"/>
      <c r="F222" s="1"/>
    </row>
    <row r="223" spans="2:6" s="8" customFormat="1" x14ac:dyDescent="0.3">
      <c r="B223" s="9"/>
      <c r="F223" s="1"/>
    </row>
    <row r="224" spans="2:6" s="8" customFormat="1" x14ac:dyDescent="0.3">
      <c r="B224" s="9"/>
      <c r="F224" s="1"/>
    </row>
    <row r="225" spans="2:6" s="8" customFormat="1" x14ac:dyDescent="0.3">
      <c r="B225" s="9"/>
      <c r="F225" s="1"/>
    </row>
    <row r="226" spans="2:6" s="8" customFormat="1" x14ac:dyDescent="0.3">
      <c r="B226" s="9"/>
      <c r="F226" s="1"/>
    </row>
    <row r="227" spans="2:6" s="8" customFormat="1" x14ac:dyDescent="0.3">
      <c r="B227" s="9"/>
      <c r="F227" s="1"/>
    </row>
    <row r="228" spans="2:6" s="8" customFormat="1" x14ac:dyDescent="0.3">
      <c r="B228" s="9"/>
      <c r="F228" s="1"/>
    </row>
    <row r="229" spans="2:6" s="8" customFormat="1" x14ac:dyDescent="0.3">
      <c r="B229" s="9"/>
      <c r="F229" s="1"/>
    </row>
    <row r="230" spans="2:6" s="8" customFormat="1" x14ac:dyDescent="0.3">
      <c r="B230" s="9"/>
      <c r="F230" s="1"/>
    </row>
    <row r="231" spans="2:6" s="8" customFormat="1" x14ac:dyDescent="0.3">
      <c r="B231" s="9"/>
      <c r="F231" s="1"/>
    </row>
    <row r="232" spans="2:6" s="8" customFormat="1" x14ac:dyDescent="0.3">
      <c r="B232" s="9"/>
      <c r="F232" s="1"/>
    </row>
    <row r="233" spans="2:6" s="8" customFormat="1" x14ac:dyDescent="0.3">
      <c r="B233" s="9"/>
      <c r="F233" s="1"/>
    </row>
    <row r="234" spans="2:6" s="8" customFormat="1" x14ac:dyDescent="0.3">
      <c r="B234" s="9"/>
      <c r="F234" s="1"/>
    </row>
    <row r="235" spans="2:6" s="8" customFormat="1" x14ac:dyDescent="0.3">
      <c r="B235" s="9"/>
      <c r="F235" s="1"/>
    </row>
    <row r="236" spans="2:6" s="8" customFormat="1" x14ac:dyDescent="0.3">
      <c r="B236" s="9"/>
      <c r="F236" s="1"/>
    </row>
    <row r="237" spans="2:6" s="8" customFormat="1" x14ac:dyDescent="0.3">
      <c r="B237" s="9"/>
      <c r="F237" s="1"/>
    </row>
    <row r="238" spans="2:6" s="8" customFormat="1" x14ac:dyDescent="0.3">
      <c r="B238" s="9"/>
      <c r="F238" s="1"/>
    </row>
    <row r="239" spans="2:6" s="8" customFormat="1" x14ac:dyDescent="0.3">
      <c r="B239" s="9"/>
      <c r="F239" s="1"/>
    </row>
    <row r="240" spans="2:6" s="8" customFormat="1" x14ac:dyDescent="0.3">
      <c r="B240" s="9"/>
      <c r="F240" s="1"/>
    </row>
    <row r="241" spans="2:6" s="8" customFormat="1" x14ac:dyDescent="0.3">
      <c r="B241" s="9"/>
      <c r="F241" s="1"/>
    </row>
    <row r="242" spans="2:6" s="8" customFormat="1" x14ac:dyDescent="0.3">
      <c r="B242" s="9"/>
      <c r="F242" s="1"/>
    </row>
    <row r="243" spans="2:6" s="8" customFormat="1" x14ac:dyDescent="0.3">
      <c r="B243" s="9"/>
      <c r="F243" s="1"/>
    </row>
    <row r="244" spans="2:6" s="8" customFormat="1" x14ac:dyDescent="0.3">
      <c r="B244" s="9"/>
      <c r="F244" s="1"/>
    </row>
    <row r="245" spans="2:6" s="8" customFormat="1" x14ac:dyDescent="0.3">
      <c r="B245" s="9"/>
      <c r="F245" s="1"/>
    </row>
    <row r="246" spans="2:6" s="8" customFormat="1" x14ac:dyDescent="0.3">
      <c r="B246" s="9"/>
      <c r="F246" s="1"/>
    </row>
    <row r="247" spans="2:6" s="8" customFormat="1" x14ac:dyDescent="0.3">
      <c r="B247" s="9"/>
      <c r="F247" s="1"/>
    </row>
    <row r="248" spans="2:6" s="8" customFormat="1" x14ac:dyDescent="0.3">
      <c r="B248" s="9"/>
      <c r="F248" s="1"/>
    </row>
    <row r="249" spans="2:6" s="8" customFormat="1" x14ac:dyDescent="0.3">
      <c r="B249" s="9"/>
      <c r="F249" s="1"/>
    </row>
    <row r="250" spans="2:6" s="8" customFormat="1" x14ac:dyDescent="0.3">
      <c r="B250" s="9"/>
      <c r="F250" s="1"/>
    </row>
    <row r="251" spans="2:6" s="8" customFormat="1" x14ac:dyDescent="0.3">
      <c r="B251" s="9"/>
      <c r="F251" s="1"/>
    </row>
    <row r="252" spans="2:6" s="8" customFormat="1" x14ac:dyDescent="0.3">
      <c r="B252" s="9"/>
      <c r="F252" s="1"/>
    </row>
    <row r="253" spans="2:6" s="8" customFormat="1" x14ac:dyDescent="0.3">
      <c r="B253" s="9"/>
      <c r="F253" s="1"/>
    </row>
    <row r="254" spans="2:6" s="8" customFormat="1" x14ac:dyDescent="0.3">
      <c r="B254" s="9"/>
      <c r="F254" s="1"/>
    </row>
    <row r="255" spans="2:6" s="8" customFormat="1" x14ac:dyDescent="0.3">
      <c r="B255" s="9"/>
      <c r="F255" s="1"/>
    </row>
    <row r="256" spans="2:6" s="8" customFormat="1" x14ac:dyDescent="0.3">
      <c r="B256" s="9"/>
      <c r="F256" s="1"/>
    </row>
    <row r="257" spans="2:6" s="8" customFormat="1" x14ac:dyDescent="0.3">
      <c r="B257" s="9"/>
      <c r="F257" s="1"/>
    </row>
    <row r="258" spans="2:6" s="8" customFormat="1" x14ac:dyDescent="0.3">
      <c r="B258" s="9"/>
      <c r="F258" s="1"/>
    </row>
    <row r="259" spans="2:6" s="8" customFormat="1" x14ac:dyDescent="0.3">
      <c r="B259" s="9"/>
      <c r="F259" s="1"/>
    </row>
    <row r="260" spans="2:6" s="8" customFormat="1" x14ac:dyDescent="0.3">
      <c r="B260" s="9"/>
      <c r="F260" s="1"/>
    </row>
    <row r="261" spans="2:6" s="8" customFormat="1" x14ac:dyDescent="0.3">
      <c r="B261" s="9"/>
      <c r="F261" s="1"/>
    </row>
    <row r="262" spans="2:6" s="8" customFormat="1" x14ac:dyDescent="0.3">
      <c r="B262" s="9"/>
      <c r="F262" s="1"/>
    </row>
    <row r="263" spans="2:6" s="8" customFormat="1" x14ac:dyDescent="0.3">
      <c r="B263" s="9"/>
      <c r="F263" s="1"/>
    </row>
    <row r="264" spans="2:6" s="8" customFormat="1" x14ac:dyDescent="0.3">
      <c r="B264" s="9"/>
      <c r="F264" s="1"/>
    </row>
    <row r="265" spans="2:6" s="8" customFormat="1" x14ac:dyDescent="0.3">
      <c r="B265" s="9"/>
      <c r="F265" s="1"/>
    </row>
    <row r="266" spans="2:6" s="8" customFormat="1" x14ac:dyDescent="0.3">
      <c r="B266" s="9"/>
      <c r="F266" s="1"/>
    </row>
    <row r="267" spans="2:6" s="8" customFormat="1" x14ac:dyDescent="0.3">
      <c r="B267" s="9"/>
      <c r="F267" s="1"/>
    </row>
    <row r="268" spans="2:6" s="8" customFormat="1" x14ac:dyDescent="0.3">
      <c r="B268" s="9"/>
      <c r="F268" s="1"/>
    </row>
    <row r="269" spans="2:6" s="8" customFormat="1" x14ac:dyDescent="0.3">
      <c r="B269" s="9"/>
      <c r="F269" s="1"/>
    </row>
    <row r="270" spans="2:6" s="8" customFormat="1" x14ac:dyDescent="0.3">
      <c r="B270" s="9"/>
      <c r="F270" s="1"/>
    </row>
    <row r="271" spans="2:6" s="8" customFormat="1" x14ac:dyDescent="0.3">
      <c r="B271" s="9"/>
      <c r="F271" s="1"/>
    </row>
    <row r="272" spans="2:6" s="8" customFormat="1" x14ac:dyDescent="0.3">
      <c r="B272" s="9"/>
      <c r="F272" s="1"/>
    </row>
    <row r="273" spans="2:6" s="8" customFormat="1" x14ac:dyDescent="0.3">
      <c r="B273" s="9"/>
      <c r="F273" s="1"/>
    </row>
    <row r="274" spans="2:6" s="8" customFormat="1" x14ac:dyDescent="0.3">
      <c r="B274" s="9"/>
      <c r="F274" s="1"/>
    </row>
    <row r="275" spans="2:6" s="8" customFormat="1" x14ac:dyDescent="0.3">
      <c r="B275" s="9"/>
      <c r="F275" s="1"/>
    </row>
    <row r="276" spans="2:6" s="8" customFormat="1" x14ac:dyDescent="0.3">
      <c r="B276" s="9"/>
      <c r="F276" s="1"/>
    </row>
    <row r="277" spans="2:6" s="8" customFormat="1" x14ac:dyDescent="0.3">
      <c r="B277" s="9"/>
      <c r="F277" s="1"/>
    </row>
    <row r="278" spans="2:6" s="8" customFormat="1" x14ac:dyDescent="0.3">
      <c r="B278" s="9"/>
      <c r="F278" s="1"/>
    </row>
    <row r="279" spans="2:6" s="8" customFormat="1" x14ac:dyDescent="0.3">
      <c r="B279" s="9"/>
      <c r="F279" s="1"/>
    </row>
    <row r="280" spans="2:6" s="8" customFormat="1" x14ac:dyDescent="0.3">
      <c r="B280" s="9"/>
      <c r="F280" s="1"/>
    </row>
    <row r="281" spans="2:6" s="8" customFormat="1" x14ac:dyDescent="0.3">
      <c r="B281" s="9"/>
      <c r="F281" s="1"/>
    </row>
    <row r="282" spans="2:6" s="8" customFormat="1" x14ac:dyDescent="0.3">
      <c r="B282" s="9"/>
      <c r="F282" s="1"/>
    </row>
    <row r="283" spans="2:6" s="8" customFormat="1" x14ac:dyDescent="0.3">
      <c r="B283" s="9"/>
      <c r="F283" s="1"/>
    </row>
    <row r="284" spans="2:6" s="8" customFormat="1" x14ac:dyDescent="0.3">
      <c r="B284" s="9"/>
      <c r="F284" s="1"/>
    </row>
    <row r="285" spans="2:6" s="8" customFormat="1" x14ac:dyDescent="0.3">
      <c r="B285" s="9"/>
      <c r="F285" s="1"/>
    </row>
    <row r="286" spans="2:6" s="8" customFormat="1" x14ac:dyDescent="0.3">
      <c r="B286" s="9"/>
      <c r="F286" s="1"/>
    </row>
    <row r="287" spans="2:6" s="8" customFormat="1" x14ac:dyDescent="0.3">
      <c r="B287" s="9"/>
      <c r="F287" s="1"/>
    </row>
    <row r="288" spans="2:6" s="8" customFormat="1" x14ac:dyDescent="0.3">
      <c r="B288" s="9"/>
      <c r="F288" s="1"/>
    </row>
    <row r="289" spans="2:6" s="8" customFormat="1" x14ac:dyDescent="0.3">
      <c r="B289" s="9"/>
      <c r="F289" s="1"/>
    </row>
    <row r="290" spans="2:6" s="8" customFormat="1" x14ac:dyDescent="0.3">
      <c r="B290" s="9"/>
      <c r="F290" s="1"/>
    </row>
    <row r="291" spans="2:6" s="8" customFormat="1" x14ac:dyDescent="0.3">
      <c r="B291" s="9"/>
      <c r="F291" s="1"/>
    </row>
    <row r="292" spans="2:6" s="8" customFormat="1" x14ac:dyDescent="0.3">
      <c r="B292" s="9"/>
      <c r="F292" s="1"/>
    </row>
    <row r="293" spans="2:6" s="8" customFormat="1" x14ac:dyDescent="0.3">
      <c r="B293" s="9"/>
      <c r="F293" s="1"/>
    </row>
    <row r="294" spans="2:6" s="8" customFormat="1" x14ac:dyDescent="0.3">
      <c r="B294" s="9"/>
      <c r="F294" s="1"/>
    </row>
    <row r="295" spans="2:6" s="8" customFormat="1" x14ac:dyDescent="0.3">
      <c r="B295" s="9"/>
      <c r="F295" s="1"/>
    </row>
    <row r="296" spans="2:6" s="8" customFormat="1" x14ac:dyDescent="0.3">
      <c r="B296" s="9"/>
      <c r="F296" s="1"/>
    </row>
    <row r="297" spans="2:6" s="8" customFormat="1" x14ac:dyDescent="0.3">
      <c r="B297" s="9"/>
      <c r="F297" s="1"/>
    </row>
    <row r="298" spans="2:6" s="8" customFormat="1" x14ac:dyDescent="0.3">
      <c r="B298" s="9"/>
      <c r="F298" s="1"/>
    </row>
    <row r="299" spans="2:6" s="8" customFormat="1" x14ac:dyDescent="0.3">
      <c r="B299" s="9"/>
      <c r="F299" s="1"/>
    </row>
    <row r="300" spans="2:6" s="8" customFormat="1" x14ac:dyDescent="0.3">
      <c r="B300" s="9"/>
      <c r="F300" s="1"/>
    </row>
    <row r="301" spans="2:6" s="8" customFormat="1" x14ac:dyDescent="0.3">
      <c r="B301" s="9"/>
      <c r="F301" s="1"/>
    </row>
    <row r="302" spans="2:6" s="8" customFormat="1" x14ac:dyDescent="0.3">
      <c r="B302" s="9"/>
      <c r="F302" s="1"/>
    </row>
    <row r="303" spans="2:6" s="8" customFormat="1" x14ac:dyDescent="0.3">
      <c r="B303" s="9"/>
      <c r="F303" s="1"/>
    </row>
    <row r="304" spans="2:6" s="8" customFormat="1" x14ac:dyDescent="0.3">
      <c r="B304" s="9"/>
      <c r="F304" s="1"/>
    </row>
    <row r="305" spans="2:6" s="8" customFormat="1" x14ac:dyDescent="0.3">
      <c r="B305" s="9"/>
      <c r="F305" s="1"/>
    </row>
    <row r="306" spans="2:6" s="8" customFormat="1" x14ac:dyDescent="0.3">
      <c r="B306" s="9"/>
      <c r="F306" s="1"/>
    </row>
    <row r="307" spans="2:6" s="8" customFormat="1" x14ac:dyDescent="0.3">
      <c r="B307" s="9"/>
      <c r="F307" s="1"/>
    </row>
    <row r="308" spans="2:6" s="8" customFormat="1" x14ac:dyDescent="0.3">
      <c r="B308" s="9"/>
      <c r="F308" s="1"/>
    </row>
    <row r="309" spans="2:6" s="8" customFormat="1" x14ac:dyDescent="0.3">
      <c r="B309" s="9"/>
      <c r="F309" s="1"/>
    </row>
    <row r="310" spans="2:6" s="8" customFormat="1" x14ac:dyDescent="0.3">
      <c r="B310" s="9"/>
      <c r="F310" s="1"/>
    </row>
    <row r="311" spans="2:6" s="8" customFormat="1" x14ac:dyDescent="0.3">
      <c r="B311" s="9"/>
      <c r="F311" s="1"/>
    </row>
    <row r="312" spans="2:6" s="8" customFormat="1" x14ac:dyDescent="0.3">
      <c r="B312" s="9"/>
      <c r="F312" s="1"/>
    </row>
    <row r="313" spans="2:6" s="8" customFormat="1" x14ac:dyDescent="0.3">
      <c r="B313" s="9"/>
      <c r="F313" s="1"/>
    </row>
    <row r="314" spans="2:6" s="8" customFormat="1" x14ac:dyDescent="0.3">
      <c r="B314" s="9"/>
      <c r="F314" s="1"/>
    </row>
    <row r="315" spans="2:6" s="8" customFormat="1" x14ac:dyDescent="0.3">
      <c r="B315" s="9"/>
      <c r="F315" s="1"/>
    </row>
    <row r="316" spans="2:6" s="8" customFormat="1" x14ac:dyDescent="0.3">
      <c r="B316" s="9"/>
      <c r="F316" s="1"/>
    </row>
    <row r="317" spans="2:6" s="8" customFormat="1" x14ac:dyDescent="0.3">
      <c r="B317" s="9"/>
      <c r="F317" s="1"/>
    </row>
    <row r="318" spans="2:6" s="8" customFormat="1" x14ac:dyDescent="0.3">
      <c r="B318" s="9"/>
      <c r="F318" s="1"/>
    </row>
    <row r="319" spans="2:6" s="8" customFormat="1" x14ac:dyDescent="0.3">
      <c r="B319" s="9"/>
      <c r="F319" s="1"/>
    </row>
    <row r="320" spans="2:6" s="8" customFormat="1" x14ac:dyDescent="0.3">
      <c r="B320" s="9"/>
      <c r="F320" s="1"/>
    </row>
    <row r="321" spans="2:6" s="8" customFormat="1" x14ac:dyDescent="0.3">
      <c r="B321" s="9"/>
      <c r="F321" s="1"/>
    </row>
    <row r="322" spans="2:6" s="8" customFormat="1" x14ac:dyDescent="0.3">
      <c r="B322" s="9"/>
      <c r="F322" s="1"/>
    </row>
    <row r="323" spans="2:6" s="8" customFormat="1" x14ac:dyDescent="0.3">
      <c r="B323" s="9"/>
      <c r="F323" s="1"/>
    </row>
    <row r="324" spans="2:6" s="8" customFormat="1" x14ac:dyDescent="0.3">
      <c r="B324" s="9"/>
      <c r="F324" s="1"/>
    </row>
    <row r="325" spans="2:6" s="8" customFormat="1" x14ac:dyDescent="0.3">
      <c r="B325" s="9"/>
      <c r="F325" s="1"/>
    </row>
    <row r="326" spans="2:6" s="8" customFormat="1" x14ac:dyDescent="0.3">
      <c r="B326" s="9"/>
      <c r="F326" s="1"/>
    </row>
    <row r="327" spans="2:6" s="8" customFormat="1" x14ac:dyDescent="0.3">
      <c r="B327" s="9"/>
      <c r="F327" s="1"/>
    </row>
    <row r="328" spans="2:6" s="8" customFormat="1" x14ac:dyDescent="0.3">
      <c r="B328" s="9"/>
      <c r="F328" s="1"/>
    </row>
    <row r="329" spans="2:6" s="8" customFormat="1" x14ac:dyDescent="0.3">
      <c r="B329" s="9"/>
      <c r="F329" s="1"/>
    </row>
    <row r="330" spans="2:6" s="8" customFormat="1" x14ac:dyDescent="0.3">
      <c r="B330" s="9"/>
      <c r="F330" s="1"/>
    </row>
    <row r="331" spans="2:6" s="8" customFormat="1" x14ac:dyDescent="0.3">
      <c r="B331" s="9"/>
      <c r="F331" s="1"/>
    </row>
    <row r="332" spans="2:6" s="8" customFormat="1" x14ac:dyDescent="0.3">
      <c r="B332" s="9"/>
      <c r="F332" s="1"/>
    </row>
    <row r="333" spans="2:6" s="8" customFormat="1" x14ac:dyDescent="0.3">
      <c r="B333" s="9"/>
      <c r="F333" s="1"/>
    </row>
    <row r="334" spans="2:6" s="8" customFormat="1" x14ac:dyDescent="0.3">
      <c r="B334" s="9"/>
      <c r="F334" s="1"/>
    </row>
    <row r="335" spans="2:6" s="8" customFormat="1" x14ac:dyDescent="0.3">
      <c r="B335" s="9"/>
      <c r="F335" s="1"/>
    </row>
    <row r="336" spans="2:6" s="8" customFormat="1" x14ac:dyDescent="0.3">
      <c r="B336" s="9"/>
      <c r="F336" s="1"/>
    </row>
    <row r="337" spans="2:6" s="8" customFormat="1" x14ac:dyDescent="0.3">
      <c r="B337" s="9"/>
      <c r="F337" s="1"/>
    </row>
    <row r="338" spans="2:6" s="8" customFormat="1" x14ac:dyDescent="0.3">
      <c r="B338" s="9"/>
      <c r="F338" s="1"/>
    </row>
    <row r="339" spans="2:6" s="8" customFormat="1" x14ac:dyDescent="0.3">
      <c r="B339" s="9"/>
      <c r="F339" s="1"/>
    </row>
    <row r="340" spans="2:6" s="8" customFormat="1" x14ac:dyDescent="0.3">
      <c r="B340" s="9"/>
      <c r="F340" s="1"/>
    </row>
    <row r="341" spans="2:6" s="8" customFormat="1" x14ac:dyDescent="0.3">
      <c r="B341" s="9"/>
      <c r="F341" s="1"/>
    </row>
    <row r="342" spans="2:6" s="8" customFormat="1" x14ac:dyDescent="0.3">
      <c r="B342" s="9"/>
      <c r="F342" s="1"/>
    </row>
    <row r="343" spans="2:6" s="8" customFormat="1" x14ac:dyDescent="0.3">
      <c r="B343" s="9"/>
      <c r="F343" s="1"/>
    </row>
    <row r="344" spans="2:6" s="8" customFormat="1" x14ac:dyDescent="0.3">
      <c r="B344" s="9"/>
      <c r="F344" s="1"/>
    </row>
    <row r="345" spans="2:6" s="8" customFormat="1" x14ac:dyDescent="0.3">
      <c r="B345" s="9"/>
      <c r="F345" s="1"/>
    </row>
    <row r="346" spans="2:6" s="8" customFormat="1" x14ac:dyDescent="0.3">
      <c r="B346" s="9"/>
      <c r="F346" s="1"/>
    </row>
    <row r="347" spans="2:6" s="8" customFormat="1" x14ac:dyDescent="0.3">
      <c r="B347" s="9"/>
      <c r="F347" s="1"/>
    </row>
    <row r="348" spans="2:6" s="8" customFormat="1" x14ac:dyDescent="0.3">
      <c r="B348" s="9"/>
      <c r="F348" s="1"/>
    </row>
    <row r="349" spans="2:6" s="8" customFormat="1" x14ac:dyDescent="0.3">
      <c r="B349" s="9"/>
      <c r="F349" s="1"/>
    </row>
    <row r="350" spans="2:6" s="8" customFormat="1" x14ac:dyDescent="0.3">
      <c r="B350" s="9"/>
      <c r="F350" s="1"/>
    </row>
    <row r="351" spans="2:6" s="8" customFormat="1" x14ac:dyDescent="0.3">
      <c r="B351" s="9"/>
      <c r="F351" s="1"/>
    </row>
    <row r="352" spans="2:6" s="8" customFormat="1" x14ac:dyDescent="0.3">
      <c r="B352" s="9"/>
      <c r="F352" s="1"/>
    </row>
    <row r="353" spans="2:6" s="8" customFormat="1" x14ac:dyDescent="0.3">
      <c r="B353" s="9"/>
      <c r="F353" s="1"/>
    </row>
    <row r="354" spans="2:6" s="8" customFormat="1" x14ac:dyDescent="0.3">
      <c r="B354" s="9"/>
      <c r="F354" s="1"/>
    </row>
    <row r="355" spans="2:6" s="8" customFormat="1" x14ac:dyDescent="0.3">
      <c r="B355" s="9"/>
      <c r="F355" s="1"/>
    </row>
    <row r="356" spans="2:6" s="8" customFormat="1" x14ac:dyDescent="0.3">
      <c r="B356" s="9"/>
      <c r="F356" s="1"/>
    </row>
    <row r="357" spans="2:6" s="8" customFormat="1" x14ac:dyDescent="0.3">
      <c r="B357" s="9"/>
      <c r="F357" s="1"/>
    </row>
    <row r="358" spans="2:6" s="8" customFormat="1" x14ac:dyDescent="0.3">
      <c r="B358" s="9"/>
      <c r="F358" s="1"/>
    </row>
    <row r="359" spans="2:6" s="8" customFormat="1" x14ac:dyDescent="0.3">
      <c r="B359" s="9"/>
      <c r="F359" s="1"/>
    </row>
    <row r="360" spans="2:6" s="8" customFormat="1" x14ac:dyDescent="0.3">
      <c r="B360" s="9"/>
      <c r="F360" s="1"/>
    </row>
    <row r="361" spans="2:6" s="8" customFormat="1" x14ac:dyDescent="0.3">
      <c r="B361" s="9"/>
      <c r="F361" s="1"/>
    </row>
    <row r="362" spans="2:6" s="8" customFormat="1" x14ac:dyDescent="0.3">
      <c r="B362" s="9"/>
      <c r="F362" s="1"/>
    </row>
    <row r="363" spans="2:6" s="8" customFormat="1" x14ac:dyDescent="0.3">
      <c r="B363" s="9"/>
      <c r="F363" s="1"/>
    </row>
    <row r="364" spans="2:6" s="8" customFormat="1" x14ac:dyDescent="0.3">
      <c r="B364" s="9"/>
      <c r="F364" s="1"/>
    </row>
    <row r="365" spans="2:6" s="8" customFormat="1" x14ac:dyDescent="0.3">
      <c r="B365" s="9"/>
      <c r="F365" s="1"/>
    </row>
    <row r="366" spans="2:6" s="8" customFormat="1" x14ac:dyDescent="0.3">
      <c r="B366" s="9"/>
      <c r="F366" s="1"/>
    </row>
    <row r="367" spans="2:6" s="8" customFormat="1" x14ac:dyDescent="0.3">
      <c r="B367" s="9"/>
      <c r="F367" s="1"/>
    </row>
    <row r="368" spans="2:6" s="8" customFormat="1" x14ac:dyDescent="0.3">
      <c r="B368" s="9"/>
      <c r="F368" s="1"/>
    </row>
    <row r="369" spans="2:6" s="8" customFormat="1" x14ac:dyDescent="0.3">
      <c r="B369" s="9"/>
      <c r="F369" s="1"/>
    </row>
    <row r="370" spans="2:6" s="8" customFormat="1" x14ac:dyDescent="0.3">
      <c r="B370" s="9"/>
      <c r="F370" s="1"/>
    </row>
    <row r="371" spans="2:6" s="8" customFormat="1" x14ac:dyDescent="0.3">
      <c r="B371" s="9"/>
      <c r="F371" s="1"/>
    </row>
    <row r="372" spans="2:6" s="8" customFormat="1" x14ac:dyDescent="0.3">
      <c r="B372" s="9"/>
      <c r="F372" s="1"/>
    </row>
    <row r="373" spans="2:6" s="8" customFormat="1" x14ac:dyDescent="0.3">
      <c r="B373" s="9"/>
      <c r="F373" s="1"/>
    </row>
    <row r="374" spans="2:6" s="8" customFormat="1" x14ac:dyDescent="0.3">
      <c r="B374" s="9"/>
      <c r="F374" s="1"/>
    </row>
    <row r="375" spans="2:6" s="8" customFormat="1" x14ac:dyDescent="0.3">
      <c r="B375" s="9"/>
      <c r="F375" s="1"/>
    </row>
    <row r="376" spans="2:6" s="8" customFormat="1" x14ac:dyDescent="0.3">
      <c r="B376" s="9"/>
      <c r="F376" s="1"/>
    </row>
    <row r="377" spans="2:6" s="8" customFormat="1" x14ac:dyDescent="0.3">
      <c r="B377" s="9"/>
      <c r="F377" s="1"/>
    </row>
    <row r="378" spans="2:6" s="8" customFormat="1" x14ac:dyDescent="0.3">
      <c r="B378" s="9"/>
      <c r="F378" s="1"/>
    </row>
    <row r="379" spans="2:6" s="8" customFormat="1" x14ac:dyDescent="0.3">
      <c r="B379" s="9"/>
      <c r="F379" s="1"/>
    </row>
    <row r="380" spans="2:6" s="8" customFormat="1" x14ac:dyDescent="0.3">
      <c r="B380" s="9"/>
      <c r="F380" s="1"/>
    </row>
    <row r="381" spans="2:6" s="8" customFormat="1" x14ac:dyDescent="0.3">
      <c r="B381" s="9"/>
      <c r="F381" s="1"/>
    </row>
    <row r="382" spans="2:6" s="8" customFormat="1" x14ac:dyDescent="0.3">
      <c r="B382" s="9"/>
      <c r="F382" s="1"/>
    </row>
    <row r="383" spans="2:6" s="8" customFormat="1" x14ac:dyDescent="0.3">
      <c r="B383" s="9"/>
      <c r="F383" s="1"/>
    </row>
    <row r="384" spans="2:6" s="8" customFormat="1" x14ac:dyDescent="0.3">
      <c r="B384" s="9"/>
      <c r="F384" s="1"/>
    </row>
    <row r="385" spans="2:6" s="8" customFormat="1" x14ac:dyDescent="0.3">
      <c r="B385" s="9"/>
      <c r="F385" s="1"/>
    </row>
    <row r="386" spans="2:6" s="8" customFormat="1" x14ac:dyDescent="0.3">
      <c r="B386" s="9"/>
      <c r="F386" s="1"/>
    </row>
    <row r="387" spans="2:6" s="8" customFormat="1" x14ac:dyDescent="0.3">
      <c r="B387" s="9"/>
      <c r="F387" s="1"/>
    </row>
    <row r="388" spans="2:6" s="8" customFormat="1" x14ac:dyDescent="0.3">
      <c r="B388" s="9"/>
      <c r="F388" s="1"/>
    </row>
    <row r="389" spans="2:6" s="8" customFormat="1" x14ac:dyDescent="0.3">
      <c r="B389" s="9"/>
      <c r="F389" s="1"/>
    </row>
    <row r="390" spans="2:6" s="8" customFormat="1" x14ac:dyDescent="0.3">
      <c r="B390" s="9"/>
      <c r="F390" s="1"/>
    </row>
    <row r="391" spans="2:6" s="8" customFormat="1" x14ac:dyDescent="0.3">
      <c r="B391" s="9"/>
      <c r="F391" s="1"/>
    </row>
    <row r="392" spans="2:6" s="8" customFormat="1" x14ac:dyDescent="0.3">
      <c r="B392" s="9"/>
      <c r="F392" s="1"/>
    </row>
    <row r="393" spans="2:6" s="8" customFormat="1" x14ac:dyDescent="0.3">
      <c r="B393" s="9"/>
      <c r="F393" s="1"/>
    </row>
    <row r="394" spans="2:6" s="8" customFormat="1" x14ac:dyDescent="0.3">
      <c r="B394" s="9"/>
      <c r="F394" s="1"/>
    </row>
    <row r="395" spans="2:6" s="8" customFormat="1" x14ac:dyDescent="0.3">
      <c r="B395" s="9"/>
      <c r="F395" s="1"/>
    </row>
    <row r="396" spans="2:6" s="8" customFormat="1" x14ac:dyDescent="0.3">
      <c r="B396" s="9"/>
      <c r="F396" s="1"/>
    </row>
    <row r="397" spans="2:6" s="8" customFormat="1" x14ac:dyDescent="0.3">
      <c r="B397" s="9"/>
      <c r="F397" s="1"/>
    </row>
    <row r="398" spans="2:6" s="8" customFormat="1" x14ac:dyDescent="0.3">
      <c r="B398" s="9"/>
      <c r="F398" s="1"/>
    </row>
    <row r="399" spans="2:6" s="8" customFormat="1" x14ac:dyDescent="0.3">
      <c r="B399" s="9"/>
      <c r="F399" s="1"/>
    </row>
    <row r="400" spans="2:6" s="8" customFormat="1" x14ac:dyDescent="0.3">
      <c r="B400" s="9"/>
      <c r="F400" s="1"/>
    </row>
    <row r="401" spans="2:6" s="8" customFormat="1" x14ac:dyDescent="0.3">
      <c r="B401" s="9"/>
      <c r="F401" s="1"/>
    </row>
    <row r="402" spans="2:6" s="8" customFormat="1" x14ac:dyDescent="0.3">
      <c r="B402" s="9"/>
      <c r="F402" s="1"/>
    </row>
    <row r="403" spans="2:6" s="8" customFormat="1" x14ac:dyDescent="0.3">
      <c r="B403" s="9"/>
      <c r="F403" s="1"/>
    </row>
    <row r="404" spans="2:6" s="8" customFormat="1" x14ac:dyDescent="0.3">
      <c r="B404" s="9"/>
      <c r="F404" s="1"/>
    </row>
    <row r="405" spans="2:6" s="8" customFormat="1" x14ac:dyDescent="0.3">
      <c r="B405" s="9"/>
      <c r="F405" s="1"/>
    </row>
    <row r="406" spans="2:6" s="8" customFormat="1" x14ac:dyDescent="0.3">
      <c r="B406" s="9"/>
      <c r="F406" s="1"/>
    </row>
    <row r="407" spans="2:6" s="8" customFormat="1" x14ac:dyDescent="0.3">
      <c r="B407" s="9"/>
      <c r="F407" s="1"/>
    </row>
    <row r="408" spans="2:6" s="8" customFormat="1" x14ac:dyDescent="0.3">
      <c r="B408" s="9"/>
      <c r="F408" s="1"/>
    </row>
    <row r="409" spans="2:6" s="8" customFormat="1" x14ac:dyDescent="0.3">
      <c r="B409" s="9"/>
      <c r="F409" s="1"/>
    </row>
    <row r="410" spans="2:6" s="8" customFormat="1" x14ac:dyDescent="0.3">
      <c r="B410" s="9"/>
      <c r="F410" s="1"/>
    </row>
    <row r="411" spans="2:6" s="8" customFormat="1" x14ac:dyDescent="0.3">
      <c r="B411" s="9"/>
      <c r="F411" s="1"/>
    </row>
    <row r="412" spans="2:6" s="8" customFormat="1" x14ac:dyDescent="0.3">
      <c r="B412" s="9"/>
      <c r="F412" s="1"/>
    </row>
    <row r="413" spans="2:6" s="8" customFormat="1" x14ac:dyDescent="0.3">
      <c r="B413" s="9"/>
      <c r="F413" s="1"/>
    </row>
    <row r="414" spans="2:6" s="8" customFormat="1" x14ac:dyDescent="0.3">
      <c r="B414" s="9"/>
      <c r="F414" s="1"/>
    </row>
    <row r="415" spans="2:6" s="8" customFormat="1" x14ac:dyDescent="0.3">
      <c r="B415" s="9"/>
      <c r="F415" s="1"/>
    </row>
    <row r="416" spans="2:6" s="8" customFormat="1" x14ac:dyDescent="0.3">
      <c r="B416" s="9"/>
      <c r="F416" s="1"/>
    </row>
  </sheetData>
  <mergeCells count="93">
    <mergeCell ref="G4:G5"/>
    <mergeCell ref="H4:H5"/>
    <mergeCell ref="I4:I5"/>
    <mergeCell ref="G6:G7"/>
    <mergeCell ref="H6:H7"/>
    <mergeCell ref="I6:I7"/>
    <mergeCell ref="G8:G9"/>
    <mergeCell ref="H8:H9"/>
    <mergeCell ref="I8:I9"/>
    <mergeCell ref="G10:G11"/>
    <mergeCell ref="H10:H11"/>
    <mergeCell ref="I10:I11"/>
    <mergeCell ref="G12:G13"/>
    <mergeCell ref="H12:H13"/>
    <mergeCell ref="I12:I13"/>
    <mergeCell ref="G14:G15"/>
    <mergeCell ref="H14:H15"/>
    <mergeCell ref="I14:I15"/>
    <mergeCell ref="G16:G17"/>
    <mergeCell ref="H16:H17"/>
    <mergeCell ref="I16:I17"/>
    <mergeCell ref="G18:G19"/>
    <mergeCell ref="H18:H19"/>
    <mergeCell ref="I18:I19"/>
    <mergeCell ref="H29:H30"/>
    <mergeCell ref="I29:I30"/>
    <mergeCell ref="G23:G24"/>
    <mergeCell ref="H23:H24"/>
    <mergeCell ref="I23:I24"/>
    <mergeCell ref="G25:G26"/>
    <mergeCell ref="H25:H26"/>
    <mergeCell ref="I25:I26"/>
    <mergeCell ref="J4:J5"/>
    <mergeCell ref="K4:K5"/>
    <mergeCell ref="L4:L5"/>
    <mergeCell ref="J6:J7"/>
    <mergeCell ref="K6:K7"/>
    <mergeCell ref="L6:L7"/>
    <mergeCell ref="J12:J13"/>
    <mergeCell ref="K12:K13"/>
    <mergeCell ref="L12:L13"/>
    <mergeCell ref="G35:G36"/>
    <mergeCell ref="H35:H36"/>
    <mergeCell ref="I35:I36"/>
    <mergeCell ref="G31:G32"/>
    <mergeCell ref="H31:H32"/>
    <mergeCell ref="I31:I32"/>
    <mergeCell ref="G33:G34"/>
    <mergeCell ref="H33:H34"/>
    <mergeCell ref="I33:I34"/>
    <mergeCell ref="G27:G28"/>
    <mergeCell ref="H27:H28"/>
    <mergeCell ref="I27:I28"/>
    <mergeCell ref="G29:G30"/>
    <mergeCell ref="K8:K9"/>
    <mergeCell ref="L8:L9"/>
    <mergeCell ref="J10:J11"/>
    <mergeCell ref="K10:K11"/>
    <mergeCell ref="L10:L11"/>
    <mergeCell ref="J8:J9"/>
    <mergeCell ref="K23:K24"/>
    <mergeCell ref="L23:L24"/>
    <mergeCell ref="J14:J15"/>
    <mergeCell ref="K14:K15"/>
    <mergeCell ref="L14:L15"/>
    <mergeCell ref="J16:J17"/>
    <mergeCell ref="K16:K17"/>
    <mergeCell ref="L16:L17"/>
    <mergeCell ref="J35:J36"/>
    <mergeCell ref="K35:K36"/>
    <mergeCell ref="L35:L36"/>
    <mergeCell ref="J29:J30"/>
    <mergeCell ref="K29:K30"/>
    <mergeCell ref="L29:L30"/>
    <mergeCell ref="J31:J32"/>
    <mergeCell ref="K31:K32"/>
    <mergeCell ref="L31:L32"/>
    <mergeCell ref="M23:M24"/>
    <mergeCell ref="M25:M26"/>
    <mergeCell ref="M16:M17"/>
    <mergeCell ref="J33:J34"/>
    <mergeCell ref="K33:K34"/>
    <mergeCell ref="L33:L34"/>
    <mergeCell ref="J25:J26"/>
    <mergeCell ref="K25:K26"/>
    <mergeCell ref="L25:L26"/>
    <mergeCell ref="J27:J28"/>
    <mergeCell ref="K27:K28"/>
    <mergeCell ref="L27:L28"/>
    <mergeCell ref="J18:J19"/>
    <mergeCell ref="K18:K19"/>
    <mergeCell ref="L18:L19"/>
    <mergeCell ref="J23:J24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599F-77C6-41A6-9A59-BC3805DF3EDA}">
  <sheetPr>
    <tabColor theme="5" tint="0.79998168889431442"/>
  </sheetPr>
  <dimension ref="A1:S96"/>
  <sheetViews>
    <sheetView showGridLines="0" zoomScaleNormal="100" workbookViewId="0"/>
  </sheetViews>
  <sheetFormatPr defaultColWidth="11" defaultRowHeight="15" x14ac:dyDescent="0.3"/>
  <cols>
    <col min="1" max="1" width="8.625" style="8" customWidth="1"/>
    <col min="2" max="2" width="33.5" style="8" customWidth="1"/>
    <col min="3" max="3" width="15.125" style="8" customWidth="1"/>
    <col min="4" max="10" width="12.5" style="8" customWidth="1"/>
    <col min="11" max="11" width="4.625" style="8" hidden="1" customWidth="1"/>
    <col min="12" max="13" width="2.375" style="8" hidden="1" customWidth="1"/>
    <col min="14" max="14" width="11.875" style="8" hidden="1" customWidth="1"/>
    <col min="15" max="16384" width="11" style="8"/>
  </cols>
  <sheetData>
    <row r="1" spans="1:9" x14ac:dyDescent="0.3">
      <c r="B1" s="3" t="s">
        <v>114</v>
      </c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9" ht="5.0999999999999996" customHeight="1" x14ac:dyDescent="0.3">
      <c r="C2" s="43"/>
      <c r="D2" s="43"/>
      <c r="E2" s="19"/>
      <c r="F2" s="19"/>
      <c r="G2" s="44"/>
      <c r="H2" s="44"/>
      <c r="I2" s="45"/>
    </row>
    <row r="3" spans="1:9" x14ac:dyDescent="0.3">
      <c r="A3" s="8" t="s">
        <v>115</v>
      </c>
      <c r="C3" s="18"/>
      <c r="D3" s="66">
        <f>CAPEX!E3</f>
        <v>0</v>
      </c>
      <c r="E3" s="66">
        <f>CAPEX!F3</f>
        <v>600</v>
      </c>
      <c r="F3" s="66">
        <f>CAPEX!G3</f>
        <v>0</v>
      </c>
      <c r="G3" s="116"/>
      <c r="H3" s="116"/>
      <c r="I3" s="116"/>
    </row>
    <row r="4" spans="1:9" x14ac:dyDescent="0.3">
      <c r="A4" s="8" t="s">
        <v>116</v>
      </c>
      <c r="C4" s="18"/>
      <c r="D4" s="66">
        <f>CAPEX!E4</f>
        <v>35</v>
      </c>
      <c r="E4" s="66">
        <f>CAPEX!F4</f>
        <v>0</v>
      </c>
      <c r="F4" s="66">
        <f>CAPEX!G4</f>
        <v>50</v>
      </c>
      <c r="G4" s="116"/>
      <c r="H4" s="116"/>
      <c r="I4" s="116"/>
    </row>
    <row r="5" spans="1:9" x14ac:dyDescent="0.3">
      <c r="A5" s="8" t="s">
        <v>117</v>
      </c>
      <c r="C5" s="18"/>
      <c r="D5" s="66">
        <f>CAPEX!E5</f>
        <v>115</v>
      </c>
      <c r="E5" s="66">
        <f>CAPEX!F5</f>
        <v>440</v>
      </c>
      <c r="F5" s="66">
        <f>CAPEX!G5</f>
        <v>100</v>
      </c>
      <c r="G5" s="116"/>
      <c r="H5" s="116"/>
      <c r="I5" s="116"/>
    </row>
    <row r="6" spans="1:9" x14ac:dyDescent="0.3">
      <c r="A6" s="8" t="s">
        <v>118</v>
      </c>
      <c r="C6" s="18"/>
      <c r="D6" s="66">
        <f>CAPEX!E6</f>
        <v>500</v>
      </c>
      <c r="E6" s="66">
        <f>CAPEX!F6</f>
        <v>0</v>
      </c>
      <c r="F6" s="66">
        <f>CAPEX!G6</f>
        <v>0</v>
      </c>
      <c r="G6" s="124"/>
      <c r="H6" s="124"/>
      <c r="I6" s="124"/>
    </row>
    <row r="7" spans="1:9" ht="15.75" thickBot="1" x14ac:dyDescent="0.35">
      <c r="A7" s="27" t="s">
        <v>78</v>
      </c>
      <c r="B7" s="27"/>
      <c r="C7" s="39"/>
      <c r="D7" s="108">
        <f>SUM(D3:D6)</f>
        <v>650</v>
      </c>
      <c r="E7" s="108">
        <f t="shared" ref="E7:I7" si="0">SUM(E3:E6)</f>
        <v>1040</v>
      </c>
      <c r="F7" s="108">
        <f t="shared" si="0"/>
        <v>150</v>
      </c>
      <c r="G7" s="108">
        <f t="shared" si="0"/>
        <v>0</v>
      </c>
      <c r="H7" s="108">
        <f t="shared" si="0"/>
        <v>0</v>
      </c>
      <c r="I7" s="108">
        <f t="shared" si="0"/>
        <v>0</v>
      </c>
    </row>
    <row r="8" spans="1:9" ht="15.75" thickTop="1" x14ac:dyDescent="0.3">
      <c r="C8" s="18"/>
      <c r="D8" s="66"/>
      <c r="E8" s="66"/>
      <c r="F8" s="66"/>
      <c r="G8" s="98"/>
      <c r="H8" s="98"/>
      <c r="I8" s="98"/>
    </row>
    <row r="9" spans="1:9" x14ac:dyDescent="0.3">
      <c r="A9" s="16" t="s">
        <v>119</v>
      </c>
      <c r="B9" s="16"/>
      <c r="C9" s="17"/>
      <c r="D9" s="78">
        <f t="shared" ref="D9:I9" si="1">+D7</f>
        <v>650</v>
      </c>
      <c r="E9" s="78">
        <f t="shared" si="1"/>
        <v>1040</v>
      </c>
      <c r="F9" s="78">
        <f t="shared" si="1"/>
        <v>150</v>
      </c>
      <c r="G9" s="78">
        <f t="shared" si="1"/>
        <v>0</v>
      </c>
      <c r="H9" s="78">
        <f t="shared" si="1"/>
        <v>0</v>
      </c>
      <c r="I9" s="78">
        <f t="shared" si="1"/>
        <v>0</v>
      </c>
    </row>
    <row r="11" spans="1:9" x14ac:dyDescent="0.3">
      <c r="E11" s="40"/>
      <c r="G11" s="41"/>
      <c r="H11" s="41"/>
      <c r="I11" s="41"/>
    </row>
    <row r="12" spans="1:9" x14ac:dyDescent="0.3">
      <c r="E12" s="40"/>
      <c r="G12" s="41"/>
      <c r="H12" s="41"/>
      <c r="I12" s="41"/>
    </row>
    <row r="13" spans="1:9" x14ac:dyDescent="0.3">
      <c r="E13" s="40"/>
      <c r="G13" s="41"/>
      <c r="H13" s="41"/>
      <c r="I13" s="41"/>
    </row>
    <row r="17" spans="1:18" x14ac:dyDescent="0.3">
      <c r="A17" s="264" t="s">
        <v>120</v>
      </c>
      <c r="B17" s="264"/>
      <c r="C17" s="264"/>
      <c r="D17" s="264"/>
      <c r="E17" s="264"/>
      <c r="F17" s="264"/>
      <c r="G17" s="264"/>
      <c r="H17" s="264"/>
      <c r="I17" s="264"/>
    </row>
    <row r="18" spans="1:18" x14ac:dyDescent="0.3">
      <c r="A18" s="3"/>
      <c r="B18" s="3" t="s">
        <v>121</v>
      </c>
      <c r="C18" s="46" t="s">
        <v>122</v>
      </c>
      <c r="D18" s="46" t="s">
        <v>123</v>
      </c>
      <c r="E18" s="46" t="s">
        <v>124</v>
      </c>
      <c r="F18" s="46" t="s">
        <v>125</v>
      </c>
      <c r="G18" s="28" t="s">
        <v>7</v>
      </c>
      <c r="H18" s="28" t="s">
        <v>8</v>
      </c>
      <c r="I18" s="29" t="s">
        <v>9</v>
      </c>
    </row>
    <row r="19" spans="1:18" x14ac:dyDescent="0.3">
      <c r="A19" s="48"/>
      <c r="B19" s="48" t="s">
        <v>115</v>
      </c>
      <c r="C19" s="8">
        <v>0</v>
      </c>
      <c r="D19" s="66">
        <v>600000</v>
      </c>
      <c r="E19" s="103">
        <v>8</v>
      </c>
      <c r="F19" s="66">
        <f>+D19/E19</f>
        <v>75000</v>
      </c>
      <c r="G19" s="118">
        <f>CAPEX!H19</f>
        <v>75000</v>
      </c>
      <c r="H19" s="118">
        <f>CAPEX!I19</f>
        <v>75000</v>
      </c>
      <c r="I19" s="118">
        <f>IF(M19-1&lt;0,0,$F19)</f>
        <v>75000</v>
      </c>
      <c r="J19" s="47"/>
      <c r="K19" s="8">
        <f t="shared" ref="K19:K82" si="2">E19-C19-1</f>
        <v>7</v>
      </c>
      <c r="L19" s="8">
        <f>K19-1</f>
        <v>6</v>
      </c>
      <c r="M19" s="8">
        <f>L19-1</f>
        <v>5</v>
      </c>
      <c r="N19" s="66">
        <f>MAX(D19-(D19-F19*(E19-C19-1)),0)</f>
        <v>525000</v>
      </c>
      <c r="O19" s="66"/>
      <c r="P19" s="70"/>
      <c r="Q19" s="70"/>
      <c r="R19" s="18"/>
    </row>
    <row r="20" spans="1:18" x14ac:dyDescent="0.3">
      <c r="A20" s="64"/>
      <c r="B20" s="48" t="s">
        <v>115</v>
      </c>
      <c r="C20" s="8">
        <v>3</v>
      </c>
      <c r="D20" s="66">
        <v>180000</v>
      </c>
      <c r="E20" s="103">
        <v>3</v>
      </c>
      <c r="F20" s="66">
        <f>+D20/E20</f>
        <v>60000</v>
      </c>
      <c r="G20" s="118">
        <f>CAPEX!H20</f>
        <v>0</v>
      </c>
      <c r="H20" s="118">
        <f>CAPEX!I20</f>
        <v>0</v>
      </c>
      <c r="I20" s="118">
        <f t="shared" ref="I20:I83" si="3">IF(M20-1&lt;0,0,$F20)</f>
        <v>0</v>
      </c>
      <c r="J20" s="47"/>
      <c r="K20" s="8">
        <f t="shared" si="2"/>
        <v>-1</v>
      </c>
      <c r="L20" s="8">
        <f>K20-1</f>
        <v>-2</v>
      </c>
      <c r="M20" s="8">
        <f>L20-1</f>
        <v>-3</v>
      </c>
      <c r="N20" s="66">
        <f t="shared" ref="N20:N83" si="4">MAX(D20-(D20-F20*(E20-C20-1)),0)</f>
        <v>0</v>
      </c>
      <c r="O20" s="66"/>
      <c r="P20" s="70"/>
      <c r="Q20" s="70"/>
      <c r="R20" s="18"/>
    </row>
    <row r="21" spans="1:18" x14ac:dyDescent="0.3">
      <c r="B21" s="8" t="s">
        <v>116</v>
      </c>
      <c r="C21" s="8">
        <v>11</v>
      </c>
      <c r="D21" s="66">
        <v>942.36</v>
      </c>
      <c r="E21" s="103">
        <v>13</v>
      </c>
      <c r="F21" s="66">
        <f t="shared" ref="F21:F83" si="5">+D21/E21</f>
        <v>72.489230769230772</v>
      </c>
      <c r="G21" s="118">
        <f>CAPEX!H21</f>
        <v>72.489230769230772</v>
      </c>
      <c r="H21" s="118">
        <f>CAPEX!I21</f>
        <v>0</v>
      </c>
      <c r="I21" s="118">
        <f t="shared" si="3"/>
        <v>0</v>
      </c>
      <c r="J21" s="47"/>
      <c r="K21" s="8">
        <f t="shared" si="2"/>
        <v>1</v>
      </c>
      <c r="L21" s="8">
        <f t="shared" ref="L21:M36" si="6">K21-1</f>
        <v>0</v>
      </c>
      <c r="M21" s="8">
        <f t="shared" si="6"/>
        <v>-1</v>
      </c>
      <c r="N21" s="66">
        <f t="shared" si="4"/>
        <v>72.489230769230744</v>
      </c>
      <c r="O21" s="66"/>
      <c r="P21" s="70"/>
      <c r="Q21" s="70"/>
      <c r="R21" s="18"/>
    </row>
    <row r="22" spans="1:18" x14ac:dyDescent="0.3">
      <c r="B22" s="8" t="s">
        <v>116</v>
      </c>
      <c r="C22" s="8">
        <v>11</v>
      </c>
      <c r="D22" s="66">
        <v>942.36</v>
      </c>
      <c r="E22" s="103">
        <v>13</v>
      </c>
      <c r="F22" s="66">
        <f>+D22/E22</f>
        <v>72.489230769230772</v>
      </c>
      <c r="G22" s="118">
        <f>CAPEX!H22</f>
        <v>72.489230769230772</v>
      </c>
      <c r="H22" s="118">
        <f>CAPEX!I22</f>
        <v>0</v>
      </c>
      <c r="I22" s="118">
        <f t="shared" si="3"/>
        <v>0</v>
      </c>
      <c r="J22" s="47"/>
      <c r="K22" s="8">
        <f t="shared" si="2"/>
        <v>1</v>
      </c>
      <c r="L22" s="8">
        <f t="shared" si="6"/>
        <v>0</v>
      </c>
      <c r="M22" s="8">
        <f t="shared" si="6"/>
        <v>-1</v>
      </c>
      <c r="N22" s="66">
        <f t="shared" si="4"/>
        <v>72.489230769230744</v>
      </c>
      <c r="O22" s="66"/>
      <c r="P22" s="70"/>
      <c r="Q22" s="70"/>
      <c r="R22" s="18"/>
    </row>
    <row r="23" spans="1:18" x14ac:dyDescent="0.3">
      <c r="B23" s="8" t="s">
        <v>116</v>
      </c>
      <c r="C23" s="8">
        <v>11</v>
      </c>
      <c r="D23" s="66">
        <v>942.36</v>
      </c>
      <c r="E23" s="103">
        <v>13</v>
      </c>
      <c r="F23" s="66">
        <f t="shared" si="5"/>
        <v>72.489230769230772</v>
      </c>
      <c r="G23" s="118">
        <f>CAPEX!H23</f>
        <v>72.489230769230772</v>
      </c>
      <c r="H23" s="118">
        <f>CAPEX!I23</f>
        <v>0</v>
      </c>
      <c r="I23" s="118">
        <f t="shared" si="3"/>
        <v>0</v>
      </c>
      <c r="J23" s="47"/>
      <c r="K23" s="8">
        <f t="shared" si="2"/>
        <v>1</v>
      </c>
      <c r="L23" s="8">
        <f t="shared" si="6"/>
        <v>0</v>
      </c>
      <c r="M23" s="8">
        <f t="shared" si="6"/>
        <v>-1</v>
      </c>
      <c r="N23" s="66">
        <f t="shared" si="4"/>
        <v>72.489230769230744</v>
      </c>
      <c r="O23" s="66"/>
      <c r="P23" s="70"/>
      <c r="Q23" s="70"/>
      <c r="R23" s="18"/>
    </row>
    <row r="24" spans="1:18" x14ac:dyDescent="0.3">
      <c r="B24" s="8" t="s">
        <v>116</v>
      </c>
      <c r="C24" s="8">
        <v>11</v>
      </c>
      <c r="D24" s="66">
        <v>942.36</v>
      </c>
      <c r="E24" s="103">
        <v>13</v>
      </c>
      <c r="F24" s="66">
        <f t="shared" si="5"/>
        <v>72.489230769230772</v>
      </c>
      <c r="G24" s="118">
        <f>CAPEX!H24</f>
        <v>72.489230769230772</v>
      </c>
      <c r="H24" s="118">
        <f>CAPEX!I24</f>
        <v>0</v>
      </c>
      <c r="I24" s="118">
        <f t="shared" si="3"/>
        <v>0</v>
      </c>
      <c r="J24" s="47"/>
      <c r="K24" s="8">
        <f t="shared" si="2"/>
        <v>1</v>
      </c>
      <c r="L24" s="8">
        <f t="shared" si="6"/>
        <v>0</v>
      </c>
      <c r="M24" s="8">
        <f t="shared" si="6"/>
        <v>-1</v>
      </c>
      <c r="N24" s="66">
        <f t="shared" si="4"/>
        <v>72.489230769230744</v>
      </c>
      <c r="O24" s="66"/>
      <c r="P24" s="70"/>
      <c r="Q24" s="70"/>
      <c r="R24" s="18"/>
    </row>
    <row r="25" spans="1:18" x14ac:dyDescent="0.3">
      <c r="B25" s="8" t="s">
        <v>116</v>
      </c>
      <c r="C25" s="8">
        <v>11</v>
      </c>
      <c r="D25" s="66">
        <v>942.36</v>
      </c>
      <c r="E25" s="103">
        <v>13</v>
      </c>
      <c r="F25" s="66">
        <f t="shared" si="5"/>
        <v>72.489230769230772</v>
      </c>
      <c r="G25" s="118">
        <f>CAPEX!H25</f>
        <v>72.489230769230772</v>
      </c>
      <c r="H25" s="118">
        <f>CAPEX!I25</f>
        <v>0</v>
      </c>
      <c r="I25" s="118">
        <f t="shared" si="3"/>
        <v>0</v>
      </c>
      <c r="J25" s="47"/>
      <c r="K25" s="8">
        <f t="shared" si="2"/>
        <v>1</v>
      </c>
      <c r="L25" s="8">
        <f t="shared" si="6"/>
        <v>0</v>
      </c>
      <c r="M25" s="8">
        <f t="shared" si="6"/>
        <v>-1</v>
      </c>
      <c r="N25" s="66">
        <f t="shared" si="4"/>
        <v>72.489230769230744</v>
      </c>
      <c r="O25" s="66"/>
      <c r="P25" s="70"/>
      <c r="Q25" s="70"/>
      <c r="R25" s="18"/>
    </row>
    <row r="26" spans="1:18" x14ac:dyDescent="0.3">
      <c r="B26" s="8" t="s">
        <v>116</v>
      </c>
      <c r="C26" s="8">
        <v>5</v>
      </c>
      <c r="D26" s="66">
        <v>7786.8</v>
      </c>
      <c r="E26" s="103">
        <v>10</v>
      </c>
      <c r="F26" s="66">
        <f t="shared" si="5"/>
        <v>778.68000000000006</v>
      </c>
      <c r="G26" s="118">
        <f>CAPEX!H26</f>
        <v>778.68000000000006</v>
      </c>
      <c r="H26" s="118">
        <f>CAPEX!I26</f>
        <v>778.68000000000006</v>
      </c>
      <c r="I26" s="118">
        <f t="shared" si="3"/>
        <v>778.68000000000006</v>
      </c>
      <c r="J26" s="47"/>
      <c r="K26" s="8">
        <f t="shared" si="2"/>
        <v>4</v>
      </c>
      <c r="L26" s="8">
        <f t="shared" si="6"/>
        <v>3</v>
      </c>
      <c r="M26" s="8">
        <f t="shared" si="6"/>
        <v>2</v>
      </c>
      <c r="N26" s="66">
        <f t="shared" si="4"/>
        <v>3114.7200000000003</v>
      </c>
      <c r="O26" s="66"/>
      <c r="P26" s="70"/>
      <c r="Q26" s="70"/>
      <c r="R26" s="18"/>
    </row>
    <row r="27" spans="1:18" x14ac:dyDescent="0.3">
      <c r="B27" s="8" t="s">
        <v>116</v>
      </c>
      <c r="C27" s="8">
        <v>4</v>
      </c>
      <c r="D27" s="66">
        <v>5081.72</v>
      </c>
      <c r="E27" s="103">
        <v>10</v>
      </c>
      <c r="F27" s="66">
        <f>+D27/E27</f>
        <v>508.17200000000003</v>
      </c>
      <c r="G27" s="118">
        <f>CAPEX!H27</f>
        <v>508.17200000000003</v>
      </c>
      <c r="H27" s="118">
        <f>CAPEX!I27</f>
        <v>508.17200000000003</v>
      </c>
      <c r="I27" s="118">
        <f t="shared" si="3"/>
        <v>508.17200000000003</v>
      </c>
      <c r="J27" s="47"/>
      <c r="K27" s="8">
        <f t="shared" si="2"/>
        <v>5</v>
      </c>
      <c r="L27" s="8">
        <f t="shared" si="6"/>
        <v>4</v>
      </c>
      <c r="M27" s="8">
        <f t="shared" si="6"/>
        <v>3</v>
      </c>
      <c r="N27" s="66">
        <f t="shared" si="4"/>
        <v>2540.86</v>
      </c>
      <c r="O27" s="66"/>
      <c r="P27" s="70"/>
      <c r="Q27" s="70"/>
      <c r="R27" s="18"/>
    </row>
    <row r="28" spans="1:18" x14ac:dyDescent="0.3">
      <c r="B28" s="8" t="s">
        <v>116</v>
      </c>
      <c r="C28" s="8">
        <v>4</v>
      </c>
      <c r="D28" s="66">
        <v>8935.2000000000007</v>
      </c>
      <c r="E28" s="103">
        <v>10</v>
      </c>
      <c r="F28" s="66">
        <f t="shared" si="5"/>
        <v>893.5200000000001</v>
      </c>
      <c r="G28" s="118">
        <f>CAPEX!H28</f>
        <v>893.5200000000001</v>
      </c>
      <c r="H28" s="118">
        <f>CAPEX!I28</f>
        <v>893.5200000000001</v>
      </c>
      <c r="I28" s="118">
        <f t="shared" si="3"/>
        <v>893.5200000000001</v>
      </c>
      <c r="J28" s="47"/>
      <c r="K28" s="8">
        <f t="shared" si="2"/>
        <v>5</v>
      </c>
      <c r="L28" s="8">
        <f t="shared" si="6"/>
        <v>4</v>
      </c>
      <c r="M28" s="8">
        <f t="shared" si="6"/>
        <v>3</v>
      </c>
      <c r="N28" s="66">
        <f t="shared" si="4"/>
        <v>4467.6000000000004</v>
      </c>
      <c r="O28" s="66"/>
      <c r="P28" s="70"/>
      <c r="Q28" s="70"/>
      <c r="R28" s="18"/>
    </row>
    <row r="29" spans="1:18" x14ac:dyDescent="0.3">
      <c r="B29" s="8" t="s">
        <v>116</v>
      </c>
      <c r="C29" s="8">
        <v>4</v>
      </c>
      <c r="D29" s="66">
        <v>5528.64</v>
      </c>
      <c r="E29" s="103">
        <v>10</v>
      </c>
      <c r="F29" s="66">
        <f t="shared" si="5"/>
        <v>552.86400000000003</v>
      </c>
      <c r="G29" s="118">
        <f>CAPEX!H29</f>
        <v>552.86400000000003</v>
      </c>
      <c r="H29" s="118">
        <f>CAPEX!I29</f>
        <v>552.86400000000003</v>
      </c>
      <c r="I29" s="118">
        <f t="shared" si="3"/>
        <v>552.86400000000003</v>
      </c>
      <c r="J29" s="47"/>
      <c r="K29" s="8">
        <f t="shared" si="2"/>
        <v>5</v>
      </c>
      <c r="L29" s="8">
        <f t="shared" si="6"/>
        <v>4</v>
      </c>
      <c r="M29" s="8">
        <f t="shared" si="6"/>
        <v>3</v>
      </c>
      <c r="N29" s="66">
        <f t="shared" si="4"/>
        <v>2764.32</v>
      </c>
      <c r="O29" s="66"/>
      <c r="P29" s="70"/>
      <c r="Q29" s="70"/>
      <c r="R29" s="18"/>
    </row>
    <row r="30" spans="1:18" x14ac:dyDescent="0.3">
      <c r="B30" s="8" t="s">
        <v>116</v>
      </c>
      <c r="C30" s="8">
        <v>4</v>
      </c>
      <c r="D30" s="66">
        <v>1798</v>
      </c>
      <c r="E30" s="103">
        <v>10</v>
      </c>
      <c r="F30" s="66">
        <f t="shared" si="5"/>
        <v>179.8</v>
      </c>
      <c r="G30" s="118">
        <f>CAPEX!H30</f>
        <v>179.8</v>
      </c>
      <c r="H30" s="118">
        <f>CAPEX!I30</f>
        <v>179.8</v>
      </c>
      <c r="I30" s="118">
        <f t="shared" si="3"/>
        <v>179.8</v>
      </c>
      <c r="J30" s="47"/>
      <c r="K30" s="8">
        <f t="shared" si="2"/>
        <v>5</v>
      </c>
      <c r="L30" s="8">
        <f t="shared" si="6"/>
        <v>4</v>
      </c>
      <c r="M30" s="8">
        <f t="shared" si="6"/>
        <v>3</v>
      </c>
      <c r="N30" s="66">
        <f t="shared" si="4"/>
        <v>899</v>
      </c>
      <c r="O30" s="66"/>
      <c r="P30" s="70"/>
      <c r="Q30" s="70"/>
      <c r="R30" s="18"/>
    </row>
    <row r="31" spans="1:18" x14ac:dyDescent="0.3">
      <c r="B31" s="8" t="s">
        <v>116</v>
      </c>
      <c r="C31" s="8">
        <v>4</v>
      </c>
      <c r="D31" s="66">
        <v>16343.44</v>
      </c>
      <c r="E31" s="103">
        <v>10</v>
      </c>
      <c r="F31" s="66">
        <f t="shared" si="5"/>
        <v>1634.3440000000001</v>
      </c>
      <c r="G31" s="118">
        <f>CAPEX!H31</f>
        <v>1634.3440000000001</v>
      </c>
      <c r="H31" s="118">
        <f>CAPEX!I31</f>
        <v>1634.3440000000001</v>
      </c>
      <c r="I31" s="118">
        <f t="shared" si="3"/>
        <v>1634.3440000000001</v>
      </c>
      <c r="J31" s="47"/>
      <c r="K31" s="8">
        <f t="shared" si="2"/>
        <v>5</v>
      </c>
      <c r="L31" s="8">
        <f t="shared" si="6"/>
        <v>4</v>
      </c>
      <c r="M31" s="8">
        <f t="shared" si="6"/>
        <v>3</v>
      </c>
      <c r="N31" s="66">
        <f t="shared" si="4"/>
        <v>8171.72</v>
      </c>
      <c r="O31" s="66"/>
      <c r="P31" s="70"/>
      <c r="Q31" s="70"/>
      <c r="R31" s="18"/>
    </row>
    <row r="32" spans="1:18" x14ac:dyDescent="0.3">
      <c r="B32" s="8" t="s">
        <v>116</v>
      </c>
      <c r="C32" s="8">
        <v>4</v>
      </c>
      <c r="D32" s="66">
        <v>7506</v>
      </c>
      <c r="E32" s="103">
        <v>10</v>
      </c>
      <c r="F32" s="66">
        <f t="shared" si="5"/>
        <v>750.6</v>
      </c>
      <c r="G32" s="118">
        <f>CAPEX!H32</f>
        <v>750.6</v>
      </c>
      <c r="H32" s="118">
        <f>CAPEX!I32</f>
        <v>750.6</v>
      </c>
      <c r="I32" s="118">
        <f t="shared" si="3"/>
        <v>750.6</v>
      </c>
      <c r="J32" s="47"/>
      <c r="K32" s="8">
        <f t="shared" si="2"/>
        <v>5</v>
      </c>
      <c r="L32" s="8">
        <f t="shared" si="6"/>
        <v>4</v>
      </c>
      <c r="M32" s="8">
        <f t="shared" si="6"/>
        <v>3</v>
      </c>
      <c r="N32" s="66">
        <f t="shared" si="4"/>
        <v>3753</v>
      </c>
      <c r="O32" s="66"/>
      <c r="P32" s="70"/>
      <c r="Q32" s="70"/>
      <c r="R32" s="18"/>
    </row>
    <row r="33" spans="2:19" x14ac:dyDescent="0.3">
      <c r="B33" s="8" t="s">
        <v>116</v>
      </c>
      <c r="C33" s="8">
        <v>4</v>
      </c>
      <c r="D33" s="66">
        <v>3027.24</v>
      </c>
      <c r="E33" s="103">
        <v>10</v>
      </c>
      <c r="F33" s="66">
        <f t="shared" si="5"/>
        <v>302.72399999999999</v>
      </c>
      <c r="G33" s="118">
        <f>CAPEX!H33</f>
        <v>302.72399999999999</v>
      </c>
      <c r="H33" s="118">
        <f>CAPEX!I33</f>
        <v>302.72399999999999</v>
      </c>
      <c r="I33" s="118">
        <f t="shared" si="3"/>
        <v>302.72399999999999</v>
      </c>
      <c r="J33" s="47"/>
      <c r="K33" s="8">
        <f t="shared" si="2"/>
        <v>5</v>
      </c>
      <c r="L33" s="8">
        <f t="shared" si="6"/>
        <v>4</v>
      </c>
      <c r="M33" s="8">
        <f t="shared" si="6"/>
        <v>3</v>
      </c>
      <c r="N33" s="66">
        <f t="shared" si="4"/>
        <v>1513.62</v>
      </c>
      <c r="O33" s="66"/>
      <c r="P33" s="70"/>
      <c r="Q33" s="70"/>
      <c r="R33" s="18"/>
      <c r="S33" s="18"/>
    </row>
    <row r="34" spans="2:19" x14ac:dyDescent="0.3">
      <c r="B34" s="8" t="s">
        <v>117</v>
      </c>
      <c r="C34" s="8">
        <v>11</v>
      </c>
      <c r="D34" s="66">
        <v>1561.5</v>
      </c>
      <c r="E34" s="103">
        <v>13</v>
      </c>
      <c r="F34" s="66">
        <f t="shared" si="5"/>
        <v>120.11538461538461</v>
      </c>
      <c r="G34" s="118">
        <f>CAPEX!H34</f>
        <v>120.11538461538461</v>
      </c>
      <c r="H34" s="118">
        <f>CAPEX!I34</f>
        <v>0</v>
      </c>
      <c r="I34" s="118">
        <f t="shared" si="3"/>
        <v>0</v>
      </c>
      <c r="J34" s="47"/>
      <c r="K34" s="8">
        <f t="shared" si="2"/>
        <v>1</v>
      </c>
      <c r="L34" s="8">
        <f t="shared" si="6"/>
        <v>0</v>
      </c>
      <c r="M34" s="8">
        <f t="shared" si="6"/>
        <v>-1</v>
      </c>
      <c r="N34" s="66">
        <f t="shared" si="4"/>
        <v>120.11538461538453</v>
      </c>
      <c r="O34" s="66"/>
      <c r="P34" s="70"/>
      <c r="Q34" s="70"/>
      <c r="R34" s="18"/>
      <c r="S34" s="18"/>
    </row>
    <row r="35" spans="2:19" x14ac:dyDescent="0.3">
      <c r="B35" s="8" t="s">
        <v>117</v>
      </c>
      <c r="C35" s="8">
        <v>11</v>
      </c>
      <c r="D35" s="66">
        <v>2307.36</v>
      </c>
      <c r="E35" s="103">
        <v>13</v>
      </c>
      <c r="F35" s="66">
        <f t="shared" si="5"/>
        <v>177.48923076923077</v>
      </c>
      <c r="G35" s="118">
        <f>CAPEX!H35</f>
        <v>177.48923076923077</v>
      </c>
      <c r="H35" s="118">
        <f>CAPEX!I35</f>
        <v>0</v>
      </c>
      <c r="I35" s="118">
        <f t="shared" si="3"/>
        <v>0</v>
      </c>
      <c r="J35" s="47"/>
      <c r="K35" s="8">
        <f t="shared" si="2"/>
        <v>1</v>
      </c>
      <c r="L35" s="8">
        <f t="shared" si="6"/>
        <v>0</v>
      </c>
      <c r="M35" s="8">
        <f t="shared" si="6"/>
        <v>-1</v>
      </c>
      <c r="N35" s="66">
        <f t="shared" si="4"/>
        <v>177.48923076923074</v>
      </c>
      <c r="O35" s="66"/>
      <c r="P35" s="70"/>
      <c r="Q35" s="70"/>
      <c r="R35" s="18"/>
      <c r="S35" s="18"/>
    </row>
    <row r="36" spans="2:19" x14ac:dyDescent="0.3">
      <c r="B36" s="8" t="s">
        <v>117</v>
      </c>
      <c r="C36" s="8">
        <v>7</v>
      </c>
      <c r="D36" s="66">
        <v>1043.0999999999999</v>
      </c>
      <c r="E36" s="103">
        <v>13</v>
      </c>
      <c r="F36" s="66">
        <f t="shared" si="5"/>
        <v>80.238461538461536</v>
      </c>
      <c r="G36" s="118">
        <f>CAPEX!H36</f>
        <v>80.238461538461536</v>
      </c>
      <c r="H36" s="118">
        <f>CAPEX!I36</f>
        <v>80.238461538461536</v>
      </c>
      <c r="I36" s="118">
        <f t="shared" si="3"/>
        <v>80.238461538461536</v>
      </c>
      <c r="J36" s="47"/>
      <c r="K36" s="8">
        <f t="shared" si="2"/>
        <v>5</v>
      </c>
      <c r="L36" s="8">
        <f t="shared" si="6"/>
        <v>4</v>
      </c>
      <c r="M36" s="8">
        <f t="shared" si="6"/>
        <v>3</v>
      </c>
      <c r="N36" s="66">
        <f t="shared" si="4"/>
        <v>401.19230769230762</v>
      </c>
      <c r="O36" s="66"/>
      <c r="P36" s="70"/>
      <c r="Q36" s="70"/>
      <c r="R36" s="18"/>
      <c r="S36" s="18"/>
    </row>
    <row r="37" spans="2:19" x14ac:dyDescent="0.3">
      <c r="B37" s="8" t="s">
        <v>117</v>
      </c>
      <c r="C37" s="8">
        <v>7</v>
      </c>
      <c r="D37" s="66">
        <v>2041.22</v>
      </c>
      <c r="E37" s="103">
        <v>13</v>
      </c>
      <c r="F37" s="66">
        <f t="shared" si="5"/>
        <v>157.01692307692309</v>
      </c>
      <c r="G37" s="118">
        <f>CAPEX!H37</f>
        <v>157.01692307692309</v>
      </c>
      <c r="H37" s="118">
        <f>CAPEX!I37</f>
        <v>157.01692307692309</v>
      </c>
      <c r="I37" s="118">
        <f t="shared" si="3"/>
        <v>157.01692307692309</v>
      </c>
      <c r="J37" s="47"/>
      <c r="K37" s="8">
        <f t="shared" si="2"/>
        <v>5</v>
      </c>
      <c r="L37" s="8">
        <f t="shared" ref="L37:M52" si="7">K37-1</f>
        <v>4</v>
      </c>
      <c r="M37" s="8">
        <f t="shared" si="7"/>
        <v>3</v>
      </c>
      <c r="N37" s="66">
        <f t="shared" si="4"/>
        <v>785.08461538461552</v>
      </c>
      <c r="O37" s="66"/>
      <c r="P37" s="70"/>
      <c r="Q37" s="70"/>
      <c r="R37" s="18"/>
      <c r="S37" s="18"/>
    </row>
    <row r="38" spans="2:19" x14ac:dyDescent="0.3">
      <c r="B38" s="8" t="s">
        <v>117</v>
      </c>
      <c r="C38" s="8">
        <v>6</v>
      </c>
      <c r="D38" s="66">
        <v>3140</v>
      </c>
      <c r="E38" s="103">
        <v>10</v>
      </c>
      <c r="F38" s="66">
        <f t="shared" si="5"/>
        <v>314</v>
      </c>
      <c r="G38" s="118">
        <f>CAPEX!H38</f>
        <v>314</v>
      </c>
      <c r="H38" s="118">
        <f>CAPEX!I38</f>
        <v>314</v>
      </c>
      <c r="I38" s="118">
        <f t="shared" si="3"/>
        <v>314</v>
      </c>
      <c r="J38" s="47"/>
      <c r="K38" s="8">
        <f t="shared" si="2"/>
        <v>3</v>
      </c>
      <c r="L38" s="8">
        <f t="shared" si="7"/>
        <v>2</v>
      </c>
      <c r="M38" s="8">
        <f t="shared" si="7"/>
        <v>1</v>
      </c>
      <c r="N38" s="66">
        <f t="shared" si="4"/>
        <v>942</v>
      </c>
      <c r="O38" s="66"/>
      <c r="P38" s="70"/>
      <c r="Q38" s="70"/>
      <c r="R38" s="18"/>
    </row>
    <row r="39" spans="2:19" x14ac:dyDescent="0.3">
      <c r="B39" s="8" t="s">
        <v>117</v>
      </c>
      <c r="C39" s="8">
        <v>6</v>
      </c>
      <c r="D39" s="66">
        <v>3389.5</v>
      </c>
      <c r="E39" s="103">
        <v>13</v>
      </c>
      <c r="F39" s="66">
        <f t="shared" si="5"/>
        <v>260.73076923076923</v>
      </c>
      <c r="G39" s="118">
        <f>CAPEX!H39</f>
        <v>260.73076923076923</v>
      </c>
      <c r="H39" s="118">
        <f>CAPEX!I39</f>
        <v>260.73076923076923</v>
      </c>
      <c r="I39" s="118">
        <f t="shared" si="3"/>
        <v>260.73076923076923</v>
      </c>
      <c r="J39" s="47"/>
      <c r="K39" s="8">
        <f t="shared" si="2"/>
        <v>6</v>
      </c>
      <c r="L39" s="8">
        <f t="shared" si="7"/>
        <v>5</v>
      </c>
      <c r="M39" s="8">
        <f t="shared" si="7"/>
        <v>4</v>
      </c>
      <c r="N39" s="66">
        <f t="shared" si="4"/>
        <v>1564.3846153846152</v>
      </c>
      <c r="O39" s="66"/>
      <c r="P39" s="70"/>
      <c r="Q39" s="70"/>
      <c r="R39" s="18"/>
    </row>
    <row r="40" spans="2:19" x14ac:dyDescent="0.3">
      <c r="B40" s="8" t="s">
        <v>117</v>
      </c>
      <c r="C40" s="8">
        <v>5</v>
      </c>
      <c r="D40" s="66">
        <v>10877.76</v>
      </c>
      <c r="E40" s="103">
        <v>10</v>
      </c>
      <c r="F40" s="66">
        <f t="shared" si="5"/>
        <v>1087.7760000000001</v>
      </c>
      <c r="G40" s="118">
        <f>CAPEX!H40</f>
        <v>1087.7760000000001</v>
      </c>
      <c r="H40" s="118">
        <f>CAPEX!I40</f>
        <v>1087.7760000000001</v>
      </c>
      <c r="I40" s="118">
        <f t="shared" si="3"/>
        <v>1087.7760000000001</v>
      </c>
      <c r="J40" s="47"/>
      <c r="K40" s="8">
        <f t="shared" si="2"/>
        <v>4</v>
      </c>
      <c r="L40" s="8">
        <f t="shared" si="7"/>
        <v>3</v>
      </c>
      <c r="M40" s="8">
        <f t="shared" si="7"/>
        <v>2</v>
      </c>
      <c r="N40" s="66">
        <f t="shared" si="4"/>
        <v>4351.1040000000003</v>
      </c>
      <c r="O40" s="66"/>
      <c r="P40" s="70"/>
      <c r="Q40" s="70"/>
      <c r="R40" s="18"/>
    </row>
    <row r="41" spans="2:19" x14ac:dyDescent="0.3">
      <c r="B41" s="8" t="s">
        <v>117</v>
      </c>
      <c r="C41" s="8">
        <v>5</v>
      </c>
      <c r="D41" s="66">
        <v>28987.200000000001</v>
      </c>
      <c r="E41" s="103">
        <v>10</v>
      </c>
      <c r="F41" s="66">
        <f t="shared" si="5"/>
        <v>2898.7200000000003</v>
      </c>
      <c r="G41" s="118">
        <f>CAPEX!H41</f>
        <v>2898.7200000000003</v>
      </c>
      <c r="H41" s="118">
        <f>CAPEX!I41</f>
        <v>2898.7200000000003</v>
      </c>
      <c r="I41" s="118">
        <f t="shared" si="3"/>
        <v>2898.7200000000003</v>
      </c>
      <c r="J41" s="47"/>
      <c r="K41" s="8">
        <f t="shared" si="2"/>
        <v>4</v>
      </c>
      <c r="L41" s="8">
        <f t="shared" si="7"/>
        <v>3</v>
      </c>
      <c r="M41" s="8">
        <f t="shared" si="7"/>
        <v>2</v>
      </c>
      <c r="N41" s="66">
        <f t="shared" si="4"/>
        <v>11594.880000000001</v>
      </c>
      <c r="O41" s="66"/>
      <c r="P41" s="70"/>
      <c r="Q41" s="70"/>
      <c r="R41" s="18"/>
    </row>
    <row r="42" spans="2:19" x14ac:dyDescent="0.3">
      <c r="B42" s="8" t="s">
        <v>117</v>
      </c>
      <c r="C42" s="8">
        <v>5</v>
      </c>
      <c r="D42" s="66">
        <v>6718</v>
      </c>
      <c r="E42" s="103">
        <v>8</v>
      </c>
      <c r="F42" s="66">
        <f t="shared" si="5"/>
        <v>839.75</v>
      </c>
      <c r="G42" s="118">
        <f>CAPEX!H42</f>
        <v>839.75</v>
      </c>
      <c r="H42" s="118">
        <f>CAPEX!I42</f>
        <v>839.75</v>
      </c>
      <c r="I42" s="118">
        <f t="shared" si="3"/>
        <v>0</v>
      </c>
      <c r="J42" s="47"/>
      <c r="K42" s="8">
        <f t="shared" si="2"/>
        <v>2</v>
      </c>
      <c r="L42" s="8">
        <f t="shared" si="7"/>
        <v>1</v>
      </c>
      <c r="M42" s="8">
        <f t="shared" si="7"/>
        <v>0</v>
      </c>
      <c r="N42" s="66">
        <f t="shared" si="4"/>
        <v>1679.5</v>
      </c>
      <c r="O42" s="66"/>
      <c r="P42" s="70"/>
      <c r="Q42" s="70"/>
      <c r="R42" s="18"/>
    </row>
    <row r="43" spans="2:19" x14ac:dyDescent="0.3">
      <c r="B43" s="8" t="s">
        <v>117</v>
      </c>
      <c r="C43" s="8">
        <v>5</v>
      </c>
      <c r="D43" s="66">
        <v>5094</v>
      </c>
      <c r="E43" s="103">
        <v>10</v>
      </c>
      <c r="F43" s="66">
        <f t="shared" si="5"/>
        <v>509.4</v>
      </c>
      <c r="G43" s="118">
        <f>CAPEX!H43</f>
        <v>509.4</v>
      </c>
      <c r="H43" s="118">
        <f>CAPEX!I43</f>
        <v>509.4</v>
      </c>
      <c r="I43" s="118">
        <f t="shared" si="3"/>
        <v>509.4</v>
      </c>
      <c r="J43" s="47"/>
      <c r="K43" s="8">
        <f t="shared" si="2"/>
        <v>4</v>
      </c>
      <c r="L43" s="8">
        <f t="shared" si="7"/>
        <v>3</v>
      </c>
      <c r="M43" s="8">
        <f t="shared" si="7"/>
        <v>2</v>
      </c>
      <c r="N43" s="66">
        <f t="shared" si="4"/>
        <v>2037.6</v>
      </c>
      <c r="O43" s="66"/>
      <c r="P43" s="70"/>
      <c r="Q43" s="70"/>
      <c r="R43" s="18"/>
    </row>
    <row r="44" spans="2:19" x14ac:dyDescent="0.3">
      <c r="B44" s="8" t="s">
        <v>118</v>
      </c>
      <c r="C44" s="8">
        <v>5</v>
      </c>
      <c r="D44" s="66">
        <v>560800</v>
      </c>
      <c r="E44" s="103">
        <v>10</v>
      </c>
      <c r="F44" s="66">
        <f t="shared" si="5"/>
        <v>56080</v>
      </c>
      <c r="G44" s="118">
        <f>CAPEX!H44</f>
        <v>56080</v>
      </c>
      <c r="H44" s="118">
        <f>CAPEX!I44</f>
        <v>56080</v>
      </c>
      <c r="I44" s="118">
        <f t="shared" si="3"/>
        <v>56080</v>
      </c>
      <c r="J44" s="47"/>
      <c r="K44" s="8">
        <f t="shared" si="2"/>
        <v>4</v>
      </c>
      <c r="L44" s="8">
        <f t="shared" si="7"/>
        <v>3</v>
      </c>
      <c r="M44" s="8">
        <f t="shared" si="7"/>
        <v>2</v>
      </c>
      <c r="N44" s="66">
        <f t="shared" si="4"/>
        <v>224320</v>
      </c>
      <c r="O44" s="66"/>
      <c r="P44" s="70"/>
      <c r="Q44" s="70"/>
      <c r="R44" s="18"/>
    </row>
    <row r="45" spans="2:19" x14ac:dyDescent="0.3">
      <c r="B45" s="8" t="s">
        <v>118</v>
      </c>
      <c r="C45" s="8">
        <v>5</v>
      </c>
      <c r="D45" s="66">
        <v>2700</v>
      </c>
      <c r="E45" s="103">
        <v>8</v>
      </c>
      <c r="F45" s="66">
        <f t="shared" si="5"/>
        <v>337.5</v>
      </c>
      <c r="G45" s="118">
        <f>CAPEX!H45</f>
        <v>337.5</v>
      </c>
      <c r="H45" s="118">
        <f>CAPEX!I45</f>
        <v>337.5</v>
      </c>
      <c r="I45" s="118">
        <f t="shared" si="3"/>
        <v>0</v>
      </c>
      <c r="J45" s="47"/>
      <c r="K45" s="8">
        <f t="shared" si="2"/>
        <v>2</v>
      </c>
      <c r="L45" s="8">
        <f t="shared" si="7"/>
        <v>1</v>
      </c>
      <c r="M45" s="8">
        <f t="shared" si="7"/>
        <v>0</v>
      </c>
      <c r="N45" s="66">
        <f t="shared" si="4"/>
        <v>675</v>
      </c>
      <c r="O45" s="66"/>
      <c r="P45" s="70"/>
      <c r="Q45" s="70"/>
      <c r="R45" s="18"/>
    </row>
    <row r="46" spans="2:19" x14ac:dyDescent="0.3">
      <c r="B46" s="8" t="s">
        <v>118</v>
      </c>
      <c r="C46" s="8">
        <v>5</v>
      </c>
      <c r="D46" s="66">
        <v>5045.46</v>
      </c>
      <c r="E46" s="103">
        <v>10</v>
      </c>
      <c r="F46" s="66">
        <f t="shared" si="5"/>
        <v>504.54599999999999</v>
      </c>
      <c r="G46" s="118">
        <f>CAPEX!H46</f>
        <v>504.54599999999999</v>
      </c>
      <c r="H46" s="118">
        <f>CAPEX!I46</f>
        <v>504.54599999999999</v>
      </c>
      <c r="I46" s="118">
        <f t="shared" si="3"/>
        <v>504.54599999999999</v>
      </c>
      <c r="J46" s="47"/>
      <c r="K46" s="8">
        <f t="shared" si="2"/>
        <v>4</v>
      </c>
      <c r="L46" s="8">
        <f t="shared" si="7"/>
        <v>3</v>
      </c>
      <c r="M46" s="8">
        <f t="shared" si="7"/>
        <v>2</v>
      </c>
      <c r="N46" s="66">
        <f t="shared" si="4"/>
        <v>2018.1840000000002</v>
      </c>
      <c r="O46" s="66"/>
      <c r="P46" s="70"/>
      <c r="Q46" s="70"/>
      <c r="R46" s="18"/>
    </row>
    <row r="47" spans="2:19" x14ac:dyDescent="0.3">
      <c r="B47" s="8" t="s">
        <v>118</v>
      </c>
      <c r="C47" s="8">
        <v>5</v>
      </c>
      <c r="D47" s="66">
        <v>2072</v>
      </c>
      <c r="E47" s="103">
        <v>10</v>
      </c>
      <c r="F47" s="66">
        <f t="shared" si="5"/>
        <v>207.2</v>
      </c>
      <c r="G47" s="118">
        <f>CAPEX!H47</f>
        <v>207.2</v>
      </c>
      <c r="H47" s="118">
        <f>CAPEX!I47</f>
        <v>207.2</v>
      </c>
      <c r="I47" s="118">
        <f t="shared" si="3"/>
        <v>207.2</v>
      </c>
      <c r="J47" s="47"/>
      <c r="K47" s="8">
        <f t="shared" si="2"/>
        <v>4</v>
      </c>
      <c r="L47" s="8">
        <f t="shared" si="7"/>
        <v>3</v>
      </c>
      <c r="M47" s="8">
        <f t="shared" si="7"/>
        <v>2</v>
      </c>
      <c r="N47" s="66">
        <f t="shared" si="4"/>
        <v>828.8</v>
      </c>
      <c r="O47" s="66"/>
      <c r="P47" s="70"/>
      <c r="Q47" s="70"/>
      <c r="R47" s="18"/>
    </row>
    <row r="48" spans="2:19" x14ac:dyDescent="0.3">
      <c r="B48" s="8" t="s">
        <v>118</v>
      </c>
      <c r="C48" s="1">
        <v>5</v>
      </c>
      <c r="D48" s="77">
        <v>120780</v>
      </c>
      <c r="E48" s="114">
        <v>10</v>
      </c>
      <c r="F48" s="77">
        <f t="shared" si="5"/>
        <v>12078</v>
      </c>
      <c r="G48" s="118">
        <f>CAPEX!H48</f>
        <v>12078</v>
      </c>
      <c r="H48" s="118">
        <f>CAPEX!I48</f>
        <v>12078</v>
      </c>
      <c r="I48" s="118">
        <f t="shared" si="3"/>
        <v>12078</v>
      </c>
      <c r="J48" s="47"/>
      <c r="K48" s="8">
        <f t="shared" si="2"/>
        <v>4</v>
      </c>
      <c r="L48" s="8">
        <f t="shared" si="7"/>
        <v>3</v>
      </c>
      <c r="M48" s="8">
        <f t="shared" si="7"/>
        <v>2</v>
      </c>
      <c r="N48" s="66">
        <f t="shared" si="4"/>
        <v>48312</v>
      </c>
      <c r="O48" s="66"/>
      <c r="P48" s="70"/>
      <c r="Q48" s="70"/>
      <c r="R48" s="18"/>
    </row>
    <row r="49" spans="2:18" x14ac:dyDescent="0.3">
      <c r="B49" s="8" t="s">
        <v>118</v>
      </c>
      <c r="C49" s="8">
        <v>4</v>
      </c>
      <c r="D49" s="66">
        <v>990</v>
      </c>
      <c r="E49" s="103">
        <v>6</v>
      </c>
      <c r="F49" s="66">
        <f t="shared" si="5"/>
        <v>165</v>
      </c>
      <c r="G49" s="118">
        <f>CAPEX!H49</f>
        <v>165</v>
      </c>
      <c r="H49" s="118">
        <f>CAPEX!I49</f>
        <v>0</v>
      </c>
      <c r="I49" s="118">
        <f t="shared" si="3"/>
        <v>0</v>
      </c>
      <c r="J49" s="47"/>
      <c r="K49" s="8">
        <f t="shared" si="2"/>
        <v>1</v>
      </c>
      <c r="L49" s="8">
        <f t="shared" si="7"/>
        <v>0</v>
      </c>
      <c r="M49" s="8">
        <f t="shared" si="7"/>
        <v>-1</v>
      </c>
      <c r="N49" s="66">
        <f t="shared" si="4"/>
        <v>165</v>
      </c>
      <c r="O49" s="66"/>
      <c r="P49" s="70"/>
      <c r="Q49" s="70"/>
      <c r="R49" s="18"/>
    </row>
    <row r="50" spans="2:18" x14ac:dyDescent="0.3">
      <c r="B50" s="8" t="s">
        <v>118</v>
      </c>
      <c r="C50" s="8">
        <v>4</v>
      </c>
      <c r="D50" s="66">
        <v>39720.379999999997</v>
      </c>
      <c r="E50" s="103">
        <v>10</v>
      </c>
      <c r="F50" s="66">
        <f t="shared" si="5"/>
        <v>3972.0379999999996</v>
      </c>
      <c r="G50" s="118">
        <f>CAPEX!H50</f>
        <v>3972.0379999999996</v>
      </c>
      <c r="H50" s="118">
        <f>CAPEX!I50</f>
        <v>3972.0379999999996</v>
      </c>
      <c r="I50" s="118">
        <f t="shared" si="3"/>
        <v>3972.0379999999996</v>
      </c>
      <c r="J50" s="47"/>
      <c r="K50" s="8">
        <f t="shared" si="2"/>
        <v>5</v>
      </c>
      <c r="L50" s="8">
        <f t="shared" si="7"/>
        <v>4</v>
      </c>
      <c r="M50" s="8">
        <f t="shared" si="7"/>
        <v>3</v>
      </c>
      <c r="N50" s="66">
        <f t="shared" si="4"/>
        <v>19860.189999999999</v>
      </c>
      <c r="O50" s="66"/>
      <c r="P50" s="70"/>
      <c r="Q50" s="70"/>
      <c r="R50" s="18"/>
    </row>
    <row r="51" spans="2:18" x14ac:dyDescent="0.3">
      <c r="B51" s="8" t="s">
        <v>118</v>
      </c>
      <c r="C51" s="8">
        <v>4</v>
      </c>
      <c r="D51" s="66">
        <v>2151</v>
      </c>
      <c r="E51" s="103">
        <v>10</v>
      </c>
      <c r="F51" s="66">
        <f t="shared" si="5"/>
        <v>215.1</v>
      </c>
      <c r="G51" s="118">
        <f>CAPEX!H51</f>
        <v>215.1</v>
      </c>
      <c r="H51" s="118">
        <f>CAPEX!I51</f>
        <v>215.1</v>
      </c>
      <c r="I51" s="118">
        <f t="shared" si="3"/>
        <v>215.1</v>
      </c>
      <c r="J51" s="47"/>
      <c r="K51" s="8">
        <f t="shared" si="2"/>
        <v>5</v>
      </c>
      <c r="L51" s="8">
        <f t="shared" si="7"/>
        <v>4</v>
      </c>
      <c r="M51" s="8">
        <f t="shared" si="7"/>
        <v>3</v>
      </c>
      <c r="N51" s="66">
        <f t="shared" si="4"/>
        <v>1075.5</v>
      </c>
      <c r="O51" s="66"/>
      <c r="P51" s="70"/>
      <c r="Q51" s="70"/>
      <c r="R51" s="18"/>
    </row>
    <row r="52" spans="2:18" x14ac:dyDescent="0.3">
      <c r="B52" s="8" t="s">
        <v>118</v>
      </c>
      <c r="C52" s="8">
        <v>4</v>
      </c>
      <c r="D52" s="66">
        <v>4131</v>
      </c>
      <c r="E52" s="103">
        <v>10</v>
      </c>
      <c r="F52" s="66">
        <f t="shared" si="5"/>
        <v>413.1</v>
      </c>
      <c r="G52" s="118">
        <f>CAPEX!H52</f>
        <v>413.1</v>
      </c>
      <c r="H52" s="118">
        <f>CAPEX!I52</f>
        <v>413.1</v>
      </c>
      <c r="I52" s="118">
        <f t="shared" si="3"/>
        <v>413.1</v>
      </c>
      <c r="J52" s="47"/>
      <c r="K52" s="8">
        <f t="shared" si="2"/>
        <v>5</v>
      </c>
      <c r="L52" s="8">
        <f t="shared" si="7"/>
        <v>4</v>
      </c>
      <c r="M52" s="8">
        <f t="shared" si="7"/>
        <v>3</v>
      </c>
      <c r="N52" s="66">
        <f t="shared" si="4"/>
        <v>2065.5</v>
      </c>
      <c r="O52" s="66"/>
      <c r="P52" s="70"/>
      <c r="Q52" s="70"/>
      <c r="R52" s="18"/>
    </row>
    <row r="53" spans="2:18" x14ac:dyDescent="0.3">
      <c r="B53" s="8" t="s">
        <v>118</v>
      </c>
      <c r="C53" s="8">
        <v>4</v>
      </c>
      <c r="D53" s="66">
        <v>23850</v>
      </c>
      <c r="E53" s="103">
        <v>10</v>
      </c>
      <c r="F53" s="66">
        <f t="shared" si="5"/>
        <v>2385</v>
      </c>
      <c r="G53" s="118">
        <f>CAPEX!H53</f>
        <v>2385</v>
      </c>
      <c r="H53" s="118">
        <f>CAPEX!I53</f>
        <v>2385</v>
      </c>
      <c r="I53" s="118">
        <f t="shared" si="3"/>
        <v>2385</v>
      </c>
      <c r="J53" s="47"/>
      <c r="K53" s="8">
        <f t="shared" si="2"/>
        <v>5</v>
      </c>
      <c r="L53" s="8">
        <f t="shared" ref="L53:M68" si="8">K53-1</f>
        <v>4</v>
      </c>
      <c r="M53" s="8">
        <f t="shared" si="8"/>
        <v>3</v>
      </c>
      <c r="N53" s="66">
        <f t="shared" si="4"/>
        <v>11925</v>
      </c>
      <c r="O53" s="66"/>
      <c r="P53" s="70"/>
      <c r="Q53" s="70"/>
      <c r="R53" s="18"/>
    </row>
    <row r="54" spans="2:18" x14ac:dyDescent="0.3">
      <c r="B54" s="8" t="s">
        <v>118</v>
      </c>
      <c r="C54" s="8">
        <v>4</v>
      </c>
      <c r="D54" s="77">
        <f>14743.04-3191.41</f>
        <v>11551.630000000001</v>
      </c>
      <c r="E54" s="103">
        <v>10</v>
      </c>
      <c r="F54" s="66">
        <f t="shared" si="5"/>
        <v>1155.163</v>
      </c>
      <c r="G54" s="118">
        <f>CAPEX!H54</f>
        <v>1155.163</v>
      </c>
      <c r="H54" s="118">
        <f>CAPEX!I54</f>
        <v>1155.163</v>
      </c>
      <c r="I54" s="118">
        <f t="shared" si="3"/>
        <v>1155.163</v>
      </c>
      <c r="J54" s="47"/>
      <c r="K54" s="8">
        <f t="shared" si="2"/>
        <v>5</v>
      </c>
      <c r="L54" s="8">
        <f t="shared" si="8"/>
        <v>4</v>
      </c>
      <c r="M54" s="8">
        <f t="shared" si="8"/>
        <v>3</v>
      </c>
      <c r="N54" s="66">
        <f t="shared" si="4"/>
        <v>5775.8150000000005</v>
      </c>
      <c r="O54" s="66"/>
      <c r="P54" s="70"/>
      <c r="Q54" s="70"/>
      <c r="R54" s="18"/>
    </row>
    <row r="55" spans="2:18" x14ac:dyDescent="0.3">
      <c r="B55" s="8" t="s">
        <v>118</v>
      </c>
      <c r="C55" s="8">
        <v>4</v>
      </c>
      <c r="D55" s="77">
        <f>2318+2965.3</f>
        <v>5283.3</v>
      </c>
      <c r="E55" s="103">
        <v>10</v>
      </c>
      <c r="F55" s="66">
        <f t="shared" si="5"/>
        <v>528.33000000000004</v>
      </c>
      <c r="G55" s="118">
        <f>CAPEX!H55</f>
        <v>528.33000000000004</v>
      </c>
      <c r="H55" s="118">
        <f>CAPEX!I55</f>
        <v>528.33000000000004</v>
      </c>
      <c r="I55" s="118">
        <f t="shared" si="3"/>
        <v>528.33000000000004</v>
      </c>
      <c r="J55" s="47"/>
      <c r="K55" s="8">
        <f t="shared" si="2"/>
        <v>5</v>
      </c>
      <c r="L55" s="8">
        <f t="shared" si="8"/>
        <v>4</v>
      </c>
      <c r="M55" s="8">
        <f t="shared" si="8"/>
        <v>3</v>
      </c>
      <c r="N55" s="66">
        <f t="shared" si="4"/>
        <v>2641.65</v>
      </c>
      <c r="O55" s="66"/>
      <c r="P55" s="70"/>
      <c r="Q55" s="70"/>
      <c r="R55" s="18"/>
    </row>
    <row r="56" spans="2:18" x14ac:dyDescent="0.3">
      <c r="B56" s="8" t="s">
        <v>118</v>
      </c>
      <c r="C56" s="8">
        <v>6</v>
      </c>
      <c r="D56" s="66">
        <v>72460.800000000003</v>
      </c>
      <c r="E56" s="103">
        <v>10</v>
      </c>
      <c r="F56" s="66">
        <f t="shared" si="5"/>
        <v>7246.08</v>
      </c>
      <c r="G56" s="118">
        <f>CAPEX!H56</f>
        <v>7246.08</v>
      </c>
      <c r="H56" s="118">
        <f>CAPEX!I56</f>
        <v>7246.08</v>
      </c>
      <c r="I56" s="118">
        <f t="shared" si="3"/>
        <v>7246.08</v>
      </c>
      <c r="J56" s="47"/>
      <c r="K56" s="8">
        <f t="shared" si="2"/>
        <v>3</v>
      </c>
      <c r="L56" s="8">
        <f t="shared" si="8"/>
        <v>2</v>
      </c>
      <c r="M56" s="8">
        <f t="shared" si="8"/>
        <v>1</v>
      </c>
      <c r="N56" s="66">
        <f t="shared" si="4"/>
        <v>21738.239999999998</v>
      </c>
      <c r="O56" s="66"/>
      <c r="P56" s="70"/>
      <c r="Q56" s="70"/>
      <c r="R56" s="18"/>
    </row>
    <row r="57" spans="2:18" x14ac:dyDescent="0.3">
      <c r="B57" s="8" t="s">
        <v>118</v>
      </c>
      <c r="C57" s="8">
        <v>6</v>
      </c>
      <c r="D57" s="66">
        <v>10200</v>
      </c>
      <c r="E57" s="103">
        <v>8</v>
      </c>
      <c r="F57" s="66">
        <f t="shared" si="5"/>
        <v>1275</v>
      </c>
      <c r="G57" s="118">
        <f>CAPEX!H57</f>
        <v>1275</v>
      </c>
      <c r="H57" s="118">
        <f>CAPEX!I57</f>
        <v>0</v>
      </c>
      <c r="I57" s="118">
        <f t="shared" si="3"/>
        <v>0</v>
      </c>
      <c r="J57" s="47"/>
      <c r="K57" s="8">
        <f t="shared" si="2"/>
        <v>1</v>
      </c>
      <c r="L57" s="8">
        <f t="shared" si="8"/>
        <v>0</v>
      </c>
      <c r="M57" s="8">
        <f t="shared" si="8"/>
        <v>-1</v>
      </c>
      <c r="N57" s="66">
        <f t="shared" si="4"/>
        <v>1275</v>
      </c>
      <c r="O57" s="66"/>
      <c r="P57" s="70"/>
      <c r="Q57" s="70"/>
      <c r="R57" s="18"/>
    </row>
    <row r="58" spans="2:18" x14ac:dyDescent="0.3">
      <c r="B58" s="8" t="s">
        <v>117</v>
      </c>
      <c r="C58" s="8">
        <v>0</v>
      </c>
      <c r="D58" s="66">
        <v>42910</v>
      </c>
      <c r="E58" s="103">
        <v>5</v>
      </c>
      <c r="F58" s="66">
        <f t="shared" si="5"/>
        <v>8582</v>
      </c>
      <c r="G58" s="118">
        <f>CAPEX!H58</f>
        <v>8582</v>
      </c>
      <c r="H58" s="118">
        <f>CAPEX!I58</f>
        <v>8582</v>
      </c>
      <c r="I58" s="118">
        <f t="shared" si="3"/>
        <v>8582</v>
      </c>
      <c r="J58" s="47"/>
      <c r="K58" s="8">
        <f t="shared" si="2"/>
        <v>4</v>
      </c>
      <c r="L58" s="8">
        <f t="shared" si="8"/>
        <v>3</v>
      </c>
      <c r="M58" s="8">
        <f t="shared" si="8"/>
        <v>2</v>
      </c>
      <c r="N58" s="66">
        <f t="shared" si="4"/>
        <v>34328</v>
      </c>
      <c r="O58" s="66"/>
      <c r="P58" s="70"/>
      <c r="Q58" s="70"/>
      <c r="R58" s="18"/>
    </row>
    <row r="59" spans="2:18" x14ac:dyDescent="0.3">
      <c r="B59" s="8" t="s">
        <v>117</v>
      </c>
      <c r="C59" s="8">
        <v>1</v>
      </c>
      <c r="D59" s="66">
        <v>23660.799999999999</v>
      </c>
      <c r="E59" s="103">
        <v>3</v>
      </c>
      <c r="F59" s="66">
        <f t="shared" si="5"/>
        <v>7886.9333333333334</v>
      </c>
      <c r="G59" s="118">
        <f>CAPEX!H59</f>
        <v>7886.9333333333334</v>
      </c>
      <c r="H59" s="118">
        <f>CAPEX!I59</f>
        <v>0</v>
      </c>
      <c r="I59" s="118">
        <f t="shared" si="3"/>
        <v>0</v>
      </c>
      <c r="J59" s="47"/>
      <c r="K59" s="8">
        <f t="shared" si="2"/>
        <v>1</v>
      </c>
      <c r="L59" s="8">
        <f t="shared" si="8"/>
        <v>0</v>
      </c>
      <c r="M59" s="8">
        <f t="shared" si="8"/>
        <v>-1</v>
      </c>
      <c r="N59" s="66">
        <f t="shared" si="4"/>
        <v>7886.9333333333343</v>
      </c>
      <c r="O59" s="66"/>
      <c r="P59" s="70"/>
      <c r="Q59" s="70"/>
      <c r="R59" s="18"/>
    </row>
    <row r="60" spans="2:18" x14ac:dyDescent="0.3">
      <c r="B60" s="8" t="s">
        <v>116</v>
      </c>
      <c r="C60" s="8">
        <v>1</v>
      </c>
      <c r="D60" s="66">
        <v>2366.8000000000002</v>
      </c>
      <c r="E60" s="103">
        <v>2</v>
      </c>
      <c r="F60" s="66">
        <f t="shared" si="5"/>
        <v>1183.4000000000001</v>
      </c>
      <c r="G60" s="118">
        <f>CAPEX!H60</f>
        <v>0</v>
      </c>
      <c r="H60" s="118">
        <f>CAPEX!I60</f>
        <v>0</v>
      </c>
      <c r="I60" s="118">
        <f t="shared" si="3"/>
        <v>0</v>
      </c>
      <c r="J60" s="47"/>
      <c r="K60" s="8">
        <f t="shared" si="2"/>
        <v>0</v>
      </c>
      <c r="L60" s="8">
        <f t="shared" si="8"/>
        <v>-1</v>
      </c>
      <c r="M60" s="8">
        <f t="shared" si="8"/>
        <v>-2</v>
      </c>
      <c r="N60" s="66">
        <f t="shared" si="4"/>
        <v>0</v>
      </c>
      <c r="O60" s="66"/>
      <c r="P60" s="70"/>
      <c r="Q60" s="70"/>
      <c r="R60" s="18"/>
    </row>
    <row r="61" spans="2:18" x14ac:dyDescent="0.3">
      <c r="B61" s="8" t="s">
        <v>117</v>
      </c>
      <c r="C61" s="8">
        <v>1</v>
      </c>
      <c r="D61" s="66">
        <v>43700.58</v>
      </c>
      <c r="E61" s="103">
        <v>8</v>
      </c>
      <c r="F61" s="66">
        <f t="shared" si="5"/>
        <v>5462.5725000000002</v>
      </c>
      <c r="G61" s="118">
        <f>CAPEX!H61</f>
        <v>5462.5725000000002</v>
      </c>
      <c r="H61" s="118">
        <f>CAPEX!I61</f>
        <v>5462.5725000000002</v>
      </c>
      <c r="I61" s="118">
        <f t="shared" si="3"/>
        <v>5462.5725000000002</v>
      </c>
      <c r="J61" s="47"/>
      <c r="K61" s="8">
        <f t="shared" si="2"/>
        <v>6</v>
      </c>
      <c r="L61" s="8">
        <f t="shared" si="8"/>
        <v>5</v>
      </c>
      <c r="M61" s="8">
        <f t="shared" si="8"/>
        <v>4</v>
      </c>
      <c r="N61" s="66">
        <f t="shared" si="4"/>
        <v>32775.434999999998</v>
      </c>
      <c r="O61" s="66"/>
      <c r="P61" s="70"/>
      <c r="Q61" s="70"/>
      <c r="R61" s="18"/>
    </row>
    <row r="62" spans="2:18" x14ac:dyDescent="0.3">
      <c r="B62" s="8" t="s">
        <v>117</v>
      </c>
      <c r="C62" s="8">
        <v>1</v>
      </c>
      <c r="D62" s="66">
        <v>22210.720000000001</v>
      </c>
      <c r="E62" s="103">
        <v>8</v>
      </c>
      <c r="F62" s="66">
        <f t="shared" si="5"/>
        <v>2776.34</v>
      </c>
      <c r="G62" s="118">
        <f>CAPEX!H62</f>
        <v>2776.34</v>
      </c>
      <c r="H62" s="118">
        <f>CAPEX!I62</f>
        <v>2776.34</v>
      </c>
      <c r="I62" s="118">
        <f t="shared" si="3"/>
        <v>2776.34</v>
      </c>
      <c r="J62" s="47"/>
      <c r="K62" s="8">
        <f t="shared" si="2"/>
        <v>6</v>
      </c>
      <c r="L62" s="8">
        <f t="shared" si="8"/>
        <v>5</v>
      </c>
      <c r="M62" s="8">
        <f t="shared" si="8"/>
        <v>4</v>
      </c>
      <c r="N62" s="66">
        <f t="shared" si="4"/>
        <v>16658.04</v>
      </c>
      <c r="O62" s="66"/>
      <c r="P62" s="70"/>
      <c r="Q62" s="70"/>
      <c r="R62" s="18"/>
    </row>
    <row r="63" spans="2:18" x14ac:dyDescent="0.3">
      <c r="B63" s="8" t="s">
        <v>117</v>
      </c>
      <c r="C63" s="8">
        <v>0</v>
      </c>
      <c r="D63" s="66">
        <v>40022</v>
      </c>
      <c r="E63" s="103">
        <v>8</v>
      </c>
      <c r="F63" s="66">
        <f t="shared" si="5"/>
        <v>5002.75</v>
      </c>
      <c r="G63" s="118">
        <f>CAPEX!H63</f>
        <v>5002.75</v>
      </c>
      <c r="H63" s="118">
        <f>CAPEX!I63</f>
        <v>5002.75</v>
      </c>
      <c r="I63" s="118">
        <f t="shared" si="3"/>
        <v>5002.75</v>
      </c>
      <c r="J63" s="47"/>
      <c r="K63" s="8">
        <f t="shared" si="2"/>
        <v>7</v>
      </c>
      <c r="L63" s="8">
        <f t="shared" si="8"/>
        <v>6</v>
      </c>
      <c r="M63" s="8">
        <f t="shared" si="8"/>
        <v>5</v>
      </c>
      <c r="N63" s="66">
        <f t="shared" si="4"/>
        <v>35019.25</v>
      </c>
      <c r="O63" s="66"/>
      <c r="P63" s="70"/>
      <c r="Q63" s="70"/>
      <c r="R63" s="18"/>
    </row>
    <row r="64" spans="2:18" x14ac:dyDescent="0.3">
      <c r="B64" s="8" t="s">
        <v>117</v>
      </c>
      <c r="C64" s="8">
        <v>0</v>
      </c>
      <c r="D64" s="66">
        <f>38078.9+3125.94</f>
        <v>41204.840000000004</v>
      </c>
      <c r="E64" s="103">
        <v>8</v>
      </c>
      <c r="F64" s="66">
        <f t="shared" si="5"/>
        <v>5150.6050000000005</v>
      </c>
      <c r="G64" s="118">
        <f>CAPEX!H64</f>
        <v>5150.6050000000005</v>
      </c>
      <c r="H64" s="118">
        <f>CAPEX!I64</f>
        <v>5150.6050000000005</v>
      </c>
      <c r="I64" s="118">
        <f t="shared" si="3"/>
        <v>5150.6050000000005</v>
      </c>
      <c r="J64" s="47"/>
      <c r="K64" s="8">
        <f t="shared" si="2"/>
        <v>7</v>
      </c>
      <c r="L64" s="8">
        <f t="shared" si="8"/>
        <v>6</v>
      </c>
      <c r="M64" s="8">
        <f t="shared" si="8"/>
        <v>5</v>
      </c>
      <c r="N64" s="66">
        <f t="shared" si="4"/>
        <v>36054.235000000001</v>
      </c>
      <c r="O64" s="66"/>
      <c r="P64" s="70"/>
      <c r="Q64" s="70"/>
      <c r="R64" s="18"/>
    </row>
    <row r="65" spans="2:18" x14ac:dyDescent="0.3">
      <c r="B65" s="8" t="s">
        <v>117</v>
      </c>
      <c r="C65" s="8">
        <v>0</v>
      </c>
      <c r="D65" s="66">
        <v>3845.28</v>
      </c>
      <c r="E65" s="103">
        <v>3</v>
      </c>
      <c r="F65" s="66">
        <f t="shared" si="5"/>
        <v>1281.76</v>
      </c>
      <c r="G65" s="118">
        <f>CAPEX!H65</f>
        <v>1281.76</v>
      </c>
      <c r="H65" s="118">
        <f>CAPEX!I65</f>
        <v>1281.76</v>
      </c>
      <c r="I65" s="118">
        <f t="shared" si="3"/>
        <v>0</v>
      </c>
      <c r="J65" s="47"/>
      <c r="K65" s="8">
        <f t="shared" si="2"/>
        <v>2</v>
      </c>
      <c r="L65" s="8">
        <f t="shared" si="8"/>
        <v>1</v>
      </c>
      <c r="M65" s="8">
        <f t="shared" si="8"/>
        <v>0</v>
      </c>
      <c r="N65" s="66">
        <f t="shared" si="4"/>
        <v>2563.52</v>
      </c>
      <c r="O65" s="66"/>
      <c r="P65" s="70"/>
      <c r="Q65" s="70"/>
      <c r="R65" s="18"/>
    </row>
    <row r="66" spans="2:18" x14ac:dyDescent="0.3">
      <c r="B66" s="8" t="s">
        <v>117</v>
      </c>
      <c r="C66" s="8">
        <v>0</v>
      </c>
      <c r="D66" s="66">
        <f>2429+1416</f>
        <v>3845</v>
      </c>
      <c r="E66" s="103">
        <v>3</v>
      </c>
      <c r="F66" s="66">
        <f t="shared" si="5"/>
        <v>1281.6666666666667</v>
      </c>
      <c r="G66" s="118">
        <f>CAPEX!H66</f>
        <v>1281.6666666666667</v>
      </c>
      <c r="H66" s="118">
        <f>CAPEX!I66</f>
        <v>1281.6666666666667</v>
      </c>
      <c r="I66" s="118">
        <f t="shared" si="3"/>
        <v>0</v>
      </c>
      <c r="J66" s="47"/>
      <c r="K66" s="8">
        <f t="shared" si="2"/>
        <v>2</v>
      </c>
      <c r="L66" s="8">
        <f t="shared" si="8"/>
        <v>1</v>
      </c>
      <c r="M66" s="8">
        <f t="shared" si="8"/>
        <v>0</v>
      </c>
      <c r="N66" s="66">
        <f t="shared" si="4"/>
        <v>2563.3333333333335</v>
      </c>
      <c r="O66" s="66"/>
      <c r="P66" s="70"/>
      <c r="Q66" s="70"/>
      <c r="R66" s="18"/>
    </row>
    <row r="67" spans="2:18" x14ac:dyDescent="0.3">
      <c r="B67" s="8" t="s">
        <v>126</v>
      </c>
      <c r="C67" s="8">
        <v>0</v>
      </c>
      <c r="D67" s="66">
        <v>280000</v>
      </c>
      <c r="E67" s="103">
        <v>3</v>
      </c>
      <c r="F67" s="66">
        <f t="shared" si="5"/>
        <v>93333.333333333328</v>
      </c>
      <c r="G67" s="118">
        <f>CAPEX!H67</f>
        <v>93333.333333333328</v>
      </c>
      <c r="H67" s="118">
        <f>CAPEX!I67</f>
        <v>93333.333333333328</v>
      </c>
      <c r="I67" s="118">
        <f t="shared" si="3"/>
        <v>0</v>
      </c>
      <c r="J67" s="47"/>
      <c r="K67" s="8">
        <f t="shared" si="2"/>
        <v>2</v>
      </c>
      <c r="L67" s="8">
        <f t="shared" si="8"/>
        <v>1</v>
      </c>
      <c r="M67" s="8">
        <f t="shared" si="8"/>
        <v>0</v>
      </c>
      <c r="N67" s="66">
        <f>D67/2-F67/2</f>
        <v>93333.333333333343</v>
      </c>
      <c r="O67" s="66"/>
      <c r="P67" s="70"/>
      <c r="Q67" s="70"/>
      <c r="R67" s="18"/>
    </row>
    <row r="68" spans="2:18" x14ac:dyDescent="0.3">
      <c r="B68" s="8" t="s">
        <v>117</v>
      </c>
      <c r="C68" s="8">
        <v>1</v>
      </c>
      <c r="D68" s="66">
        <v>25450.68</v>
      </c>
      <c r="E68" s="103">
        <v>5</v>
      </c>
      <c r="F68" s="66">
        <f t="shared" si="5"/>
        <v>5090.1360000000004</v>
      </c>
      <c r="G68" s="118">
        <f>CAPEX!H68</f>
        <v>5090.1360000000004</v>
      </c>
      <c r="H68" s="118">
        <f>CAPEX!I68</f>
        <v>5090.1360000000004</v>
      </c>
      <c r="I68" s="118">
        <f t="shared" si="3"/>
        <v>5090.1360000000004</v>
      </c>
      <c r="J68" s="47"/>
      <c r="K68" s="8">
        <f t="shared" si="2"/>
        <v>3</v>
      </c>
      <c r="L68" s="8">
        <f t="shared" si="8"/>
        <v>2</v>
      </c>
      <c r="M68" s="8">
        <f t="shared" si="8"/>
        <v>1</v>
      </c>
      <c r="N68" s="66">
        <f t="shared" si="4"/>
        <v>15270.408000000001</v>
      </c>
      <c r="O68" s="66"/>
      <c r="P68" s="70"/>
      <c r="Q68" s="70"/>
      <c r="R68" s="18"/>
    </row>
    <row r="69" spans="2:18" x14ac:dyDescent="0.3">
      <c r="B69" s="8" t="s">
        <v>116</v>
      </c>
      <c r="C69" s="8">
        <v>1</v>
      </c>
      <c r="D69" s="66">
        <v>2545.6799999999998</v>
      </c>
      <c r="E69" s="103">
        <v>3</v>
      </c>
      <c r="F69" s="66">
        <f t="shared" si="5"/>
        <v>848.56</v>
      </c>
      <c r="G69" s="118">
        <f>CAPEX!H69</f>
        <v>848.56</v>
      </c>
      <c r="H69" s="118">
        <f>CAPEX!I69</f>
        <v>0</v>
      </c>
      <c r="I69" s="118">
        <f t="shared" si="3"/>
        <v>0</v>
      </c>
      <c r="J69" s="47"/>
      <c r="K69" s="8">
        <f t="shared" si="2"/>
        <v>1</v>
      </c>
      <c r="L69" s="8">
        <f t="shared" ref="L69:M83" si="9">K69-1</f>
        <v>0</v>
      </c>
      <c r="M69" s="8">
        <f t="shared" si="9"/>
        <v>-1</v>
      </c>
      <c r="N69" s="66">
        <f t="shared" si="4"/>
        <v>848.56</v>
      </c>
      <c r="O69" s="66"/>
      <c r="P69" s="70"/>
      <c r="Q69" s="70"/>
      <c r="R69" s="18"/>
    </row>
    <row r="70" spans="2:18" x14ac:dyDescent="0.3">
      <c r="B70" s="8" t="s">
        <v>116</v>
      </c>
      <c r="C70" s="8">
        <v>1</v>
      </c>
      <c r="D70" s="66">
        <v>2545.6799999999998</v>
      </c>
      <c r="E70" s="103">
        <v>3</v>
      </c>
      <c r="F70" s="66">
        <f t="shared" si="5"/>
        <v>848.56</v>
      </c>
      <c r="G70" s="118">
        <f>CAPEX!H70</f>
        <v>848.56</v>
      </c>
      <c r="H70" s="118">
        <f>CAPEX!I70</f>
        <v>0</v>
      </c>
      <c r="I70" s="118">
        <f t="shared" si="3"/>
        <v>0</v>
      </c>
      <c r="J70" s="47"/>
      <c r="K70" s="8">
        <f t="shared" si="2"/>
        <v>1</v>
      </c>
      <c r="L70" s="8">
        <f t="shared" si="9"/>
        <v>0</v>
      </c>
      <c r="M70" s="8">
        <f t="shared" si="9"/>
        <v>-1</v>
      </c>
      <c r="N70" s="66">
        <f t="shared" si="4"/>
        <v>848.56</v>
      </c>
      <c r="O70" s="66"/>
      <c r="P70" s="70"/>
      <c r="Q70" s="70"/>
      <c r="R70" s="18"/>
    </row>
    <row r="71" spans="2:18" x14ac:dyDescent="0.3">
      <c r="B71" s="8" t="s">
        <v>116</v>
      </c>
      <c r="C71" s="8">
        <v>1</v>
      </c>
      <c r="D71" s="66">
        <v>2545.6799999999998</v>
      </c>
      <c r="E71" s="103">
        <v>3</v>
      </c>
      <c r="F71" s="66">
        <f t="shared" si="5"/>
        <v>848.56</v>
      </c>
      <c r="G71" s="118">
        <f>CAPEX!H71</f>
        <v>848.56</v>
      </c>
      <c r="H71" s="118">
        <f>CAPEX!I71</f>
        <v>0</v>
      </c>
      <c r="I71" s="118">
        <f t="shared" si="3"/>
        <v>0</v>
      </c>
      <c r="J71" s="47"/>
      <c r="K71" s="8">
        <f t="shared" si="2"/>
        <v>1</v>
      </c>
      <c r="L71" s="8">
        <f t="shared" si="9"/>
        <v>0</v>
      </c>
      <c r="M71" s="8">
        <f t="shared" si="9"/>
        <v>-1</v>
      </c>
      <c r="N71" s="66">
        <f t="shared" si="4"/>
        <v>848.56</v>
      </c>
      <c r="O71" s="66"/>
      <c r="P71" s="70"/>
      <c r="Q71" s="70"/>
      <c r="R71" s="18"/>
    </row>
    <row r="72" spans="2:18" x14ac:dyDescent="0.3">
      <c r="B72" s="8" t="s">
        <v>116</v>
      </c>
      <c r="C72" s="8">
        <v>1</v>
      </c>
      <c r="D72" s="66">
        <f>22396-2373</f>
        <v>20023</v>
      </c>
      <c r="E72" s="103">
        <v>6</v>
      </c>
      <c r="F72" s="66">
        <f t="shared" si="5"/>
        <v>3337.1666666666665</v>
      </c>
      <c r="G72" s="118">
        <f>CAPEX!H72</f>
        <v>3337.1666666666665</v>
      </c>
      <c r="H72" s="118">
        <f>CAPEX!I72</f>
        <v>3337.1666666666665</v>
      </c>
      <c r="I72" s="118">
        <f t="shared" si="3"/>
        <v>3337.1666666666665</v>
      </c>
      <c r="J72" s="47"/>
      <c r="K72" s="8">
        <f t="shared" si="2"/>
        <v>4</v>
      </c>
      <c r="L72" s="8">
        <f t="shared" si="9"/>
        <v>3</v>
      </c>
      <c r="M72" s="8">
        <f t="shared" si="9"/>
        <v>2</v>
      </c>
      <c r="N72" s="66">
        <f t="shared" si="4"/>
        <v>13348.666666666666</v>
      </c>
      <c r="O72" s="66"/>
      <c r="P72" s="70"/>
      <c r="Q72" s="70"/>
      <c r="R72" s="18"/>
    </row>
    <row r="73" spans="2:18" x14ac:dyDescent="0.3">
      <c r="B73" s="8" t="s">
        <v>116</v>
      </c>
      <c r="C73" s="8">
        <v>2</v>
      </c>
      <c r="D73" s="66">
        <f>2476.98+957</f>
        <v>3433.98</v>
      </c>
      <c r="E73" s="103">
        <v>3</v>
      </c>
      <c r="F73" s="66">
        <f t="shared" si="5"/>
        <v>1144.6600000000001</v>
      </c>
      <c r="G73" s="118">
        <f>CAPEX!H73</f>
        <v>0</v>
      </c>
      <c r="H73" s="118">
        <f>CAPEX!I73</f>
        <v>0</v>
      </c>
      <c r="I73" s="118">
        <f t="shared" si="3"/>
        <v>0</v>
      </c>
      <c r="J73" s="47"/>
      <c r="K73" s="8">
        <f t="shared" si="2"/>
        <v>0</v>
      </c>
      <c r="L73" s="8">
        <f t="shared" si="9"/>
        <v>-1</v>
      </c>
      <c r="M73" s="8">
        <f t="shared" si="9"/>
        <v>-2</v>
      </c>
      <c r="N73" s="66">
        <f t="shared" si="4"/>
        <v>0</v>
      </c>
      <c r="O73" s="66"/>
      <c r="P73" s="70"/>
      <c r="Q73" s="70"/>
      <c r="R73" s="18"/>
    </row>
    <row r="74" spans="2:18" x14ac:dyDescent="0.3">
      <c r="B74" s="8" t="s">
        <v>116</v>
      </c>
      <c r="C74" s="8">
        <v>2</v>
      </c>
      <c r="D74" s="66">
        <v>17564.78</v>
      </c>
      <c r="E74" s="103">
        <v>7</v>
      </c>
      <c r="F74" s="66">
        <f t="shared" si="5"/>
        <v>2509.2542857142857</v>
      </c>
      <c r="G74" s="118">
        <f>CAPEX!H74</f>
        <v>2509.2542857142857</v>
      </c>
      <c r="H74" s="118">
        <f>CAPEX!I74</f>
        <v>2509.2542857142857</v>
      </c>
      <c r="I74" s="118">
        <f t="shared" si="3"/>
        <v>2509.2542857142857</v>
      </c>
      <c r="J74" s="47"/>
      <c r="K74" s="8">
        <f t="shared" si="2"/>
        <v>4</v>
      </c>
      <c r="L74" s="8">
        <f t="shared" si="9"/>
        <v>3</v>
      </c>
      <c r="M74" s="8">
        <f t="shared" si="9"/>
        <v>2</v>
      </c>
      <c r="N74" s="66">
        <f t="shared" si="4"/>
        <v>10037.017142857143</v>
      </c>
      <c r="O74" s="66"/>
      <c r="P74" s="70"/>
      <c r="Q74" s="70"/>
      <c r="R74" s="18"/>
    </row>
    <row r="75" spans="2:18" x14ac:dyDescent="0.3">
      <c r="B75" s="8" t="s">
        <v>116</v>
      </c>
      <c r="C75" s="8">
        <v>2</v>
      </c>
      <c r="D75" s="66">
        <v>15424.28</v>
      </c>
      <c r="E75" s="103">
        <v>8</v>
      </c>
      <c r="F75" s="66">
        <f t="shared" si="5"/>
        <v>1928.0350000000001</v>
      </c>
      <c r="G75" s="118">
        <f>CAPEX!H75</f>
        <v>1928.0350000000001</v>
      </c>
      <c r="H75" s="118">
        <f>CAPEX!I75</f>
        <v>1928.0350000000001</v>
      </c>
      <c r="I75" s="118">
        <f t="shared" si="3"/>
        <v>1928.0350000000001</v>
      </c>
      <c r="J75" s="47"/>
      <c r="K75" s="8">
        <f t="shared" si="2"/>
        <v>5</v>
      </c>
      <c r="L75" s="8">
        <f t="shared" si="9"/>
        <v>4</v>
      </c>
      <c r="M75" s="8">
        <f t="shared" si="9"/>
        <v>3</v>
      </c>
      <c r="N75" s="66">
        <f t="shared" si="4"/>
        <v>9640.1750000000011</v>
      </c>
      <c r="O75" s="66"/>
      <c r="P75" s="70"/>
      <c r="Q75" s="70"/>
      <c r="R75" s="18"/>
    </row>
    <row r="76" spans="2:18" x14ac:dyDescent="0.3">
      <c r="B76" s="8" t="s">
        <v>116</v>
      </c>
      <c r="C76" s="8">
        <v>2</v>
      </c>
      <c r="D76" s="66">
        <v>5325.28</v>
      </c>
      <c r="E76" s="103">
        <v>3</v>
      </c>
      <c r="F76" s="66">
        <f t="shared" si="5"/>
        <v>1775.0933333333332</v>
      </c>
      <c r="G76" s="118">
        <f>CAPEX!H76</f>
        <v>0</v>
      </c>
      <c r="H76" s="118">
        <f>CAPEX!I76</f>
        <v>0</v>
      </c>
      <c r="I76" s="118">
        <f t="shared" si="3"/>
        <v>0</v>
      </c>
      <c r="J76" s="47"/>
      <c r="K76" s="8">
        <f t="shared" si="2"/>
        <v>0</v>
      </c>
      <c r="L76" s="8">
        <f t="shared" si="9"/>
        <v>-1</v>
      </c>
      <c r="M76" s="8">
        <f t="shared" si="9"/>
        <v>-2</v>
      </c>
      <c r="N76" s="66">
        <f t="shared" si="4"/>
        <v>0</v>
      </c>
      <c r="O76" s="66"/>
      <c r="P76" s="70"/>
      <c r="Q76" s="70"/>
      <c r="R76" s="18"/>
    </row>
    <row r="77" spans="2:18" x14ac:dyDescent="0.3">
      <c r="B77" s="8" t="s">
        <v>116</v>
      </c>
      <c r="C77" s="8">
        <v>2</v>
      </c>
      <c r="D77" s="66">
        <v>1484</v>
      </c>
      <c r="E77" s="103">
        <v>4</v>
      </c>
      <c r="F77" s="66">
        <f t="shared" si="5"/>
        <v>371</v>
      </c>
      <c r="G77" s="118">
        <f>CAPEX!H77</f>
        <v>371</v>
      </c>
      <c r="H77" s="118">
        <f>CAPEX!I77</f>
        <v>0</v>
      </c>
      <c r="I77" s="118">
        <f t="shared" si="3"/>
        <v>0</v>
      </c>
      <c r="J77" s="47"/>
      <c r="K77" s="8">
        <f t="shared" si="2"/>
        <v>1</v>
      </c>
      <c r="L77" s="8">
        <f t="shared" si="9"/>
        <v>0</v>
      </c>
      <c r="M77" s="8">
        <f t="shared" si="9"/>
        <v>-1</v>
      </c>
      <c r="N77" s="66">
        <f t="shared" si="4"/>
        <v>371</v>
      </c>
      <c r="O77" s="66"/>
      <c r="P77" s="70"/>
      <c r="Q77" s="70"/>
      <c r="R77" s="18"/>
    </row>
    <row r="78" spans="2:18" x14ac:dyDescent="0.3">
      <c r="B78" s="8" t="s">
        <v>116</v>
      </c>
      <c r="C78" s="8">
        <v>2</v>
      </c>
      <c r="D78" s="66">
        <v>2802</v>
      </c>
      <c r="E78" s="103">
        <v>3</v>
      </c>
      <c r="F78" s="66">
        <f t="shared" si="5"/>
        <v>934</v>
      </c>
      <c r="G78" s="118">
        <f>CAPEX!H78</f>
        <v>0</v>
      </c>
      <c r="H78" s="118">
        <f>CAPEX!I78</f>
        <v>0</v>
      </c>
      <c r="I78" s="118">
        <f t="shared" si="3"/>
        <v>0</v>
      </c>
      <c r="J78" s="47"/>
      <c r="K78" s="8">
        <f t="shared" si="2"/>
        <v>0</v>
      </c>
      <c r="L78" s="8">
        <f t="shared" si="9"/>
        <v>-1</v>
      </c>
      <c r="M78" s="8">
        <f t="shared" si="9"/>
        <v>-2</v>
      </c>
      <c r="N78" s="66">
        <f t="shared" si="4"/>
        <v>0</v>
      </c>
      <c r="O78" s="66"/>
      <c r="P78" s="70"/>
      <c r="Q78" s="70"/>
      <c r="R78" s="18"/>
    </row>
    <row r="79" spans="2:18" x14ac:dyDescent="0.3">
      <c r="B79" s="8" t="s">
        <v>116</v>
      </c>
      <c r="C79" s="8">
        <v>2</v>
      </c>
      <c r="D79" s="66">
        <v>3966</v>
      </c>
      <c r="E79" s="103">
        <v>3</v>
      </c>
      <c r="F79" s="66">
        <f t="shared" si="5"/>
        <v>1322</v>
      </c>
      <c r="G79" s="118">
        <f>CAPEX!H79</f>
        <v>0</v>
      </c>
      <c r="H79" s="118">
        <f>CAPEX!I79</f>
        <v>0</v>
      </c>
      <c r="I79" s="118">
        <f t="shared" si="3"/>
        <v>0</v>
      </c>
      <c r="J79" s="47"/>
      <c r="K79" s="8">
        <f t="shared" si="2"/>
        <v>0</v>
      </c>
      <c r="L79" s="8">
        <f t="shared" si="9"/>
        <v>-1</v>
      </c>
      <c r="M79" s="8">
        <f t="shared" si="9"/>
        <v>-2</v>
      </c>
      <c r="N79" s="66">
        <f t="shared" si="4"/>
        <v>0</v>
      </c>
      <c r="O79" s="66"/>
      <c r="P79" s="70"/>
      <c r="Q79" s="70"/>
      <c r="R79" s="18"/>
    </row>
    <row r="80" spans="2:18" x14ac:dyDescent="0.3">
      <c r="B80" s="8" t="s">
        <v>118</v>
      </c>
      <c r="C80" s="8">
        <v>3</v>
      </c>
      <c r="D80" s="66">
        <f>6810-1660</f>
        <v>5150</v>
      </c>
      <c r="E80" s="103">
        <v>5</v>
      </c>
      <c r="F80" s="66">
        <f t="shared" si="5"/>
        <v>1030</v>
      </c>
      <c r="G80" s="118">
        <f>CAPEX!H80</f>
        <v>1030</v>
      </c>
      <c r="H80" s="118">
        <f>CAPEX!I80</f>
        <v>0</v>
      </c>
      <c r="I80" s="118">
        <f t="shared" si="3"/>
        <v>0</v>
      </c>
      <c r="J80" s="47"/>
      <c r="K80" s="8">
        <f t="shared" si="2"/>
        <v>1</v>
      </c>
      <c r="L80" s="8">
        <f t="shared" si="9"/>
        <v>0</v>
      </c>
      <c r="M80" s="8">
        <f t="shared" si="9"/>
        <v>-1</v>
      </c>
      <c r="N80" s="66">
        <f t="shared" si="4"/>
        <v>1030</v>
      </c>
      <c r="O80" s="66"/>
      <c r="P80" s="70"/>
      <c r="Q80" s="70"/>
      <c r="R80" s="18"/>
    </row>
    <row r="81" spans="1:18" x14ac:dyDescent="0.3">
      <c r="B81" s="8" t="s">
        <v>116</v>
      </c>
      <c r="C81" s="8">
        <v>1</v>
      </c>
      <c r="D81" s="66">
        <f>3993+957</f>
        <v>4950</v>
      </c>
      <c r="E81" s="103">
        <v>3</v>
      </c>
      <c r="F81" s="66">
        <f t="shared" si="5"/>
        <v>1650</v>
      </c>
      <c r="G81" s="118">
        <f>CAPEX!H81</f>
        <v>1650</v>
      </c>
      <c r="H81" s="118">
        <f>CAPEX!I81</f>
        <v>0</v>
      </c>
      <c r="I81" s="118">
        <f t="shared" si="3"/>
        <v>0</v>
      </c>
      <c r="J81" s="47"/>
      <c r="K81" s="8">
        <f t="shared" si="2"/>
        <v>1</v>
      </c>
      <c r="L81" s="8">
        <f t="shared" si="9"/>
        <v>0</v>
      </c>
      <c r="M81" s="8">
        <f t="shared" si="9"/>
        <v>-1</v>
      </c>
      <c r="N81" s="66">
        <f t="shared" si="4"/>
        <v>1650</v>
      </c>
      <c r="O81" s="66"/>
      <c r="P81" s="70"/>
      <c r="Q81" s="70"/>
      <c r="R81" s="18"/>
    </row>
    <row r="82" spans="1:18" x14ac:dyDescent="0.3">
      <c r="B82" s="8" t="s">
        <v>118</v>
      </c>
      <c r="C82" s="8">
        <v>1</v>
      </c>
      <c r="D82" s="66">
        <v>500000</v>
      </c>
      <c r="E82" s="103">
        <v>10</v>
      </c>
      <c r="F82" s="66">
        <f t="shared" si="5"/>
        <v>50000</v>
      </c>
      <c r="G82" s="118">
        <f>CAPEX!H82</f>
        <v>50000</v>
      </c>
      <c r="H82" s="118">
        <f>CAPEX!I82</f>
        <v>50000</v>
      </c>
      <c r="I82" s="118">
        <f t="shared" si="3"/>
        <v>50000</v>
      </c>
      <c r="J82" s="47"/>
      <c r="K82" s="8">
        <f t="shared" si="2"/>
        <v>8</v>
      </c>
      <c r="L82" s="8">
        <f t="shared" si="9"/>
        <v>7</v>
      </c>
      <c r="M82" s="8">
        <f t="shared" si="9"/>
        <v>6</v>
      </c>
      <c r="N82" s="66">
        <f t="shared" si="4"/>
        <v>400000</v>
      </c>
      <c r="O82" s="66"/>
      <c r="P82" s="70"/>
      <c r="Q82" s="70"/>
      <c r="R82" s="18"/>
    </row>
    <row r="83" spans="1:18" x14ac:dyDescent="0.3">
      <c r="B83" s="8" t="s">
        <v>117</v>
      </c>
      <c r="C83" s="8">
        <v>0</v>
      </c>
      <c r="D83" s="66">
        <v>28173</v>
      </c>
      <c r="E83" s="103">
        <v>8</v>
      </c>
      <c r="F83" s="66">
        <f t="shared" si="5"/>
        <v>3521.625</v>
      </c>
      <c r="G83" s="119">
        <f>CAPEX!H83</f>
        <v>3521.625</v>
      </c>
      <c r="H83" s="119">
        <f>CAPEX!I83</f>
        <v>3521.625</v>
      </c>
      <c r="I83" s="119">
        <f t="shared" si="3"/>
        <v>3521.625</v>
      </c>
      <c r="J83" s="47"/>
      <c r="K83" s="8">
        <f t="shared" ref="K83" si="10">E83-C83-1</f>
        <v>7</v>
      </c>
      <c r="L83" s="8">
        <f t="shared" si="9"/>
        <v>6</v>
      </c>
      <c r="M83" s="8">
        <f t="shared" si="9"/>
        <v>5</v>
      </c>
      <c r="N83" s="66">
        <f t="shared" si="4"/>
        <v>24651.375</v>
      </c>
      <c r="O83" s="66"/>
      <c r="P83" s="70"/>
      <c r="Q83" s="70"/>
      <c r="R83" s="18"/>
    </row>
    <row r="84" spans="1:18" x14ac:dyDescent="0.3">
      <c r="B84" s="8" t="s">
        <v>127</v>
      </c>
      <c r="D84" s="66"/>
      <c r="E84" s="103"/>
      <c r="F84" s="66"/>
      <c r="G84" s="120">
        <f>F4/5*1000</f>
        <v>10000</v>
      </c>
      <c r="H84" s="120">
        <f>CAPEX!I84</f>
        <v>10000</v>
      </c>
      <c r="I84" s="120">
        <f>H84</f>
        <v>10000</v>
      </c>
      <c r="J84" s="47"/>
      <c r="N84" s="66"/>
      <c r="O84" s="66"/>
      <c r="P84" s="70"/>
      <c r="Q84" s="70"/>
      <c r="R84" s="18"/>
    </row>
    <row r="85" spans="1:18" x14ac:dyDescent="0.3">
      <c r="B85" s="8" t="s">
        <v>128</v>
      </c>
      <c r="D85" s="66"/>
      <c r="E85" s="103"/>
      <c r="F85" s="66"/>
      <c r="G85" s="120">
        <f>CAPEX!H85</f>
        <v>33333.333333333336</v>
      </c>
      <c r="H85" s="120">
        <f>CAPEX!I85</f>
        <v>33333.333333333336</v>
      </c>
      <c r="I85" s="120">
        <f>H85</f>
        <v>33333.333333333336</v>
      </c>
      <c r="J85" s="47"/>
      <c r="N85" s="66"/>
      <c r="O85" s="66"/>
      <c r="P85" s="70"/>
      <c r="Q85" s="70"/>
      <c r="R85" s="18"/>
    </row>
    <row r="86" spans="1:18" x14ac:dyDescent="0.3">
      <c r="B86" s="8" t="s">
        <v>129</v>
      </c>
      <c r="D86" s="66"/>
      <c r="E86" s="103"/>
      <c r="F86" s="66"/>
      <c r="G86" s="120"/>
      <c r="H86" s="120"/>
      <c r="I86" s="120"/>
      <c r="J86" s="47"/>
      <c r="N86" s="66"/>
      <c r="O86" s="66"/>
      <c r="P86" s="70"/>
      <c r="Q86" s="70"/>
      <c r="R86" s="18"/>
    </row>
    <row r="87" spans="1:18" x14ac:dyDescent="0.3">
      <c r="B87" s="8" t="s">
        <v>130</v>
      </c>
      <c r="C87" s="69"/>
      <c r="D87" s="66"/>
      <c r="E87" s="103"/>
      <c r="F87" s="66"/>
      <c r="G87" s="120"/>
      <c r="H87" s="120"/>
      <c r="I87" s="120"/>
      <c r="J87" s="47"/>
      <c r="R87" s="18"/>
    </row>
    <row r="88" spans="1:18" x14ac:dyDescent="0.3">
      <c r="B88" s="8" t="s">
        <v>131</v>
      </c>
      <c r="C88" s="69"/>
      <c r="D88" s="66"/>
      <c r="E88" s="103"/>
      <c r="F88" s="66"/>
      <c r="G88" s="121"/>
      <c r="H88" s="121"/>
      <c r="I88" s="121"/>
      <c r="J88" s="47"/>
      <c r="R88" s="18"/>
    </row>
    <row r="89" spans="1:18" ht="15.75" thickBot="1" x14ac:dyDescent="0.35">
      <c r="A89" s="39" t="s">
        <v>78</v>
      </c>
      <c r="B89" s="39"/>
      <c r="C89" s="39"/>
      <c r="D89" s="108">
        <f t="shared" ref="D89:H89" si="11">+SUM(D19:D88)</f>
        <v>2912764.11</v>
      </c>
      <c r="E89" s="108"/>
      <c r="F89" s="108">
        <f t="shared" si="11"/>
        <v>443070.45504212438</v>
      </c>
      <c r="G89" s="108">
        <f t="shared" si="11"/>
        <v>420044.63504212454</v>
      </c>
      <c r="H89" s="108">
        <f t="shared" si="11"/>
        <v>404460.97093956044</v>
      </c>
      <c r="I89" s="108">
        <f>+SUM(I19:I88)</f>
        <v>307386.96093956049</v>
      </c>
    </row>
    <row r="90" spans="1:18" ht="15.75" thickTop="1" x14ac:dyDescent="0.3">
      <c r="N90" s="70">
        <f>SUM(N20:N83)/1000-20-20</f>
        <v>1093.6429171172167</v>
      </c>
      <c r="O90" s="70"/>
    </row>
    <row r="92" spans="1:18" hidden="1" x14ac:dyDescent="0.3">
      <c r="E92" s="8">
        <v>0</v>
      </c>
      <c r="F92" s="18">
        <f>SUBTOTAL(9,F19:F83)-F19-F58-F63-F64-F65-F66-F67-F83</f>
        <v>249916.71504212439</v>
      </c>
      <c r="N92" s="66">
        <f>SUBTOTAL(9,N19:N89)</f>
        <v>1658642.9171172162</v>
      </c>
    </row>
    <row r="93" spans="1:18" hidden="1" x14ac:dyDescent="0.3">
      <c r="E93" s="8">
        <v>-1</v>
      </c>
      <c r="F93" s="18">
        <f>SUBTOTAL(9,F19:F83)-F59-F60-F61-F62-F68-F69-F70-F71-F72-F81-F82</f>
        <v>363138.22654212429</v>
      </c>
      <c r="N93" s="66">
        <f>N19</f>
        <v>525000</v>
      </c>
    </row>
    <row r="94" spans="1:18" hidden="1" x14ac:dyDescent="0.3">
      <c r="E94" s="8">
        <v>-2</v>
      </c>
      <c r="F94" s="18">
        <f>SUBTOTAL(9,F19:F83)-F73-F74-F75-F76-F77-F78-F79</f>
        <v>433086.41242307681</v>
      </c>
      <c r="N94" s="66">
        <f>N92-N93</f>
        <v>1133642.9171172162</v>
      </c>
    </row>
    <row r="95" spans="1:18" x14ac:dyDescent="0.3">
      <c r="F95" s="18"/>
    </row>
    <row r="96" spans="1:18" x14ac:dyDescent="0.3">
      <c r="F96" s="65"/>
    </row>
  </sheetData>
  <mergeCells count="1">
    <mergeCell ref="A17:I1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E1E0-301C-4CB4-9CC4-C24E2250A0AE}">
  <sheetPr>
    <tabColor theme="5" tint="0.79998168889431442"/>
  </sheetPr>
  <dimension ref="A1:M48"/>
  <sheetViews>
    <sheetView zoomScaleNormal="100" workbookViewId="0">
      <pane ySplit="2" topLeftCell="A21" activePane="bottomLeft" state="frozen"/>
      <selection activeCell="A31" sqref="A31:XFD37"/>
      <selection pane="bottomLeft" activeCell="C1" sqref="C1"/>
    </sheetView>
  </sheetViews>
  <sheetFormatPr defaultColWidth="11" defaultRowHeight="15" x14ac:dyDescent="0.3"/>
  <cols>
    <col min="1" max="1" width="9.125" style="8" customWidth="1"/>
    <col min="2" max="2" width="17.625" style="9" customWidth="1"/>
    <col min="3" max="7" width="12.5" style="8" customWidth="1"/>
    <col min="8" max="8" width="15.625" style="8" customWidth="1"/>
    <col min="9" max="11" width="12.5" style="8" customWidth="1"/>
    <col min="12" max="16384" width="11" style="8"/>
  </cols>
  <sheetData>
    <row r="1" spans="1:13" x14ac:dyDescent="0.3">
      <c r="A1" s="53" t="s">
        <v>132</v>
      </c>
      <c r="B1" s="55"/>
      <c r="C1" s="53"/>
      <c r="D1" s="53"/>
      <c r="E1" s="53"/>
      <c r="F1" s="53"/>
      <c r="G1" s="53"/>
      <c r="H1" s="53"/>
      <c r="I1" s="3"/>
      <c r="J1" s="3"/>
      <c r="K1" s="3"/>
    </row>
    <row r="2" spans="1:13" x14ac:dyDescent="0.3">
      <c r="A2" s="54" t="s">
        <v>133</v>
      </c>
      <c r="B2" s="56" t="s">
        <v>134</v>
      </c>
      <c r="C2" s="57" t="s">
        <v>135</v>
      </c>
      <c r="D2" s="58" t="s">
        <v>136</v>
      </c>
      <c r="E2" s="58" t="s">
        <v>137</v>
      </c>
      <c r="F2" s="58" t="s">
        <v>138</v>
      </c>
      <c r="G2" s="58" t="s">
        <v>139</v>
      </c>
      <c r="H2" s="58" t="s">
        <v>140</v>
      </c>
      <c r="I2" s="37" t="s">
        <v>7</v>
      </c>
      <c r="J2" s="37" t="s">
        <v>8</v>
      </c>
      <c r="K2" s="37" t="s">
        <v>9</v>
      </c>
    </row>
    <row r="3" spans="1:13" x14ac:dyDescent="0.3">
      <c r="A3" s="8">
        <v>1</v>
      </c>
      <c r="B3" s="9" t="s">
        <v>141</v>
      </c>
      <c r="C3" s="30">
        <f>H3-F3-E3</f>
        <v>1192.4615379845541</v>
      </c>
      <c r="D3" s="30"/>
      <c r="E3" s="30">
        <f>(H3-F3)*0.166666667</f>
        <v>238.49230816929233</v>
      </c>
      <c r="F3" s="30">
        <v>40</v>
      </c>
      <c r="G3" s="30"/>
      <c r="H3" s="30">
        <f>STAFF!I3/13</f>
        <v>1470.9538461538464</v>
      </c>
      <c r="I3" s="116"/>
      <c r="J3" s="116"/>
      <c r="K3" s="116"/>
      <c r="M3" s="61"/>
    </row>
    <row r="4" spans="1:13" x14ac:dyDescent="0.3">
      <c r="A4" s="8">
        <v>2</v>
      </c>
      <c r="B4" s="9" t="s">
        <v>142</v>
      </c>
      <c r="C4" s="30">
        <f t="shared" ref="C4:C34" si="0">H4-F4-E4</f>
        <v>747.82692277779233</v>
      </c>
      <c r="D4" s="30"/>
      <c r="E4" s="30">
        <f t="shared" ref="E4:E34" si="1">(H4-F4)*0.166666667</f>
        <v>149.56538491451536</v>
      </c>
      <c r="F4" s="30">
        <v>35</v>
      </c>
      <c r="G4" s="30"/>
      <c r="H4" s="30">
        <f>STAFF!I4/13</f>
        <v>932.39230769230767</v>
      </c>
      <c r="I4" s="116"/>
      <c r="J4" s="116"/>
      <c r="K4" s="116"/>
      <c r="M4" s="61"/>
    </row>
    <row r="5" spans="1:13" x14ac:dyDescent="0.3">
      <c r="A5" s="8">
        <v>3</v>
      </c>
      <c r="B5" s="9" t="s">
        <v>143</v>
      </c>
      <c r="C5" s="30">
        <f t="shared" si="0"/>
        <v>547.8076920885693</v>
      </c>
      <c r="D5" s="30"/>
      <c r="E5" s="30">
        <f t="shared" si="1"/>
        <v>109.56153868066154</v>
      </c>
      <c r="F5" s="30">
        <v>30</v>
      </c>
      <c r="G5" s="30"/>
      <c r="H5" s="30">
        <f>STAFF!I5/13</f>
        <v>687.36923076923085</v>
      </c>
      <c r="I5" s="116"/>
      <c r="J5" s="116"/>
      <c r="K5" s="116"/>
      <c r="M5" s="61"/>
    </row>
    <row r="6" spans="1:13" x14ac:dyDescent="0.3">
      <c r="A6" s="8">
        <v>4</v>
      </c>
      <c r="B6" s="9" t="s">
        <v>144</v>
      </c>
      <c r="C6" s="30">
        <f t="shared" si="0"/>
        <v>507.03846133564628</v>
      </c>
      <c r="D6" s="30"/>
      <c r="E6" s="30">
        <f t="shared" si="1"/>
        <v>101.4076925105077</v>
      </c>
      <c r="F6" s="30">
        <v>30</v>
      </c>
      <c r="G6" s="30"/>
      <c r="H6" s="30">
        <f>STAFF!I6/13</f>
        <v>638.44615384615395</v>
      </c>
      <c r="I6" s="116"/>
      <c r="J6" s="116"/>
      <c r="K6" s="116"/>
      <c r="M6" s="61"/>
    </row>
    <row r="7" spans="1:13" x14ac:dyDescent="0.3">
      <c r="A7" s="8">
        <v>5</v>
      </c>
      <c r="B7" s="9" t="s">
        <v>145</v>
      </c>
      <c r="C7" s="30">
        <f t="shared" si="0"/>
        <v>380.90384600148462</v>
      </c>
      <c r="D7" s="30"/>
      <c r="E7" s="30">
        <f t="shared" si="1"/>
        <v>76.180769383130766</v>
      </c>
      <c r="F7" s="30">
        <v>35</v>
      </c>
      <c r="G7" s="30"/>
      <c r="H7" s="30">
        <f>STAFF!I7/13</f>
        <v>492.0846153846154</v>
      </c>
      <c r="I7" s="116"/>
      <c r="J7" s="116"/>
      <c r="K7" s="116"/>
      <c r="M7" s="61"/>
    </row>
    <row r="8" spans="1:13" x14ac:dyDescent="0.3">
      <c r="A8" s="8">
        <v>6</v>
      </c>
      <c r="B8" s="9" t="s">
        <v>146</v>
      </c>
      <c r="C8" s="30">
        <f t="shared" si="0"/>
        <v>380.90384600148462</v>
      </c>
      <c r="D8" s="30"/>
      <c r="E8" s="30">
        <f t="shared" si="1"/>
        <v>76.180769383130766</v>
      </c>
      <c r="F8" s="30">
        <v>35</v>
      </c>
      <c r="G8" s="30"/>
      <c r="H8" s="30">
        <f>STAFF!I8/13</f>
        <v>492.0846153846154</v>
      </c>
      <c r="I8" s="116"/>
      <c r="J8" s="116"/>
      <c r="K8" s="116"/>
      <c r="M8" s="61"/>
    </row>
    <row r="9" spans="1:13" x14ac:dyDescent="0.3">
      <c r="A9" s="8">
        <v>7</v>
      </c>
      <c r="B9" s="9" t="s">
        <v>147</v>
      </c>
      <c r="C9" s="30">
        <f t="shared" si="0"/>
        <v>262.42307681810775</v>
      </c>
      <c r="D9" s="30"/>
      <c r="E9" s="30">
        <f t="shared" si="1"/>
        <v>52.48461548958462</v>
      </c>
      <c r="F9" s="30">
        <v>30</v>
      </c>
      <c r="G9" s="30"/>
      <c r="H9" s="30">
        <f>STAFF!I9/13</f>
        <v>344.90769230769234</v>
      </c>
      <c r="I9" s="116"/>
      <c r="J9" s="116"/>
      <c r="K9" s="116"/>
      <c r="M9" s="61"/>
    </row>
    <row r="10" spans="1:13" x14ac:dyDescent="0.3">
      <c r="A10" s="8">
        <v>8</v>
      </c>
      <c r="B10" s="9" t="s">
        <v>148</v>
      </c>
      <c r="C10" s="30">
        <f t="shared" si="0"/>
        <v>286.88461526986157</v>
      </c>
      <c r="D10" s="30"/>
      <c r="E10" s="30">
        <f t="shared" si="1"/>
        <v>57.37692319167693</v>
      </c>
      <c r="F10" s="30">
        <v>30</v>
      </c>
      <c r="G10" s="30"/>
      <c r="H10" s="30">
        <f>STAFF!I10/13</f>
        <v>374.26153846153852</v>
      </c>
      <c r="I10" s="116"/>
      <c r="J10" s="116"/>
      <c r="K10" s="116"/>
      <c r="M10" s="61"/>
    </row>
    <row r="11" spans="1:13" x14ac:dyDescent="0.3">
      <c r="A11" s="8">
        <v>9</v>
      </c>
      <c r="B11" s="9" t="s">
        <v>149</v>
      </c>
      <c r="C11" s="30">
        <f t="shared" si="0"/>
        <v>254.26923066752312</v>
      </c>
      <c r="D11" s="30"/>
      <c r="E11" s="30">
        <f t="shared" si="1"/>
        <v>50.853846255553847</v>
      </c>
      <c r="F11" s="30">
        <v>30</v>
      </c>
      <c r="G11" s="30"/>
      <c r="H11" s="30">
        <f>STAFF!I11/13</f>
        <v>335.12307692307695</v>
      </c>
      <c r="I11" s="116"/>
      <c r="J11" s="116"/>
      <c r="K11" s="116"/>
      <c r="M11" s="61"/>
    </row>
    <row r="12" spans="1:13" x14ac:dyDescent="0.3">
      <c r="A12" s="8">
        <v>10</v>
      </c>
      <c r="B12" s="9" t="s">
        <v>150</v>
      </c>
      <c r="C12" s="30">
        <f t="shared" si="0"/>
        <v>270.57692296869232</v>
      </c>
      <c r="D12" s="30"/>
      <c r="E12" s="30">
        <f t="shared" si="1"/>
        <v>54.115384723615378</v>
      </c>
      <c r="F12" s="30">
        <v>30</v>
      </c>
      <c r="G12" s="30"/>
      <c r="H12" s="30">
        <f>STAFF!I12/13</f>
        <v>354.69230769230768</v>
      </c>
      <c r="I12" s="116"/>
      <c r="J12" s="116"/>
      <c r="K12" s="116"/>
      <c r="M12" s="61"/>
    </row>
    <row r="13" spans="1:13" x14ac:dyDescent="0.3">
      <c r="A13" s="8">
        <v>11</v>
      </c>
      <c r="B13" s="9" t="s">
        <v>151</v>
      </c>
      <c r="C13" s="30">
        <f t="shared" si="0"/>
        <v>295.0384614204462</v>
      </c>
      <c r="D13" s="30"/>
      <c r="E13" s="30">
        <f t="shared" si="1"/>
        <v>59.007692425707688</v>
      </c>
      <c r="F13" s="30">
        <v>30</v>
      </c>
      <c r="G13" s="30"/>
      <c r="H13" s="30">
        <f>STAFF!I13/13</f>
        <v>384.04615384615386</v>
      </c>
      <c r="I13" s="116"/>
      <c r="J13" s="116"/>
      <c r="K13" s="116"/>
      <c r="M13" s="61"/>
    </row>
    <row r="14" spans="1:13" x14ac:dyDescent="0.3">
      <c r="A14" s="8">
        <v>12</v>
      </c>
      <c r="B14" s="9" t="s">
        <v>152</v>
      </c>
      <c r="C14" s="30">
        <f t="shared" si="0"/>
        <v>319.49999987219996</v>
      </c>
      <c r="D14" s="30"/>
      <c r="E14" s="30">
        <f t="shared" si="1"/>
        <v>63.900000127799991</v>
      </c>
      <c r="F14" s="30">
        <v>30</v>
      </c>
      <c r="G14" s="30"/>
      <c r="H14" s="30">
        <f>STAFF!I14/13</f>
        <v>413.4</v>
      </c>
      <c r="I14" s="116"/>
      <c r="J14" s="116"/>
      <c r="K14" s="116"/>
      <c r="M14" s="61"/>
    </row>
    <row r="15" spans="1:13" x14ac:dyDescent="0.3">
      <c r="A15" s="8">
        <v>13</v>
      </c>
      <c r="B15" s="9" t="s">
        <v>153</v>
      </c>
      <c r="C15" s="30">
        <f t="shared" si="0"/>
        <v>380.90384600148462</v>
      </c>
      <c r="D15" s="30"/>
      <c r="E15" s="30">
        <f t="shared" si="1"/>
        <v>76.180769383130766</v>
      </c>
      <c r="F15" s="30">
        <v>35</v>
      </c>
      <c r="G15" s="30"/>
      <c r="H15" s="30">
        <f>STAFF!I15/13</f>
        <v>492.0846153846154</v>
      </c>
      <c r="I15" s="116"/>
      <c r="J15" s="116"/>
      <c r="K15" s="116"/>
      <c r="M15" s="61"/>
    </row>
    <row r="16" spans="1:13" x14ac:dyDescent="0.3">
      <c r="A16" s="8">
        <v>14</v>
      </c>
      <c r="B16" s="9" t="s">
        <v>154</v>
      </c>
      <c r="C16" s="30">
        <f t="shared" si="0"/>
        <v>503.21153826025392</v>
      </c>
      <c r="D16" s="30"/>
      <c r="E16" s="30">
        <f t="shared" si="1"/>
        <v>100.64230789359232</v>
      </c>
      <c r="F16" s="30">
        <v>35</v>
      </c>
      <c r="G16" s="30"/>
      <c r="H16" s="30">
        <f>STAFF!I16/13</f>
        <v>638.85384615384623</v>
      </c>
      <c r="I16" s="116"/>
      <c r="J16" s="116"/>
      <c r="K16" s="116"/>
      <c r="M16" s="61"/>
    </row>
    <row r="17" spans="1:13" x14ac:dyDescent="0.3">
      <c r="A17" s="8">
        <v>15</v>
      </c>
      <c r="B17" s="9" t="s">
        <v>155</v>
      </c>
      <c r="C17" s="30">
        <f t="shared" si="0"/>
        <v>303.19230757103077</v>
      </c>
      <c r="D17" s="30"/>
      <c r="E17" s="30">
        <f t="shared" si="1"/>
        <v>60.638461659738461</v>
      </c>
      <c r="F17" s="30">
        <v>30</v>
      </c>
      <c r="G17" s="30"/>
      <c r="H17" s="30">
        <f>STAFF!I17/13</f>
        <v>393.83076923076925</v>
      </c>
      <c r="I17" s="116"/>
      <c r="J17" s="116"/>
      <c r="K17" s="116"/>
      <c r="M17" s="61"/>
    </row>
    <row r="18" spans="1:13" x14ac:dyDescent="0.3">
      <c r="A18" s="8">
        <v>16</v>
      </c>
      <c r="B18" s="9" t="s">
        <v>156</v>
      </c>
      <c r="C18" s="30">
        <f t="shared" si="0"/>
        <v>319.49999987219996</v>
      </c>
      <c r="D18" s="30"/>
      <c r="E18" s="30">
        <f t="shared" si="1"/>
        <v>63.900000127799991</v>
      </c>
      <c r="F18" s="30">
        <v>30</v>
      </c>
      <c r="G18" s="30"/>
      <c r="H18" s="30">
        <f>STAFF!I18/13</f>
        <v>413.4</v>
      </c>
      <c r="I18" s="116"/>
      <c r="J18" s="116"/>
      <c r="K18" s="116"/>
      <c r="M18" s="61"/>
    </row>
    <row r="19" spans="1:13" x14ac:dyDescent="0.3">
      <c r="A19" s="8">
        <v>17</v>
      </c>
      <c r="B19" s="9" t="s">
        <v>157</v>
      </c>
      <c r="C19" s="30">
        <f t="shared" si="0"/>
        <v>421.6730767544077</v>
      </c>
      <c r="D19" s="30"/>
      <c r="E19" s="30">
        <f t="shared" si="1"/>
        <v>84.334615553284607</v>
      </c>
      <c r="F19" s="30">
        <v>35</v>
      </c>
      <c r="G19" s="30"/>
      <c r="H19" s="30">
        <f>STAFF!I19/13</f>
        <v>541.00769230769231</v>
      </c>
      <c r="I19" s="116"/>
      <c r="J19" s="116"/>
      <c r="K19" s="116"/>
      <c r="M19" s="61"/>
    </row>
    <row r="20" spans="1:13" x14ac:dyDescent="0.3">
      <c r="A20" s="8">
        <v>18</v>
      </c>
      <c r="B20" s="9" t="s">
        <v>158</v>
      </c>
      <c r="C20" s="30">
        <f t="shared" si="0"/>
        <v>327.65384602278465</v>
      </c>
      <c r="D20" s="30"/>
      <c r="E20" s="30">
        <f t="shared" si="1"/>
        <v>65.530769361830778</v>
      </c>
      <c r="F20" s="30">
        <v>30</v>
      </c>
      <c r="G20" s="30"/>
      <c r="H20" s="30">
        <f>STAFF!I20/13</f>
        <v>423.18461538461543</v>
      </c>
      <c r="I20" s="116"/>
      <c r="J20" s="116"/>
      <c r="K20" s="116"/>
      <c r="M20" s="61"/>
    </row>
    <row r="21" spans="1:13" x14ac:dyDescent="0.3">
      <c r="A21" s="8">
        <v>19</v>
      </c>
      <c r="B21" s="9" t="s">
        <v>159</v>
      </c>
      <c r="C21" s="30">
        <f t="shared" si="0"/>
        <v>262.42307681810775</v>
      </c>
      <c r="D21" s="30"/>
      <c r="E21" s="30">
        <f t="shared" si="1"/>
        <v>52.48461548958462</v>
      </c>
      <c r="F21" s="30">
        <v>30</v>
      </c>
      <c r="G21" s="30"/>
      <c r="H21" s="30">
        <f>STAFF!I21/13</f>
        <v>344.90769230769234</v>
      </c>
      <c r="I21" s="116"/>
      <c r="J21" s="116"/>
      <c r="K21" s="116"/>
      <c r="M21" s="61"/>
    </row>
    <row r="22" spans="1:13" x14ac:dyDescent="0.3">
      <c r="A22" s="8">
        <v>20</v>
      </c>
      <c r="B22" s="9" t="s">
        <v>160</v>
      </c>
      <c r="C22" s="30">
        <f t="shared" si="0"/>
        <v>180.88461531226156</v>
      </c>
      <c r="D22" s="30"/>
      <c r="E22" s="30">
        <f t="shared" si="1"/>
        <v>36.176923149276924</v>
      </c>
      <c r="F22" s="30">
        <v>30</v>
      </c>
      <c r="G22" s="30"/>
      <c r="H22" s="30">
        <f>STAFF!I22/13</f>
        <v>247.06153846153848</v>
      </c>
      <c r="I22" s="116"/>
      <c r="J22" s="116"/>
      <c r="K22" s="116"/>
      <c r="M22" s="61"/>
    </row>
    <row r="23" spans="1:13" x14ac:dyDescent="0.3">
      <c r="A23" s="8">
        <v>21</v>
      </c>
      <c r="B23" s="9" t="s">
        <v>161</v>
      </c>
      <c r="C23" s="30">
        <f t="shared" si="0"/>
        <v>221.65384606518461</v>
      </c>
      <c r="D23" s="30"/>
      <c r="E23" s="30">
        <f t="shared" si="1"/>
        <v>44.330769319430765</v>
      </c>
      <c r="F23" s="30">
        <v>30</v>
      </c>
      <c r="G23" s="30"/>
      <c r="H23" s="30">
        <f>STAFF!I23/13</f>
        <v>295.98461538461538</v>
      </c>
      <c r="I23" s="116"/>
      <c r="J23" s="116"/>
      <c r="K23" s="116"/>
      <c r="M23" s="61"/>
    </row>
    <row r="24" spans="1:13" x14ac:dyDescent="0.3">
      <c r="A24" s="8">
        <v>22</v>
      </c>
      <c r="B24" s="9" t="s">
        <v>162</v>
      </c>
      <c r="C24" s="30">
        <f t="shared" si="0"/>
        <v>180.88461531226156</v>
      </c>
      <c r="D24" s="30"/>
      <c r="E24" s="30">
        <f t="shared" si="1"/>
        <v>36.176923149276924</v>
      </c>
      <c r="F24" s="30">
        <v>30</v>
      </c>
      <c r="G24" s="30"/>
      <c r="H24" s="30">
        <f>STAFF!I24/13</f>
        <v>247.06153846153848</v>
      </c>
      <c r="I24" s="116"/>
      <c r="J24" s="116"/>
      <c r="K24" s="116"/>
      <c r="M24" s="61"/>
    </row>
    <row r="25" spans="1:13" x14ac:dyDescent="0.3">
      <c r="A25" s="8">
        <v>23</v>
      </c>
      <c r="B25" s="9" t="s">
        <v>163</v>
      </c>
      <c r="C25" s="30">
        <f t="shared" si="0"/>
        <v>172.73076916167696</v>
      </c>
      <c r="D25" s="30"/>
      <c r="E25" s="30">
        <f t="shared" si="1"/>
        <v>34.546153915246158</v>
      </c>
      <c r="F25" s="30">
        <v>30</v>
      </c>
      <c r="G25" s="30"/>
      <c r="H25" s="30">
        <f>STAFF!I25/13</f>
        <v>237.27692307692311</v>
      </c>
      <c r="I25" s="116"/>
      <c r="J25" s="116"/>
      <c r="K25" s="116"/>
      <c r="M25" s="61"/>
    </row>
    <row r="26" spans="1:13" x14ac:dyDescent="0.3">
      <c r="A26" s="8">
        <v>24</v>
      </c>
      <c r="B26" s="9" t="s">
        <v>164</v>
      </c>
      <c r="C26" s="30">
        <f t="shared" si="0"/>
        <v>189.03846146284616</v>
      </c>
      <c r="D26" s="30"/>
      <c r="E26" s="30">
        <f t="shared" si="1"/>
        <v>37.807692383307696</v>
      </c>
      <c r="F26" s="30">
        <v>30</v>
      </c>
      <c r="G26" s="30"/>
      <c r="H26" s="30">
        <f>STAFF!I26/13</f>
        <v>256.84615384615387</v>
      </c>
      <c r="I26" s="116"/>
      <c r="J26" s="116"/>
      <c r="K26" s="116"/>
      <c r="M26" s="61"/>
    </row>
    <row r="27" spans="1:13" x14ac:dyDescent="0.3">
      <c r="A27" s="8">
        <v>25</v>
      </c>
      <c r="B27" s="9" t="s">
        <v>165</v>
      </c>
      <c r="C27" s="30">
        <f t="shared" si="0"/>
        <v>164.5769230110923</v>
      </c>
      <c r="D27" s="30"/>
      <c r="E27" s="30">
        <f t="shared" si="1"/>
        <v>32.915384681215386</v>
      </c>
      <c r="F27" s="30">
        <v>30</v>
      </c>
      <c r="G27" s="30"/>
      <c r="H27" s="30">
        <f>STAFF!I27/13</f>
        <v>227.49230769230769</v>
      </c>
      <c r="I27" s="116"/>
      <c r="J27" s="116"/>
      <c r="K27" s="116"/>
      <c r="M27" s="61"/>
    </row>
    <row r="28" spans="1:13" x14ac:dyDescent="0.3">
      <c r="A28" s="8">
        <v>26</v>
      </c>
      <c r="B28" s="9" t="s">
        <v>166</v>
      </c>
      <c r="C28" s="30">
        <f t="shared" si="0"/>
        <v>172.73076916167696</v>
      </c>
      <c r="D28" s="30"/>
      <c r="E28" s="30">
        <f t="shared" si="1"/>
        <v>34.546153915246158</v>
      </c>
      <c r="F28" s="30">
        <v>30</v>
      </c>
      <c r="G28" s="30"/>
      <c r="H28" s="30">
        <f>STAFF!I28/13</f>
        <v>237.27692307692311</v>
      </c>
      <c r="I28" s="116"/>
      <c r="J28" s="116"/>
      <c r="K28" s="116"/>
      <c r="M28" s="61"/>
    </row>
    <row r="29" spans="1:13" x14ac:dyDescent="0.3">
      <c r="A29" s="8">
        <v>27</v>
      </c>
      <c r="B29" s="9" t="s">
        <v>167</v>
      </c>
      <c r="C29" s="30">
        <f t="shared" si="0"/>
        <v>180.88461531226156</v>
      </c>
      <c r="D29" s="30"/>
      <c r="E29" s="30">
        <f t="shared" si="1"/>
        <v>36.176923149276924</v>
      </c>
      <c r="F29" s="30">
        <v>30</v>
      </c>
      <c r="G29" s="30"/>
      <c r="H29" s="30">
        <f>STAFF!I29/13</f>
        <v>247.06153846153848</v>
      </c>
      <c r="I29" s="116"/>
      <c r="J29" s="116"/>
      <c r="K29" s="116"/>
      <c r="M29" s="61"/>
    </row>
    <row r="30" spans="1:13" x14ac:dyDescent="0.3">
      <c r="A30" s="8">
        <v>28</v>
      </c>
      <c r="B30" s="9" t="s">
        <v>168</v>
      </c>
      <c r="C30" s="30">
        <f t="shared" si="0"/>
        <v>189.03846146284616</v>
      </c>
      <c r="D30" s="30"/>
      <c r="E30" s="30">
        <f t="shared" si="1"/>
        <v>37.807692383307696</v>
      </c>
      <c r="F30" s="30">
        <v>30</v>
      </c>
      <c r="G30" s="30"/>
      <c r="H30" s="30">
        <f>STAFF!I30/13</f>
        <v>256.84615384615387</v>
      </c>
      <c r="I30" s="116"/>
      <c r="J30" s="116"/>
      <c r="K30" s="116"/>
      <c r="M30" s="61"/>
    </row>
    <row r="31" spans="1:13" x14ac:dyDescent="0.3">
      <c r="A31" s="8">
        <v>29</v>
      </c>
      <c r="B31" s="9" t="s">
        <v>169</v>
      </c>
      <c r="C31" s="30">
        <f t="shared" si="0"/>
        <v>164.07692301129234</v>
      </c>
      <c r="D31" s="30"/>
      <c r="E31" s="30">
        <f t="shared" si="1"/>
        <v>32.815384681015388</v>
      </c>
      <c r="F31" s="30">
        <v>20</v>
      </c>
      <c r="G31" s="30"/>
      <c r="H31" s="30">
        <f>STAFF!I31/13</f>
        <v>216.89230769230772</v>
      </c>
      <c r="I31" s="116"/>
      <c r="J31" s="116"/>
      <c r="K31" s="116"/>
      <c r="M31" s="61"/>
    </row>
    <row r="32" spans="1:13" x14ac:dyDescent="0.3">
      <c r="A32" s="8">
        <v>30</v>
      </c>
      <c r="B32" s="9" t="s">
        <v>170</v>
      </c>
      <c r="C32" s="30">
        <f t="shared" si="0"/>
        <v>147.76923071012308</v>
      </c>
      <c r="D32" s="30"/>
      <c r="E32" s="30">
        <f t="shared" si="1"/>
        <v>29.553846212953847</v>
      </c>
      <c r="F32" s="30">
        <v>20</v>
      </c>
      <c r="G32" s="30"/>
      <c r="H32" s="30">
        <f>STAFF!I32/13</f>
        <v>197.32307692307694</v>
      </c>
      <c r="I32" s="116"/>
      <c r="J32" s="116"/>
      <c r="K32" s="116"/>
      <c r="M32" s="61"/>
    </row>
    <row r="33" spans="1:13" x14ac:dyDescent="0.3">
      <c r="A33" s="8">
        <v>31</v>
      </c>
      <c r="B33" s="9" t="s">
        <v>171</v>
      </c>
      <c r="C33" s="30">
        <f t="shared" si="0"/>
        <v>172.23076916187694</v>
      </c>
      <c r="D33" s="30"/>
      <c r="E33" s="30">
        <f t="shared" si="1"/>
        <v>34.446153915046153</v>
      </c>
      <c r="F33" s="30">
        <v>20</v>
      </c>
      <c r="G33" s="30"/>
      <c r="H33" s="30">
        <f>STAFF!I33/13</f>
        <v>226.67692307692309</v>
      </c>
      <c r="I33" s="116"/>
      <c r="J33" s="116"/>
      <c r="K33" s="116"/>
      <c r="M33" s="61"/>
    </row>
    <row r="34" spans="1:13" x14ac:dyDescent="0.3">
      <c r="A34" s="8">
        <v>32</v>
      </c>
      <c r="B34" s="9" t="s">
        <v>172</v>
      </c>
      <c r="C34" s="30">
        <f t="shared" si="0"/>
        <v>147.76923071012308</v>
      </c>
      <c r="D34" s="30"/>
      <c r="E34" s="30">
        <f t="shared" si="1"/>
        <v>29.553846212953847</v>
      </c>
      <c r="F34" s="30">
        <v>20</v>
      </c>
      <c r="G34" s="30"/>
      <c r="H34" s="30">
        <f>STAFF!I34/13</f>
        <v>197.32307692307694</v>
      </c>
      <c r="I34" s="116"/>
      <c r="J34" s="116"/>
      <c r="K34" s="116"/>
      <c r="M34" s="61"/>
    </row>
    <row r="35" spans="1:13" x14ac:dyDescent="0.3">
      <c r="A35" s="8">
        <v>33</v>
      </c>
      <c r="B35" s="9" t="s">
        <v>173</v>
      </c>
      <c r="C35" s="30"/>
      <c r="D35" s="30"/>
      <c r="E35" s="30"/>
      <c r="F35" s="30"/>
      <c r="G35" s="30"/>
      <c r="H35" s="30"/>
      <c r="I35" s="120"/>
      <c r="J35" s="120"/>
      <c r="K35" s="116"/>
    </row>
    <row r="36" spans="1:13" x14ac:dyDescent="0.3">
      <c r="A36" s="8">
        <v>34</v>
      </c>
      <c r="B36" s="9" t="s">
        <v>174</v>
      </c>
      <c r="C36" s="30"/>
      <c r="D36" s="30"/>
      <c r="E36" s="30"/>
      <c r="F36" s="30"/>
      <c r="G36" s="30"/>
      <c r="H36" s="30"/>
      <c r="I36" s="120"/>
      <c r="J36" s="120"/>
      <c r="K36" s="116"/>
    </row>
    <row r="37" spans="1:13" x14ac:dyDescent="0.3">
      <c r="A37" s="8">
        <v>35</v>
      </c>
      <c r="B37" s="9" t="s">
        <v>175</v>
      </c>
      <c r="C37" s="30"/>
      <c r="D37" s="30"/>
      <c r="E37" s="30"/>
      <c r="F37" s="30"/>
      <c r="G37" s="30"/>
      <c r="H37" s="30"/>
      <c r="I37" s="120"/>
      <c r="J37" s="120"/>
      <c r="K37" s="116"/>
    </row>
    <row r="38" spans="1:13" x14ac:dyDescent="0.3">
      <c r="A38" s="8">
        <v>36</v>
      </c>
      <c r="B38" s="9" t="s">
        <v>176</v>
      </c>
      <c r="C38" s="30"/>
      <c r="D38" s="30"/>
      <c r="E38" s="30"/>
      <c r="F38" s="30"/>
      <c r="G38" s="30"/>
      <c r="H38" s="30"/>
      <c r="I38" s="120"/>
      <c r="J38" s="120"/>
      <c r="K38" s="116"/>
    </row>
    <row r="39" spans="1:13" x14ac:dyDescent="0.3">
      <c r="A39" s="8">
        <v>37</v>
      </c>
      <c r="B39" s="9" t="s">
        <v>177</v>
      </c>
      <c r="C39" s="30"/>
      <c r="D39" s="30"/>
      <c r="E39" s="30"/>
      <c r="F39" s="30"/>
      <c r="G39" s="30"/>
      <c r="H39" s="30"/>
      <c r="I39" s="121"/>
      <c r="J39" s="121"/>
      <c r="K39" s="124"/>
    </row>
    <row r="40" spans="1:13" ht="15.75" thickBot="1" x14ac:dyDescent="0.35">
      <c r="A40" s="27"/>
      <c r="B40" s="36"/>
      <c r="C40" s="39">
        <f>+SUM(C3:C39)</f>
        <v>10248.461534362154</v>
      </c>
      <c r="D40" s="39">
        <f t="shared" ref="D40:K40" si="2">+SUM(D3:D39)</f>
        <v>0</v>
      </c>
      <c r="E40" s="39">
        <f t="shared" si="2"/>
        <v>2049.6923117916926</v>
      </c>
      <c r="F40" s="39">
        <f t="shared" si="2"/>
        <v>960</v>
      </c>
      <c r="G40" s="39">
        <f t="shared" si="2"/>
        <v>0</v>
      </c>
      <c r="H40" s="39">
        <f t="shared" si="2"/>
        <v>13258.153846153846</v>
      </c>
      <c r="I40" s="108">
        <f>+SUM(I3:I39)</f>
        <v>0</v>
      </c>
      <c r="J40" s="108">
        <f t="shared" si="2"/>
        <v>0</v>
      </c>
      <c r="K40" s="108">
        <f t="shared" si="2"/>
        <v>0</v>
      </c>
    </row>
    <row r="41" spans="1:13" ht="15.75" thickTop="1" x14ac:dyDescent="0.3">
      <c r="H41" s="61">
        <f>H40*13</f>
        <v>172356</v>
      </c>
      <c r="I41" s="18"/>
      <c r="J41" s="18"/>
      <c r="K41" s="18"/>
    </row>
    <row r="42" spans="1:13" x14ac:dyDescent="0.3">
      <c r="I42" s="18"/>
      <c r="J42" s="18"/>
      <c r="K42" s="18"/>
    </row>
    <row r="43" spans="1:13" x14ac:dyDescent="0.3">
      <c r="I43" s="18"/>
      <c r="J43" s="18"/>
      <c r="K43" s="18"/>
    </row>
    <row r="44" spans="1:13" x14ac:dyDescent="0.3">
      <c r="A44" s="16" t="s">
        <v>132</v>
      </c>
      <c r="B44" s="38"/>
      <c r="C44" s="16"/>
      <c r="D44" s="16"/>
      <c r="E44" s="16"/>
      <c r="F44" s="16"/>
      <c r="G44" s="16"/>
      <c r="H44" s="16"/>
      <c r="I44" s="17">
        <f>-I40</f>
        <v>0</v>
      </c>
      <c r="J44" s="17">
        <f>-J40</f>
        <v>0</v>
      </c>
      <c r="K44" s="17">
        <f>-K40</f>
        <v>0</v>
      </c>
    </row>
    <row r="47" spans="1:13" x14ac:dyDescent="0.3">
      <c r="H47" s="8">
        <f>100000/13/8</f>
        <v>961.53846153846155</v>
      </c>
    </row>
    <row r="48" spans="1:13" x14ac:dyDescent="0.3">
      <c r="H48" s="8">
        <f>H47*0.8</f>
        <v>769.23076923076928</v>
      </c>
    </row>
  </sheetData>
  <conditionalFormatting sqref="B1:B15 B19:B1048576">
    <cfRule type="duplicateValues" dxfId="1" priority="1"/>
    <cfRule type="duplicateValues" dxfId="0" priority="2"/>
  </conditionalFormatting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BB45-FFD4-40D3-8E5E-4D643F5B9964}">
  <sheetPr>
    <tabColor theme="6"/>
  </sheetPr>
  <dimension ref="B2:AB41"/>
  <sheetViews>
    <sheetView showGridLines="0" tabSelected="1" zoomScale="85" zoomScaleNormal="85" workbookViewId="0">
      <selection activeCell="V27" sqref="V27"/>
    </sheetView>
  </sheetViews>
  <sheetFormatPr defaultRowHeight="16.5" x14ac:dyDescent="0.3"/>
  <cols>
    <col min="22" max="22" width="16.875" bestFit="1" customWidth="1"/>
  </cols>
  <sheetData>
    <row r="2" spans="2:28" x14ac:dyDescent="0.3">
      <c r="V2" s="215" t="s">
        <v>212</v>
      </c>
    </row>
    <row r="4" spans="2:28" x14ac:dyDescent="0.3">
      <c r="B4" s="218" t="s">
        <v>259</v>
      </c>
      <c r="C4" s="217"/>
      <c r="D4" s="217"/>
      <c r="E4" s="223" t="s">
        <v>4</v>
      </c>
      <c r="F4" s="223" t="s">
        <v>5</v>
      </c>
      <c r="G4" s="223" t="s">
        <v>6</v>
      </c>
      <c r="H4" s="223" t="s">
        <v>7</v>
      </c>
      <c r="I4" s="223" t="s">
        <v>8</v>
      </c>
      <c r="J4" s="223" t="s">
        <v>9</v>
      </c>
      <c r="V4" s="218" t="s">
        <v>267</v>
      </c>
      <c r="W4" s="218" t="s">
        <v>4</v>
      </c>
      <c r="X4" s="218" t="s">
        <v>5</v>
      </c>
      <c r="Y4" s="218" t="s">
        <v>6</v>
      </c>
      <c r="Z4" s="218" t="s">
        <v>7</v>
      </c>
      <c r="AA4" s="218" t="s">
        <v>8</v>
      </c>
      <c r="AB4" s="218" t="s">
        <v>9</v>
      </c>
    </row>
    <row r="6" spans="2:28" x14ac:dyDescent="0.3">
      <c r="B6" s="226" t="s">
        <v>199</v>
      </c>
      <c r="C6" s="215"/>
      <c r="D6" s="215"/>
      <c r="E6" s="219">
        <f>+SUM('PnL (2)'!C4:C11,'PnL (2)'!C14:C15)</f>
        <v>1040.5252304147471</v>
      </c>
      <c r="F6" s="219">
        <f>+SUM('PnL (2)'!D4:D11,'PnL (2)'!D14:D15)</f>
        <v>1544.3071428571429</v>
      </c>
      <c r="G6" s="219">
        <f>+SUM('PnL (2)'!E4:E11,'PnL (2)'!E14:E15)</f>
        <v>1042.3884075456085</v>
      </c>
      <c r="H6" s="219">
        <f>+SUM('PnL (2)'!F4:F11,'PnL (2)'!F14:F15)</f>
        <v>0</v>
      </c>
      <c r="I6" s="219">
        <f>+SUM('PnL (2)'!G4:G11,'PnL (2)'!G14:G15)</f>
        <v>0</v>
      </c>
      <c r="J6" s="219">
        <f>+SUM('PnL (2)'!H4:H11,'PnL (2)'!H14:H15)</f>
        <v>0</v>
      </c>
      <c r="V6" s="215" t="s">
        <v>257</v>
      </c>
      <c r="W6" s="219">
        <f>+SUM('PnL (2)'!C4:C5)</f>
        <v>7580</v>
      </c>
      <c r="X6" s="219">
        <f>+SUM('PnL (2)'!D4:D5)</f>
        <v>8280</v>
      </c>
      <c r="Y6" s="219">
        <f>+SUM('PnL (2)'!E4:E5)</f>
        <v>8834.8650475650484</v>
      </c>
      <c r="Z6" s="219">
        <f>+SUM('PnL (2)'!F4:F5)</f>
        <v>0</v>
      </c>
      <c r="AA6" s="219">
        <f>+SUM('PnL (2)'!G4:G5)</f>
        <v>0</v>
      </c>
      <c r="AB6" s="219">
        <f>+SUM('PnL (2)'!H4:H5)</f>
        <v>0</v>
      </c>
    </row>
    <row r="7" spans="2:28" x14ac:dyDescent="0.3">
      <c r="B7" s="224" t="s">
        <v>254</v>
      </c>
      <c r="E7" s="220">
        <f t="shared" ref="E7:J7" si="0">+E6/W6</f>
        <v>0.13727245783835712</v>
      </c>
      <c r="F7" s="220">
        <f t="shared" si="0"/>
        <v>0.18651052449965494</v>
      </c>
      <c r="G7" s="220">
        <f t="shared" si="0"/>
        <v>0.11798577589285285</v>
      </c>
      <c r="H7" s="216" t="e">
        <f t="shared" si="0"/>
        <v>#DIV/0!</v>
      </c>
      <c r="I7" s="216" t="e">
        <f t="shared" si="0"/>
        <v>#DIV/0!</v>
      </c>
      <c r="J7" s="216" t="e">
        <f t="shared" si="0"/>
        <v>#DIV/0!</v>
      </c>
      <c r="V7" s="215" t="s">
        <v>92</v>
      </c>
      <c r="W7" s="219">
        <f>+-SUM('PnL (2)'!C7:C8)</f>
        <v>3365.4747695852529</v>
      </c>
      <c r="X7" s="219">
        <f>+-SUM('PnL (2)'!D7:D8)</f>
        <v>3704.6928571428571</v>
      </c>
      <c r="Y7" s="219">
        <f>+-SUM('PnL (2)'!E7:E8)</f>
        <v>4045.3425064350058</v>
      </c>
      <c r="Z7" s="219">
        <f>+-SUM('PnL (2)'!F7:F8)</f>
        <v>0</v>
      </c>
      <c r="AA7" s="219">
        <f>+-SUM('PnL (2)'!G7:G8)</f>
        <v>0</v>
      </c>
      <c r="AB7" s="219">
        <f>+-SUM('PnL (2)'!H7:H8)</f>
        <v>0</v>
      </c>
    </row>
    <row r="8" spans="2:28" x14ac:dyDescent="0.3">
      <c r="B8" s="225"/>
      <c r="V8" s="215" t="s">
        <v>34</v>
      </c>
      <c r="W8" s="219">
        <f>+-SUM('PnL (2)'!C10:C11)</f>
        <v>2000</v>
      </c>
      <c r="X8" s="219">
        <f>+-SUM('PnL (2)'!D10:D11)</f>
        <v>2114</v>
      </c>
      <c r="Y8" s="219">
        <f>+-SUM('PnL (2)'!E10:E11)</f>
        <v>2502.3057259740262</v>
      </c>
      <c r="Z8" s="219">
        <f>+-SUM('PnL (2)'!F10:F11)</f>
        <v>0</v>
      </c>
      <c r="AA8" s="219">
        <f>+-SUM('PnL (2)'!G10:G11)</f>
        <v>0</v>
      </c>
      <c r="AB8" s="219">
        <f>+-SUM('PnL (2)'!H10:H11)</f>
        <v>0</v>
      </c>
    </row>
    <row r="9" spans="2:28" x14ac:dyDescent="0.3">
      <c r="B9" s="226" t="s">
        <v>255</v>
      </c>
      <c r="C9" s="215"/>
      <c r="D9" s="215"/>
      <c r="E9" s="219">
        <f>+SUM('PnL (2)'!C4:C15)</f>
        <v>870.52523041474706</v>
      </c>
      <c r="F9" s="219">
        <f>+SUM('PnL (2)'!D4:D15)</f>
        <v>1294.3071428571429</v>
      </c>
      <c r="G9" s="219">
        <f>+SUM('PnL (2)'!E4:E15)</f>
        <v>659.31795250348387</v>
      </c>
      <c r="H9" s="219">
        <f>+SUM('PnL (2)'!F4:F15)</f>
        <v>0</v>
      </c>
      <c r="I9" s="219">
        <f>+SUM('PnL (2)'!G4:G15)</f>
        <v>0</v>
      </c>
      <c r="J9" s="219">
        <f>+SUM('PnL (2)'!H4:H15)</f>
        <v>0</v>
      </c>
      <c r="V9" s="215" t="s">
        <v>35</v>
      </c>
      <c r="W9" s="219">
        <f>+-SUM('PnL (2)'!C12:C13)</f>
        <v>170</v>
      </c>
      <c r="X9" s="219">
        <f>+-SUM('PnL (2)'!D12:D13)</f>
        <v>250</v>
      </c>
      <c r="Y9" s="219">
        <f>+-SUM('PnL (2)'!E12:E13)</f>
        <v>383.07045504212454</v>
      </c>
      <c r="Z9" s="219">
        <f>+-SUM('PnL (2)'!F12:F13)</f>
        <v>0</v>
      </c>
      <c r="AA9" s="219">
        <f>+-SUM('PnL (2)'!G12:G13)</f>
        <v>0</v>
      </c>
      <c r="AB9" s="219">
        <f>+-SUM('PnL (2)'!H12:H13)</f>
        <v>0</v>
      </c>
    </row>
    <row r="10" spans="2:28" x14ac:dyDescent="0.3">
      <c r="B10" s="224" t="s">
        <v>256</v>
      </c>
      <c r="E10" s="220">
        <f>+E9/W6</f>
        <v>0.11484501720511175</v>
      </c>
      <c r="F10" s="220">
        <f t="shared" ref="F10:J10" si="1">+F9/X6</f>
        <v>0.1563172877846791</v>
      </c>
      <c r="G10" s="220">
        <f t="shared" si="1"/>
        <v>7.4626827795767695E-2</v>
      </c>
      <c r="H10" s="220" t="e">
        <f t="shared" si="1"/>
        <v>#DIV/0!</v>
      </c>
      <c r="I10" s="220" t="e">
        <f t="shared" si="1"/>
        <v>#DIV/0!</v>
      </c>
      <c r="J10" s="220" t="e">
        <f t="shared" si="1"/>
        <v>#DIV/0!</v>
      </c>
    </row>
    <row r="11" spans="2:28" x14ac:dyDescent="0.3">
      <c r="B11" s="225"/>
      <c r="V11" s="215" t="s">
        <v>258</v>
      </c>
      <c r="W11" s="219">
        <f>+SUM('PnL (2)'!C26:C28)</f>
        <v>640.75939012096819</v>
      </c>
      <c r="X11" s="219">
        <f>+SUM('PnL (2)'!D26:D28)</f>
        <v>958.17843750000009</v>
      </c>
      <c r="Y11" s="219">
        <f>+SUM('PnL (2)'!E26:E28)</f>
        <v>488.08647717446615</v>
      </c>
      <c r="Z11" s="219">
        <f>+SUM('PnL (2)'!F26:F28)</f>
        <v>0</v>
      </c>
      <c r="AA11" s="219">
        <f>+SUM('PnL (2)'!G26:G28)</f>
        <v>0</v>
      </c>
      <c r="AB11" s="219">
        <f>+SUM('PnL (2)'!H26:H28)</f>
        <v>0</v>
      </c>
    </row>
    <row r="12" spans="2:28" x14ac:dyDescent="0.3">
      <c r="B12" s="227" t="s">
        <v>203</v>
      </c>
      <c r="E12" s="222">
        <f>+W11/W6</f>
        <v>8.4532901071367836E-2</v>
      </c>
      <c r="F12" s="222">
        <f t="shared" ref="F12:J12" si="2">+X11/X6</f>
        <v>0.11572203351449277</v>
      </c>
      <c r="G12" s="222">
        <f t="shared" si="2"/>
        <v>5.5245493230141218E-2</v>
      </c>
      <c r="H12" s="222" t="e">
        <f t="shared" si="2"/>
        <v>#DIV/0!</v>
      </c>
      <c r="I12" s="222" t="e">
        <f t="shared" si="2"/>
        <v>#DIV/0!</v>
      </c>
      <c r="J12" s="222" t="e">
        <f t="shared" si="2"/>
        <v>#DIV/0!</v>
      </c>
    </row>
    <row r="13" spans="2:28" x14ac:dyDescent="0.3">
      <c r="B13" s="227"/>
      <c r="E13" s="222"/>
      <c r="F13" s="222"/>
      <c r="G13" s="222"/>
      <c r="H13" s="222"/>
      <c r="I13" s="222"/>
      <c r="J13" s="222"/>
    </row>
    <row r="14" spans="2:28" x14ac:dyDescent="0.3">
      <c r="B14" s="227" t="s">
        <v>276</v>
      </c>
      <c r="E14" s="222">
        <f>+W11/W23</f>
        <v>0.32228115141724434</v>
      </c>
      <c r="F14" s="222">
        <f t="shared" ref="F14:J14" si="3">+X11/X23</f>
        <v>0.32520548629713431</v>
      </c>
      <c r="G14" s="222">
        <f t="shared" si="3"/>
        <v>0.14211427024341106</v>
      </c>
      <c r="H14" s="222">
        <f t="shared" si="3"/>
        <v>0</v>
      </c>
      <c r="I14" s="222">
        <f t="shared" si="3"/>
        <v>0</v>
      </c>
      <c r="J14" s="222">
        <f t="shared" si="3"/>
        <v>0</v>
      </c>
    </row>
    <row r="18" spans="2:28" x14ac:dyDescent="0.3">
      <c r="B18" s="218" t="s">
        <v>196</v>
      </c>
      <c r="C18" s="217"/>
      <c r="D18" s="217"/>
      <c r="E18" s="223" t="s">
        <v>4</v>
      </c>
      <c r="F18" s="223" t="s">
        <v>5</v>
      </c>
      <c r="G18" s="223" t="s">
        <v>6</v>
      </c>
      <c r="H18" s="223" t="s">
        <v>7</v>
      </c>
      <c r="I18" s="223" t="s">
        <v>8</v>
      </c>
      <c r="J18" s="223" t="s">
        <v>9</v>
      </c>
      <c r="V18" s="218" t="s">
        <v>268</v>
      </c>
      <c r="W18" s="218" t="s">
        <v>4</v>
      </c>
      <c r="X18" s="218" t="s">
        <v>5</v>
      </c>
      <c r="Y18" s="218" t="s">
        <v>6</v>
      </c>
      <c r="Z18" s="218" t="s">
        <v>7</v>
      </c>
      <c r="AA18" s="218" t="s">
        <v>8</v>
      </c>
      <c r="AB18" s="218" t="s">
        <v>9</v>
      </c>
    </row>
    <row r="20" spans="2:28" x14ac:dyDescent="0.3">
      <c r="B20" s="224" t="s">
        <v>260</v>
      </c>
      <c r="E20" s="220">
        <f>+W7/W6</f>
        <v>0.44399403292681439</v>
      </c>
      <c r="F20" s="220">
        <f t="shared" ref="F20:J20" si="4">+X7/X6</f>
        <v>0.44742667356797788</v>
      </c>
      <c r="G20" s="220">
        <f t="shared" si="4"/>
        <v>0.45788390480847596</v>
      </c>
      <c r="H20" s="220" t="e">
        <f t="shared" si="4"/>
        <v>#DIV/0!</v>
      </c>
      <c r="I20" s="220" t="e">
        <f t="shared" si="4"/>
        <v>#DIV/0!</v>
      </c>
      <c r="J20" s="220" t="e">
        <f t="shared" si="4"/>
        <v>#DIV/0!</v>
      </c>
      <c r="V20" s="215" t="s">
        <v>192</v>
      </c>
      <c r="W20" s="219">
        <f>+SUM('BS (2)'!C10:C13,'BS (2)'!C18:C19)</f>
        <v>981.66666666666663</v>
      </c>
      <c r="X20" s="219">
        <f>+SUM('BS (2)'!D10:D13,'BS (2)'!D18:D19)</f>
        <v>1060</v>
      </c>
      <c r="Y20" s="219">
        <f>+SUM('BS (2)'!E10:E13,'BS (2)'!E18:E19)</f>
        <v>1101.2387539637539</v>
      </c>
      <c r="Z20" s="219">
        <f>+SUM('BS (2)'!F10:F13,'BS (2)'!F18:F19)</f>
        <v>0</v>
      </c>
      <c r="AA20" s="219">
        <f>+SUM('BS (2)'!G10:G13,'BS (2)'!G18:G19)</f>
        <v>0</v>
      </c>
      <c r="AB20" s="219">
        <f>+SUM('BS (2)'!H10:H13,'BS (2)'!H18:H19)</f>
        <v>0</v>
      </c>
    </row>
    <row r="21" spans="2:28" x14ac:dyDescent="0.3">
      <c r="B21" s="225"/>
      <c r="V21" s="215" t="s">
        <v>269</v>
      </c>
      <c r="W21" s="215">
        <f>+-SUM('BS (2)'!C31:C34)</f>
        <v>285</v>
      </c>
      <c r="X21" s="215">
        <f>+-SUM('BS (2)'!D31:D34)</f>
        <v>270</v>
      </c>
      <c r="Y21" s="215">
        <f>+-SUM('BS (2)'!E31:E34)</f>
        <v>303</v>
      </c>
      <c r="Z21" s="215">
        <f>+-SUM('BS (2)'!F31:F34)</f>
        <v>0</v>
      </c>
      <c r="AA21" s="215">
        <f>+-SUM('BS (2)'!G31:G34)</f>
        <v>0</v>
      </c>
      <c r="AB21" s="215">
        <f>+-SUM('BS (2)'!H31:H34)</f>
        <v>0</v>
      </c>
    </row>
    <row r="22" spans="2:28" x14ac:dyDescent="0.3">
      <c r="B22" s="224" t="s">
        <v>262</v>
      </c>
      <c r="E22" s="220">
        <f>+W8/W6</f>
        <v>0.26385224274406333</v>
      </c>
      <c r="F22" s="220">
        <f t="shared" ref="F22:J22" si="5">+X8/X6</f>
        <v>0.25531400966183576</v>
      </c>
      <c r="G22" s="220">
        <f t="shared" si="5"/>
        <v>0.28323078083277337</v>
      </c>
      <c r="H22" s="220" t="e">
        <f t="shared" si="5"/>
        <v>#DIV/0!</v>
      </c>
      <c r="I22" s="220" t="e">
        <f t="shared" si="5"/>
        <v>#DIV/0!</v>
      </c>
      <c r="J22" s="220" t="e">
        <f t="shared" si="5"/>
        <v>#DIV/0!</v>
      </c>
    </row>
    <row r="23" spans="2:28" x14ac:dyDescent="0.3">
      <c r="B23" s="225"/>
      <c r="V23" s="215" t="s">
        <v>271</v>
      </c>
      <c r="W23" s="219">
        <f>+-SUM('BS (2)'!C22:C26)</f>
        <v>1988.2000151209681</v>
      </c>
      <c r="X23" s="219">
        <f>+-SUM('BS (2)'!D22:D26)</f>
        <v>2946.3784526209683</v>
      </c>
      <c r="Y23" s="219">
        <f>+-SUM('BS (2)'!E22:E26)</f>
        <v>3434.4649297954347</v>
      </c>
      <c r="Z23" s="219">
        <f>+-SUM('BS (2)'!F22:F26)</f>
        <v>3434.4649297954347</v>
      </c>
      <c r="AA23" s="219">
        <f>+-SUM('BS (2)'!G22:G26)</f>
        <v>3434.4649297954347</v>
      </c>
      <c r="AB23" s="219">
        <f>+-SUM('BS (2)'!H22:H26)</f>
        <v>3434.4649297954347</v>
      </c>
    </row>
    <row r="24" spans="2:28" x14ac:dyDescent="0.3">
      <c r="B24" s="224" t="s">
        <v>261</v>
      </c>
      <c r="E24" s="220">
        <f t="shared" ref="E24:J24" si="6">+W9/W6</f>
        <v>2.2427440633245383E-2</v>
      </c>
      <c r="F24" s="220">
        <f t="shared" si="6"/>
        <v>3.0193236714975844E-2</v>
      </c>
      <c r="G24" s="220">
        <f t="shared" si="6"/>
        <v>4.3358948097085133E-2</v>
      </c>
      <c r="H24" s="220" t="e">
        <f t="shared" si="6"/>
        <v>#DIV/0!</v>
      </c>
      <c r="I24" s="220" t="e">
        <f t="shared" si="6"/>
        <v>#DIV/0!</v>
      </c>
      <c r="J24" s="220" t="e">
        <f t="shared" si="6"/>
        <v>#DIV/0!</v>
      </c>
      <c r="V24" s="215" t="s">
        <v>272</v>
      </c>
      <c r="W24" s="219">
        <f>+-SUM('BS (2)'!C27:C36)</f>
        <v>1332.8252152937789</v>
      </c>
      <c r="X24" s="219">
        <f>+-SUM('BS (2)'!D27:D36)</f>
        <v>613.95392065092176</v>
      </c>
      <c r="Y24" s="219">
        <f>+-SUM('BS (2)'!E27:E36)</f>
        <v>563</v>
      </c>
      <c r="Z24" s="219">
        <f>+-SUM('BS (2)'!F27:F36)</f>
        <v>200</v>
      </c>
      <c r="AA24" s="219">
        <f>+-SUM('BS (2)'!G27:G36)</f>
        <v>200</v>
      </c>
      <c r="AB24" s="219">
        <f>+-SUM('BS (2)'!H27:H36)</f>
        <v>200</v>
      </c>
    </row>
    <row r="25" spans="2:28" x14ac:dyDescent="0.3">
      <c r="W25" s="215"/>
      <c r="X25" s="215"/>
      <c r="Y25" s="215"/>
      <c r="Z25" s="215"/>
      <c r="AA25" s="215"/>
      <c r="AB25" s="215"/>
    </row>
    <row r="26" spans="2:28" x14ac:dyDescent="0.3">
      <c r="V26" s="215" t="s">
        <v>274</v>
      </c>
      <c r="W26" s="219">
        <f>+SUM('BS (2)'!C16:C17)</f>
        <v>1004.3618970814139</v>
      </c>
      <c r="X26" s="219">
        <f>+SUM('BS (2)'!D16:D17)</f>
        <v>365.33570660522332</v>
      </c>
      <c r="Y26" s="219">
        <f>+SUM('BS (2)'!E16:E17)</f>
        <v>984.29996420713826</v>
      </c>
      <c r="Z26" s="219">
        <f>+SUM('BS (2)'!F16:F17)</f>
        <v>1782.538718170892</v>
      </c>
      <c r="AA26" s="219">
        <f>+SUM('BS (2)'!G16:G17)</f>
        <v>1782.538718170892</v>
      </c>
      <c r="AB26" s="219">
        <f>+SUM('BS (2)'!H16:H17)</f>
        <v>1782.538718170892</v>
      </c>
    </row>
    <row r="27" spans="2:28" x14ac:dyDescent="0.3">
      <c r="V27" s="215" t="s">
        <v>275</v>
      </c>
      <c r="W27" s="219">
        <f>+W24-W26</f>
        <v>328.46331821236504</v>
      </c>
      <c r="X27" s="219">
        <f t="shared" ref="X27:AB27" si="7">+X24-X26</f>
        <v>248.61821404569844</v>
      </c>
      <c r="Y27" s="219">
        <f t="shared" si="7"/>
        <v>-421.29996420713826</v>
      </c>
      <c r="Z27" s="219">
        <f t="shared" si="7"/>
        <v>-1582.538718170892</v>
      </c>
      <c r="AA27" s="219">
        <f t="shared" si="7"/>
        <v>-1582.538718170892</v>
      </c>
      <c r="AB27" s="219">
        <f t="shared" si="7"/>
        <v>-1582.538718170892</v>
      </c>
    </row>
    <row r="28" spans="2:28" x14ac:dyDescent="0.3">
      <c r="B28" s="218" t="s">
        <v>263</v>
      </c>
      <c r="C28" s="217"/>
      <c r="D28" s="217"/>
      <c r="E28" s="223" t="s">
        <v>4</v>
      </c>
      <c r="F28" s="223" t="s">
        <v>5</v>
      </c>
      <c r="G28" s="223" t="s">
        <v>6</v>
      </c>
      <c r="H28" s="223" t="s">
        <v>7</v>
      </c>
      <c r="I28" s="223" t="s">
        <v>8</v>
      </c>
      <c r="J28" s="223" t="s">
        <v>9</v>
      </c>
    </row>
    <row r="30" spans="2:28" x14ac:dyDescent="0.3">
      <c r="B30" s="226" t="s">
        <v>264</v>
      </c>
      <c r="C30" s="215"/>
      <c r="D30" s="215"/>
      <c r="E30" s="219">
        <f>+W20-W21</f>
        <v>696.66666666666663</v>
      </c>
      <c r="F30" s="219">
        <f t="shared" ref="F30:J30" si="8">+X20-X21</f>
        <v>790</v>
      </c>
      <c r="G30" s="219">
        <f t="shared" si="8"/>
        <v>798.23875396375388</v>
      </c>
      <c r="H30" s="219">
        <f t="shared" si="8"/>
        <v>0</v>
      </c>
      <c r="I30" s="219">
        <f t="shared" si="8"/>
        <v>0</v>
      </c>
      <c r="J30" s="219">
        <f t="shared" si="8"/>
        <v>0</v>
      </c>
    </row>
    <row r="31" spans="2:28" x14ac:dyDescent="0.3">
      <c r="B31" s="224" t="s">
        <v>266</v>
      </c>
      <c r="F31" s="220">
        <f>+(F30/E30)-1</f>
        <v>0.13397129186602874</v>
      </c>
      <c r="G31" s="220">
        <f t="shared" ref="G31:J31" si="9">+(G30/F30)-1</f>
        <v>1.0428802485764388E-2</v>
      </c>
      <c r="H31" s="220">
        <f t="shared" si="9"/>
        <v>-1</v>
      </c>
      <c r="I31" s="220" t="e">
        <f t="shared" si="9"/>
        <v>#DIV/0!</v>
      </c>
      <c r="J31" s="220" t="e">
        <f t="shared" si="9"/>
        <v>#DIV/0!</v>
      </c>
    </row>
    <row r="32" spans="2:28" x14ac:dyDescent="0.3">
      <c r="B32" s="225"/>
    </row>
    <row r="33" spans="2:10" x14ac:dyDescent="0.3">
      <c r="B33" s="227" t="s">
        <v>265</v>
      </c>
      <c r="C33" s="221"/>
      <c r="D33" s="221"/>
      <c r="E33" s="222">
        <f>+E30/W6</f>
        <v>9.1908531222515383E-2</v>
      </c>
      <c r="F33" s="222">
        <f t="shared" ref="F33:J33" si="10">+F30/X6</f>
        <v>9.5410628019323665E-2</v>
      </c>
      <c r="G33" s="222">
        <f t="shared" si="10"/>
        <v>9.0350984385862712E-2</v>
      </c>
      <c r="H33" s="222" t="e">
        <f t="shared" si="10"/>
        <v>#DIV/0!</v>
      </c>
      <c r="I33" s="222" t="e">
        <f t="shared" si="10"/>
        <v>#DIV/0!</v>
      </c>
      <c r="J33" s="222" t="e">
        <f t="shared" si="10"/>
        <v>#DIV/0!</v>
      </c>
    </row>
    <row r="37" spans="2:10" x14ac:dyDescent="0.3">
      <c r="B37" s="218" t="s">
        <v>270</v>
      </c>
      <c r="C37" s="217"/>
      <c r="D37" s="217"/>
      <c r="E37" s="223" t="s">
        <v>4</v>
      </c>
      <c r="F37" s="223" t="s">
        <v>5</v>
      </c>
      <c r="G37" s="223" t="s">
        <v>6</v>
      </c>
      <c r="H37" s="223" t="s">
        <v>7</v>
      </c>
      <c r="I37" s="223" t="s">
        <v>8</v>
      </c>
      <c r="J37" s="223" t="s">
        <v>9</v>
      </c>
    </row>
    <row r="39" spans="2:10" x14ac:dyDescent="0.3">
      <c r="B39" s="221" t="s">
        <v>206</v>
      </c>
      <c r="C39" s="215"/>
      <c r="D39" s="215"/>
      <c r="E39" s="222">
        <f>+W24/W23</f>
        <v>0.67036777243595669</v>
      </c>
      <c r="F39" s="222">
        <f t="shared" ref="F39:J39" si="11">+X24/X23</f>
        <v>0.20837578421223363</v>
      </c>
      <c r="G39" s="222">
        <f t="shared" si="11"/>
        <v>0.16392655377428289</v>
      </c>
      <c r="H39" s="222">
        <f t="shared" si="11"/>
        <v>5.8233234022835839E-2</v>
      </c>
      <c r="I39" s="222">
        <f t="shared" si="11"/>
        <v>5.8233234022835839E-2</v>
      </c>
      <c r="J39" s="222">
        <f t="shared" si="11"/>
        <v>5.8233234022835839E-2</v>
      </c>
    </row>
    <row r="41" spans="2:10" x14ac:dyDescent="0.3">
      <c r="B41" s="221" t="s">
        <v>273</v>
      </c>
      <c r="C41" s="221"/>
      <c r="D41" s="221"/>
      <c r="E41" s="222">
        <f>+W27/E6</f>
        <v>0.31567069073514109</v>
      </c>
      <c r="F41" s="222">
        <f t="shared" ref="F41:J41" si="12">+X27/F6</f>
        <v>0.16099013411653759</v>
      </c>
      <c r="G41" s="222">
        <f t="shared" si="12"/>
        <v>-0.4041679293029789</v>
      </c>
      <c r="H41" s="222" t="e">
        <f t="shared" si="12"/>
        <v>#DIV/0!</v>
      </c>
      <c r="I41" s="222" t="e">
        <f t="shared" si="12"/>
        <v>#DIV/0!</v>
      </c>
      <c r="J41" s="222" t="e">
        <f t="shared" si="12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EC0-31BF-41D9-809D-C026C362F72B}">
  <sheetPr>
    <tabColor theme="7"/>
  </sheetPr>
  <dimension ref="A1:AX61"/>
  <sheetViews>
    <sheetView showGridLines="0" zoomScaleNormal="100" workbookViewId="0">
      <selection activeCell="H8" sqref="H8:H9"/>
    </sheetView>
  </sheetViews>
  <sheetFormatPr defaultColWidth="11" defaultRowHeight="15" x14ac:dyDescent="0.3"/>
  <cols>
    <col min="1" max="1" width="5.5" style="1" customWidth="1"/>
    <col min="2" max="2" width="22.625" style="4" customWidth="1"/>
    <col min="3" max="12" width="11" style="1"/>
    <col min="13" max="50" width="11" style="8"/>
    <col min="51" max="16384" width="11" style="1"/>
  </cols>
  <sheetData>
    <row r="1" spans="1:15" x14ac:dyDescent="0.3">
      <c r="C1" s="1" t="s">
        <v>1</v>
      </c>
      <c r="G1" s="1" t="s">
        <v>2</v>
      </c>
    </row>
    <row r="2" spans="1:15" x14ac:dyDescent="0.3">
      <c r="A2" s="3" t="s">
        <v>30</v>
      </c>
      <c r="B2" s="50"/>
      <c r="C2" s="5" t="s">
        <v>4</v>
      </c>
      <c r="D2" s="5" t="s">
        <v>5</v>
      </c>
      <c r="E2" s="5" t="s">
        <v>6</v>
      </c>
      <c r="F2" s="62"/>
      <c r="G2" s="5" t="s">
        <v>4</v>
      </c>
      <c r="H2" s="5" t="s">
        <v>5</v>
      </c>
      <c r="I2" s="5" t="s">
        <v>6</v>
      </c>
      <c r="J2" s="7" t="s">
        <v>7</v>
      </c>
      <c r="K2" s="7" t="s">
        <v>8</v>
      </c>
      <c r="L2" s="7" t="s">
        <v>9</v>
      </c>
    </row>
    <row r="3" spans="1:15" ht="5.0999999999999996" customHeight="1" x14ac:dyDescent="0.3">
      <c r="A3" s="8"/>
      <c r="B3" s="8"/>
      <c r="C3" s="8"/>
      <c r="D3" s="8"/>
      <c r="E3" s="8"/>
      <c r="G3" s="8"/>
      <c r="H3" s="8"/>
      <c r="I3" s="8"/>
      <c r="J3" s="8"/>
      <c r="K3" s="8"/>
      <c r="L3" s="8"/>
    </row>
    <row r="4" spans="1:15" x14ac:dyDescent="0.3">
      <c r="A4" s="8" t="s">
        <v>31</v>
      </c>
      <c r="B4" s="9"/>
      <c r="C4" s="66">
        <f>REV_sbE!C6+REV_sbE!C9</f>
        <v>7300</v>
      </c>
      <c r="D4" s="66">
        <f>REV_sbE!D6+REV_sbE!D9</f>
        <v>7580</v>
      </c>
      <c r="E4" s="66">
        <f>REV_sbE!E6+REV_sbE!E9</f>
        <v>8280</v>
      </c>
      <c r="F4" s="77"/>
      <c r="G4" s="257">
        <f>C4+C5</f>
        <v>7300</v>
      </c>
      <c r="H4" s="257">
        <f t="shared" ref="H4:I4" si="0">D4+D5</f>
        <v>7580</v>
      </c>
      <c r="I4" s="257">
        <f t="shared" si="0"/>
        <v>8280</v>
      </c>
      <c r="J4" s="250">
        <f>+SUM(REV_sbE!F6,REV_sbE!F9)</f>
        <v>8834.8650475650484</v>
      </c>
      <c r="K4" s="229">
        <f>+SUM(REV_sbE!G6,REV_sbE!G9)</f>
        <v>9441.3616592837006</v>
      </c>
      <c r="L4" s="229">
        <f>+SUM(REV_sbE!H6,REV_sbE!H9)</f>
        <v>10105.697072925846</v>
      </c>
      <c r="N4" s="8">
        <v>13</v>
      </c>
      <c r="O4" s="18"/>
    </row>
    <row r="5" spans="1:15" x14ac:dyDescent="0.3">
      <c r="A5" s="10"/>
      <c r="B5" s="11" t="s">
        <v>11</v>
      </c>
      <c r="C5" s="82"/>
      <c r="D5" s="82"/>
      <c r="E5" s="82"/>
      <c r="F5" s="83"/>
      <c r="G5" s="257"/>
      <c r="H5" s="257"/>
      <c r="I5" s="257"/>
      <c r="J5" s="251"/>
      <c r="K5" s="230"/>
      <c r="L5" s="230"/>
    </row>
    <row r="6" spans="1:15" x14ac:dyDescent="0.3">
      <c r="A6" s="8" t="s">
        <v>32</v>
      </c>
      <c r="B6" s="9"/>
      <c r="C6" s="66">
        <f>REV_sbE!C15</f>
        <v>550</v>
      </c>
      <c r="D6" s="66">
        <f>REV_sbE!D15</f>
        <v>900</v>
      </c>
      <c r="E6" s="66">
        <f>REV_sbE!E15</f>
        <v>800</v>
      </c>
      <c r="F6" s="77"/>
      <c r="G6" s="257">
        <f>C6+C7</f>
        <v>450</v>
      </c>
      <c r="H6" s="257">
        <f t="shared" ref="H6" si="1">D6+D7</f>
        <v>570</v>
      </c>
      <c r="I6" s="257">
        <f>E6+E7</f>
        <v>550</v>
      </c>
      <c r="J6" s="250">
        <f>+REV_sbE!F15</f>
        <v>750</v>
      </c>
      <c r="K6" s="229">
        <f>+REV_sbE!G15</f>
        <v>816.66666666666674</v>
      </c>
      <c r="L6" s="229">
        <f>+REV_sbE!H15</f>
        <v>788.88888888888891</v>
      </c>
      <c r="O6" s="18"/>
    </row>
    <row r="7" spans="1:15" x14ac:dyDescent="0.3">
      <c r="A7" s="8"/>
      <c r="B7" s="11" t="s">
        <v>11</v>
      </c>
      <c r="C7" s="14">
        <v>-100</v>
      </c>
      <c r="D7" s="14">
        <f>-300-30</f>
        <v>-330</v>
      </c>
      <c r="E7" s="14">
        <v>-250</v>
      </c>
      <c r="F7" s="83"/>
      <c r="G7" s="257"/>
      <c r="H7" s="257"/>
      <c r="I7" s="257"/>
      <c r="J7" s="251"/>
      <c r="K7" s="230"/>
      <c r="L7" s="230"/>
    </row>
    <row r="8" spans="1:15" x14ac:dyDescent="0.3">
      <c r="A8" s="8" t="s">
        <v>33</v>
      </c>
      <c r="B8" s="9"/>
      <c r="C8" s="66">
        <f>-COGS!D22</f>
        <v>-3148</v>
      </c>
      <c r="D8" s="66">
        <f>-COGS!E22</f>
        <v>-3365.4747695852529</v>
      </c>
      <c r="E8" s="66">
        <f>-COGS!F22</f>
        <v>-3604.6928571428571</v>
      </c>
      <c r="F8" s="77"/>
      <c r="G8" s="257">
        <f>C8+C9</f>
        <v>-3148</v>
      </c>
      <c r="H8" s="257">
        <f t="shared" ref="H8" si="2">D8+D9</f>
        <v>-3365.4747695852529</v>
      </c>
      <c r="I8" s="257">
        <f t="shared" ref="I8" si="3">E8+E9</f>
        <v>-3704.6928571428571</v>
      </c>
      <c r="J8" s="250">
        <f>+-COGS!G22</f>
        <v>-4045.3425064350058</v>
      </c>
      <c r="K8" s="229">
        <f>+-COGS!H22</f>
        <v>-4099.0227778006201</v>
      </c>
      <c r="L8" s="229">
        <f>+-COGS!I22</f>
        <v>-4370.0709625628133</v>
      </c>
      <c r="O8" s="18"/>
    </row>
    <row r="9" spans="1:15" x14ac:dyDescent="0.3">
      <c r="A9" s="8"/>
      <c r="B9" s="11" t="s">
        <v>11</v>
      </c>
      <c r="C9" s="14"/>
      <c r="D9" s="14"/>
      <c r="E9" s="14">
        <v>-100</v>
      </c>
      <c r="F9" s="83"/>
      <c r="G9" s="257"/>
      <c r="H9" s="257"/>
      <c r="I9" s="257"/>
      <c r="J9" s="251"/>
      <c r="K9" s="230"/>
      <c r="L9" s="230"/>
    </row>
    <row r="10" spans="1:15" x14ac:dyDescent="0.3">
      <c r="A10" s="8" t="s">
        <v>34</v>
      </c>
      <c r="B10" s="9"/>
      <c r="C10" s="66">
        <v>-1700</v>
      </c>
      <c r="D10" s="66">
        <v>-2000</v>
      </c>
      <c r="E10" s="66">
        <v>-2114</v>
      </c>
      <c r="F10" s="77"/>
      <c r="G10" s="257">
        <f>C10+C11</f>
        <v>-1700</v>
      </c>
      <c r="H10" s="257">
        <f>D10+D11</f>
        <v>-2000</v>
      </c>
      <c r="I10" s="257">
        <f>E10+E11</f>
        <v>-2114</v>
      </c>
      <c r="J10" s="250">
        <f>+STAFF!I40*PnL!$N$4*(-1)/$N$10</f>
        <v>-2502.3057259740262</v>
      </c>
      <c r="K10" s="250">
        <f>+STAFF!J40*PnL!$N$4*(-1)/$N$10</f>
        <v>-2652.4440695324683</v>
      </c>
      <c r="L10" s="250">
        <f>+STAFF!K40*PnL!$N$4*(-1)/$N$10</f>
        <v>-2811.5907137044164</v>
      </c>
      <c r="N10" s="8">
        <v>1000</v>
      </c>
      <c r="O10" s="18"/>
    </row>
    <row r="11" spans="1:15" x14ac:dyDescent="0.3">
      <c r="A11" s="8"/>
      <c r="B11" s="11" t="s">
        <v>11</v>
      </c>
      <c r="C11" s="82"/>
      <c r="D11" s="82"/>
      <c r="E11" s="82"/>
      <c r="F11" s="83"/>
      <c r="G11" s="257"/>
      <c r="H11" s="257"/>
      <c r="I11" s="257"/>
      <c r="J11" s="251"/>
      <c r="K11" s="251"/>
      <c r="L11" s="251"/>
    </row>
    <row r="12" spans="1:15" x14ac:dyDescent="0.3">
      <c r="A12" s="8" t="s">
        <v>35</v>
      </c>
      <c r="B12" s="9"/>
      <c r="C12" s="66">
        <v>-160</v>
      </c>
      <c r="D12" s="66">
        <v>-170</v>
      </c>
      <c r="E12" s="66">
        <v>-250</v>
      </c>
      <c r="F12" s="77"/>
      <c r="G12" s="257">
        <f>C12+C13</f>
        <v>-160</v>
      </c>
      <c r="H12" s="257">
        <f t="shared" ref="H12" si="4">D12+D13</f>
        <v>-170</v>
      </c>
      <c r="I12" s="257">
        <f t="shared" ref="I12" si="5">E12+E13</f>
        <v>-250</v>
      </c>
      <c r="J12" s="250">
        <f>+-CAPEX!G89/1000</f>
        <v>-383.07045504212454</v>
      </c>
      <c r="K12" s="250">
        <f>+-CAPEX!H89/1000</f>
        <v>-420.04463504212453</v>
      </c>
      <c r="L12" s="250">
        <f>+-CAPEX!I89/1000</f>
        <v>-497.79430427289378</v>
      </c>
      <c r="O12" s="18"/>
    </row>
    <row r="13" spans="1:15" x14ac:dyDescent="0.3">
      <c r="A13" s="8"/>
      <c r="B13" s="11" t="s">
        <v>11</v>
      </c>
      <c r="C13" s="14"/>
      <c r="D13" s="14"/>
      <c r="E13" s="14"/>
      <c r="F13" s="83"/>
      <c r="G13" s="257"/>
      <c r="H13" s="257"/>
      <c r="I13" s="257"/>
      <c r="J13" s="251"/>
      <c r="K13" s="251"/>
      <c r="L13" s="251"/>
      <c r="N13" s="18"/>
      <c r="O13" s="18"/>
    </row>
    <row r="14" spans="1:15" x14ac:dyDescent="0.3">
      <c r="A14" s="8" t="s">
        <v>36</v>
      </c>
      <c r="B14" s="9"/>
      <c r="C14" s="66">
        <f>-OPEX!B15</f>
        <v>-2617.5</v>
      </c>
      <c r="D14" s="66">
        <f>-OPEX!C15</f>
        <v>-1751</v>
      </c>
      <c r="E14" s="66">
        <f>-OPEX!D15</f>
        <v>-1657</v>
      </c>
      <c r="F14" s="77"/>
      <c r="G14" s="257">
        <f>C14+C15</f>
        <v>-1817.5</v>
      </c>
      <c r="H14" s="257">
        <f t="shared" ref="H14" si="6">D14+D15</f>
        <v>-1744</v>
      </c>
      <c r="I14" s="257">
        <f t="shared" ref="I14" si="7">E14+E15</f>
        <v>-1467</v>
      </c>
      <c r="J14" s="250">
        <f>+-OPEX!E15</f>
        <v>-1994.8284076104078</v>
      </c>
      <c r="K14" s="229">
        <f>+-OPEX!F15</f>
        <v>-2055.7373654853918</v>
      </c>
      <c r="L14" s="229">
        <f>+-OPEX!G15</f>
        <v>-2198.8345366681356</v>
      </c>
      <c r="O14" s="18"/>
    </row>
    <row r="15" spans="1:15" x14ac:dyDescent="0.3">
      <c r="A15" s="8"/>
      <c r="B15" s="11" t="s">
        <v>11</v>
      </c>
      <c r="C15" s="14">
        <v>800</v>
      </c>
      <c r="D15" s="14">
        <v>7</v>
      </c>
      <c r="E15" s="14">
        <v>190</v>
      </c>
      <c r="F15" s="83"/>
      <c r="G15" s="257"/>
      <c r="H15" s="257"/>
      <c r="I15" s="257"/>
      <c r="J15" s="251"/>
      <c r="K15" s="230"/>
      <c r="L15" s="230"/>
    </row>
    <row r="16" spans="1:15" x14ac:dyDescent="0.3">
      <c r="A16" s="8" t="s">
        <v>37</v>
      </c>
      <c r="B16" s="9"/>
      <c r="C16" s="66">
        <v>0</v>
      </c>
      <c r="D16" s="66">
        <v>0</v>
      </c>
      <c r="E16" s="66">
        <v>0</v>
      </c>
      <c r="F16" s="77"/>
      <c r="G16" s="257">
        <f>C16+C17</f>
        <v>0</v>
      </c>
      <c r="H16" s="257">
        <f t="shared" ref="H16" si="8">D16+D17</f>
        <v>0</v>
      </c>
      <c r="I16" s="257">
        <f t="shared" ref="I16" si="9">E16+E17</f>
        <v>0</v>
      </c>
      <c r="J16" s="250">
        <v>0</v>
      </c>
      <c r="K16" s="250">
        <v>0</v>
      </c>
      <c r="L16" s="250">
        <v>0</v>
      </c>
      <c r="O16" s="18"/>
    </row>
    <row r="17" spans="1:20" x14ac:dyDescent="0.3">
      <c r="A17" s="8"/>
      <c r="B17" s="11" t="s">
        <v>11</v>
      </c>
      <c r="C17" s="82"/>
      <c r="D17" s="82"/>
      <c r="E17" s="82"/>
      <c r="F17" s="83"/>
      <c r="G17" s="257"/>
      <c r="H17" s="257"/>
      <c r="I17" s="257"/>
      <c r="J17" s="251"/>
      <c r="K17" s="251"/>
      <c r="L17" s="251"/>
    </row>
    <row r="18" spans="1:20" x14ac:dyDescent="0.3">
      <c r="A18" s="8" t="s">
        <v>38</v>
      </c>
      <c r="B18" s="9"/>
      <c r="C18" s="66">
        <v>0</v>
      </c>
      <c r="D18" s="66">
        <v>8</v>
      </c>
      <c r="E18" s="66">
        <v>0</v>
      </c>
      <c r="F18" s="77"/>
      <c r="G18" s="257">
        <f>C18+C19</f>
        <v>0</v>
      </c>
      <c r="H18" s="257">
        <f t="shared" ref="H18" si="10">D18+D19</f>
        <v>8</v>
      </c>
      <c r="I18" s="257">
        <f t="shared" ref="I18" si="11">E18+E19</f>
        <v>0</v>
      </c>
      <c r="J18" s="250">
        <v>5</v>
      </c>
      <c r="K18" s="250">
        <v>10</v>
      </c>
      <c r="L18" s="250">
        <v>15</v>
      </c>
      <c r="N18" s="8" t="s">
        <v>249</v>
      </c>
      <c r="Q18" s="174">
        <v>5.0000000000000001E-4</v>
      </c>
      <c r="R18" s="18"/>
    </row>
    <row r="19" spans="1:20" x14ac:dyDescent="0.3">
      <c r="A19" s="8"/>
      <c r="B19" s="11" t="s">
        <v>11</v>
      </c>
      <c r="C19" s="82"/>
      <c r="D19" s="82"/>
      <c r="E19" s="82"/>
      <c r="F19" s="83"/>
      <c r="G19" s="257"/>
      <c r="H19" s="257"/>
      <c r="I19" s="257"/>
      <c r="J19" s="251"/>
      <c r="K19" s="251"/>
      <c r="L19" s="251"/>
      <c r="N19" s="69" t="s">
        <v>251</v>
      </c>
    </row>
    <row r="20" spans="1:20" x14ac:dyDescent="0.3">
      <c r="A20" s="8" t="s">
        <v>39</v>
      </c>
      <c r="B20" s="9"/>
      <c r="C20" s="66">
        <v>-10</v>
      </c>
      <c r="D20" s="66">
        <v>-10</v>
      </c>
      <c r="E20" s="66">
        <v>0</v>
      </c>
      <c r="F20" s="77"/>
      <c r="G20" s="257">
        <f>C20+C21</f>
        <v>-10</v>
      </c>
      <c r="H20" s="257">
        <f t="shared" ref="H20" si="12">D20+D21</f>
        <v>-10</v>
      </c>
      <c r="I20" s="257">
        <f>E20+E21</f>
        <v>0</v>
      </c>
      <c r="J20" s="250">
        <v>0</v>
      </c>
      <c r="K20" s="229">
        <v>0</v>
      </c>
      <c r="L20" s="229">
        <v>0</v>
      </c>
      <c r="R20" s="246">
        <v>981</v>
      </c>
      <c r="S20" s="248">
        <v>1957</v>
      </c>
      <c r="T20" s="244">
        <v>3004</v>
      </c>
    </row>
    <row r="21" spans="1:20" x14ac:dyDescent="0.3">
      <c r="A21" s="8"/>
      <c r="B21" s="11" t="s">
        <v>11</v>
      </c>
      <c r="C21" s="82"/>
      <c r="D21" s="82"/>
      <c r="E21" s="82"/>
      <c r="F21" s="83"/>
      <c r="G21" s="257"/>
      <c r="H21" s="257"/>
      <c r="I21" s="257"/>
      <c r="J21" s="251"/>
      <c r="K21" s="230"/>
      <c r="L21" s="230"/>
      <c r="R21" s="247"/>
      <c r="S21" s="249"/>
      <c r="T21" s="245"/>
    </row>
    <row r="22" spans="1:20" x14ac:dyDescent="0.3">
      <c r="A22" s="8" t="s">
        <v>40</v>
      </c>
      <c r="B22" s="9"/>
      <c r="C22" s="66">
        <f t="shared" ref="C22:E23" si="13">(C4+C6+C8+C10+C12+C14+C16+C18+C20+C24)*-0.25625</f>
        <v>-53.684374999999996</v>
      </c>
      <c r="D22" s="66">
        <f t="shared" si="13"/>
        <v>-303.53459029377893</v>
      </c>
      <c r="E22" s="66">
        <f t="shared" si="13"/>
        <v>-371.12870535714285</v>
      </c>
      <c r="F22" s="77"/>
      <c r="G22" s="257">
        <f>C22+C23</f>
        <v>-233.05937499999996</v>
      </c>
      <c r="H22" s="257">
        <f t="shared" ref="H22" si="14">D22+D23</f>
        <v>-220.76584029377892</v>
      </c>
      <c r="I22" s="257">
        <f t="shared" ref="I22" si="15">E22+E23</f>
        <v>-330.12870535714285</v>
      </c>
      <c r="J22" s="255">
        <f>MIN(SUM(J4:J21)*-0.25625,0)</f>
        <v>-170.23147532901771</v>
      </c>
      <c r="K22" s="237">
        <f t="shared" ref="K22:L22" si="16">MIN(SUM(K4:K21)*-0.25625,0)</f>
        <v>-266.69974126050153</v>
      </c>
      <c r="L22" s="237">
        <f t="shared" si="16"/>
        <v>-264.26945768040946</v>
      </c>
      <c r="M22" s="228" t="s">
        <v>18</v>
      </c>
      <c r="R22" s="8">
        <f>+R20*1000</f>
        <v>981000</v>
      </c>
      <c r="S22" s="8">
        <f t="shared" ref="S22:T22" si="17">+S20*1000</f>
        <v>1957000</v>
      </c>
      <c r="T22" s="8">
        <f t="shared" si="17"/>
        <v>3004000</v>
      </c>
    </row>
    <row r="23" spans="1:20" x14ac:dyDescent="0.3">
      <c r="A23" s="8"/>
      <c r="B23" s="11" t="s">
        <v>11</v>
      </c>
      <c r="C23" s="89">
        <f t="shared" si="13"/>
        <v>-179.37499999999997</v>
      </c>
      <c r="D23" s="89">
        <f t="shared" si="13"/>
        <v>82.768749999999997</v>
      </c>
      <c r="E23" s="89">
        <f t="shared" si="13"/>
        <v>41</v>
      </c>
      <c r="F23" s="90" t="s">
        <v>18</v>
      </c>
      <c r="G23" s="257"/>
      <c r="H23" s="257"/>
      <c r="I23" s="257"/>
      <c r="J23" s="256"/>
      <c r="K23" s="238"/>
      <c r="L23" s="238"/>
      <c r="M23" s="228"/>
    </row>
    <row r="24" spans="1:20" x14ac:dyDescent="0.3">
      <c r="A24" s="8" t="s">
        <v>41</v>
      </c>
      <c r="B24" s="9"/>
      <c r="C24" s="66">
        <v>-5</v>
      </c>
      <c r="D24" s="66">
        <v>-7</v>
      </c>
      <c r="E24" s="66">
        <v>-6</v>
      </c>
      <c r="F24" s="77"/>
      <c r="G24" s="257">
        <f>C24+C25</f>
        <v>-5</v>
      </c>
      <c r="H24" s="257">
        <f>D24+D25</f>
        <v>-7</v>
      </c>
      <c r="I24" s="257">
        <f>E24+E25</f>
        <v>-6</v>
      </c>
      <c r="J24" s="250">
        <v>-6</v>
      </c>
      <c r="K24" s="250">
        <v>-6</v>
      </c>
      <c r="L24" s="250">
        <v>-6</v>
      </c>
      <c r="O24" s="18"/>
      <c r="R24" s="8">
        <f>+R22*0.005</f>
        <v>4905</v>
      </c>
      <c r="S24" s="8">
        <f t="shared" ref="S24:T24" si="18">+S22*0.005</f>
        <v>9785</v>
      </c>
      <c r="T24" s="8">
        <f t="shared" si="18"/>
        <v>15020</v>
      </c>
    </row>
    <row r="25" spans="1:20" x14ac:dyDescent="0.3">
      <c r="A25" s="8"/>
      <c r="B25" s="11" t="s">
        <v>11</v>
      </c>
      <c r="C25" s="82"/>
      <c r="D25" s="82"/>
      <c r="E25" s="82"/>
      <c r="F25" s="83"/>
      <c r="G25" s="257"/>
      <c r="H25" s="257"/>
      <c r="I25" s="257"/>
      <c r="J25" s="251"/>
      <c r="K25" s="251"/>
      <c r="L25" s="251"/>
      <c r="O25" s="8" t="s">
        <v>248</v>
      </c>
      <c r="R25" s="208">
        <f>+R24/1000</f>
        <v>4.9050000000000002</v>
      </c>
      <c r="S25" s="208">
        <f t="shared" ref="S25:T25" si="19">+S24/1000</f>
        <v>9.7850000000000001</v>
      </c>
      <c r="T25" s="208">
        <f t="shared" si="19"/>
        <v>15.02</v>
      </c>
    </row>
    <row r="26" spans="1:20" x14ac:dyDescent="0.3">
      <c r="A26" s="12" t="s">
        <v>23</v>
      </c>
      <c r="B26" s="13"/>
      <c r="C26" s="93">
        <f>C4+C6+C8+C10+C12+C14+C16+C18+C20+C22+C24</f>
        <v>155.81562500000001</v>
      </c>
      <c r="D26" s="93">
        <f>D4+D6+D8+D10+D12+D14+D16+D18+D20+D22+D24</f>
        <v>880.99064012096812</v>
      </c>
      <c r="E26" s="93">
        <f>E4+E6+E8+E10+E12+E14+E16+E18+E20+E22+E24</f>
        <v>1077.1784375000002</v>
      </c>
      <c r="F26" s="79"/>
      <c r="G26" s="253">
        <f>G4+G6+G8+G10+G12+G14+G16+G18+G20+G22+G24</f>
        <v>676.44062500000007</v>
      </c>
      <c r="H26" s="253">
        <f t="shared" ref="H26" si="20">H4+H6+H8+H10+H12+H14+H16+H18+H20+H22+H24</f>
        <v>640.75939012096819</v>
      </c>
      <c r="I26" s="253">
        <f>I4+I6+I8+I10+I12+I14+I16+I18+I20+I22+I24</f>
        <v>958.17843750000009</v>
      </c>
      <c r="J26" s="252">
        <f>+SUM(J4:J25)</f>
        <v>488.08647717446615</v>
      </c>
      <c r="K26" s="252">
        <f>+SUM(K4:K25)</f>
        <v>768.07973682926058</v>
      </c>
      <c r="L26" s="252">
        <f>+SUM(L4:L25)</f>
        <v>761.02598692606648</v>
      </c>
    </row>
    <row r="27" spans="1:20" x14ac:dyDescent="0.3">
      <c r="A27" s="8"/>
      <c r="B27" s="11" t="s">
        <v>11</v>
      </c>
      <c r="C27" s="82">
        <f>C5+C7+C9+C11+C13+C15+C17+C19+C21+C23+C25</f>
        <v>520.625</v>
      </c>
      <c r="D27" s="82">
        <f t="shared" ref="D27:E27" si="21">D5+D7+D9+D11+D13+D15+D17+D19+D21+D23+D25</f>
        <v>-240.23124999999999</v>
      </c>
      <c r="E27" s="82">
        <f t="shared" si="21"/>
        <v>-119</v>
      </c>
      <c r="F27" s="90" t="s">
        <v>18</v>
      </c>
      <c r="G27" s="253"/>
      <c r="H27" s="253"/>
      <c r="I27" s="253"/>
      <c r="J27" s="253"/>
      <c r="K27" s="253"/>
      <c r="L27" s="253"/>
    </row>
    <row r="28" spans="1:20" x14ac:dyDescent="0.3">
      <c r="A28" s="12" t="s">
        <v>42</v>
      </c>
      <c r="B28" s="13"/>
      <c r="C28" s="93">
        <f>C26+C27</f>
        <v>676.44062499999995</v>
      </c>
      <c r="D28" s="93">
        <f>D26+D27</f>
        <v>640.75939012096819</v>
      </c>
      <c r="E28" s="93">
        <f>E26+E27</f>
        <v>958.1784375000002</v>
      </c>
      <c r="F28" s="79"/>
      <c r="G28" s="254"/>
      <c r="H28" s="254"/>
      <c r="I28" s="254"/>
      <c r="J28" s="254">
        <f>+SUM(J6:J27)</f>
        <v>-7858.6920932161147</v>
      </c>
      <c r="K28" s="254">
        <f>+SUM(K6:K27)</f>
        <v>-7905.2021856251795</v>
      </c>
      <c r="L28" s="254">
        <f>+SUM(L6:L27)</f>
        <v>-8583.6450990737139</v>
      </c>
    </row>
    <row r="29" spans="1:20" s="8" customFormat="1" x14ac:dyDescent="0.3">
      <c r="B29" s="9"/>
      <c r="F29" s="1"/>
    </row>
    <row r="30" spans="1:20" s="8" customFormat="1" x14ac:dyDescent="0.3">
      <c r="B30" s="9"/>
      <c r="C30" s="18"/>
      <c r="D30" s="18"/>
      <c r="E30" s="18"/>
      <c r="F30" s="6"/>
      <c r="G30" s="18"/>
      <c r="H30" s="18"/>
      <c r="I30" s="18"/>
    </row>
    <row r="31" spans="1:20" s="8" customFormat="1" x14ac:dyDescent="0.3">
      <c r="B31" s="9"/>
      <c r="C31" s="26"/>
      <c r="D31" s="26"/>
      <c r="E31" s="26"/>
      <c r="F31" s="63"/>
      <c r="G31" s="26"/>
      <c r="H31" s="26"/>
      <c r="I31" s="26"/>
    </row>
    <row r="32" spans="1:20" s="8" customFormat="1" x14ac:dyDescent="0.3">
      <c r="B32" s="9"/>
      <c r="F32" s="1"/>
    </row>
    <row r="33" spans="2:21" s="8" customFormat="1" x14ac:dyDescent="0.3">
      <c r="B33" s="9"/>
      <c r="F33" s="1"/>
    </row>
    <row r="34" spans="2:21" s="8" customFormat="1" ht="20.25" x14ac:dyDescent="0.35">
      <c r="B34" s="149" t="s">
        <v>189</v>
      </c>
      <c r="C34" s="127" t="s">
        <v>204</v>
      </c>
      <c r="D34" s="128"/>
      <c r="E34" s="130"/>
      <c r="F34" s="129"/>
      <c r="G34" s="127" t="s">
        <v>205</v>
      </c>
      <c r="H34" s="128"/>
      <c r="I34" s="128"/>
      <c r="J34" s="128"/>
      <c r="K34" s="128"/>
      <c r="L34" s="130"/>
    </row>
    <row r="35" spans="2:21" s="151" customFormat="1" x14ac:dyDescent="0.3">
      <c r="B35" s="132"/>
      <c r="C35" s="203" t="s">
        <v>4</v>
      </c>
      <c r="D35" s="203" t="s">
        <v>5</v>
      </c>
      <c r="E35" s="165" t="s">
        <v>6</v>
      </c>
      <c r="F35" s="191"/>
      <c r="G35" s="203" t="s">
        <v>4</v>
      </c>
      <c r="H35" s="203" t="s">
        <v>5</v>
      </c>
      <c r="I35" s="203" t="s">
        <v>6</v>
      </c>
      <c r="J35" s="203" t="s">
        <v>7</v>
      </c>
      <c r="K35" s="203" t="s">
        <v>8</v>
      </c>
      <c r="L35" s="165" t="s">
        <v>9</v>
      </c>
    </row>
    <row r="36" spans="2:21" s="141" customFormat="1" x14ac:dyDescent="0.3">
      <c r="B36" s="145" t="s">
        <v>199</v>
      </c>
      <c r="C36" s="204">
        <f>+C4+C6+C8+C10+C14</f>
        <v>384.5</v>
      </c>
      <c r="D36" s="204">
        <f>+D4+D6+D8+D10+D14</f>
        <v>1363.5252304147471</v>
      </c>
      <c r="E36" s="148">
        <f>+E4+E6+E8+E10+E14</f>
        <v>1704.3071428571429</v>
      </c>
      <c r="F36" s="147"/>
      <c r="G36" s="204">
        <f>+G4+G6+G8+G10+G14</f>
        <v>1084.5</v>
      </c>
      <c r="H36" s="204">
        <f>+H4+H6+H8+H10+H14</f>
        <v>1040.5252304147471</v>
      </c>
      <c r="I36" s="204">
        <f>+I4+I6+I8+I10+I14</f>
        <v>1544.3071428571429</v>
      </c>
      <c r="J36" s="204">
        <f t="shared" ref="J36:L36" si="22">+J4+J6+J8+J10+J14</f>
        <v>1042.3884075456085</v>
      </c>
      <c r="K36" s="204">
        <f t="shared" si="22"/>
        <v>1450.8241131318864</v>
      </c>
      <c r="L36" s="148">
        <f t="shared" si="22"/>
        <v>1514.0897488793698</v>
      </c>
    </row>
    <row r="37" spans="2:21" s="8" customFormat="1" x14ac:dyDescent="0.3">
      <c r="B37" s="132" t="s">
        <v>200</v>
      </c>
      <c r="C37" s="133">
        <f>+C36/C4</f>
        <v>5.2671232876712326E-2</v>
      </c>
      <c r="D37" s="133">
        <f>+D36/D4</f>
        <v>0.17988459504152335</v>
      </c>
      <c r="E37" s="134">
        <f>+E36/E4</f>
        <v>0.20583419599723948</v>
      </c>
      <c r="F37" s="1"/>
      <c r="G37" s="133">
        <f>+G36/G4</f>
        <v>0.14856164383561643</v>
      </c>
      <c r="H37" s="133">
        <f t="shared" ref="H37:L37" si="23">+H36/H4</f>
        <v>0.13727245783835712</v>
      </c>
      <c r="I37" s="133">
        <f t="shared" si="23"/>
        <v>0.18651052449965494</v>
      </c>
      <c r="J37" s="133">
        <f t="shared" si="23"/>
        <v>0.11798577589285285</v>
      </c>
      <c r="K37" s="133">
        <f t="shared" si="23"/>
        <v>0.15366682958334613</v>
      </c>
      <c r="L37" s="134">
        <f t="shared" si="23"/>
        <v>0.14982536463870116</v>
      </c>
    </row>
    <row r="38" spans="2:21" s="8" customFormat="1" ht="5.0999999999999996" customHeight="1" x14ac:dyDescent="0.3">
      <c r="B38" s="131"/>
      <c r="C38" s="133"/>
      <c r="D38" s="133"/>
      <c r="E38" s="134"/>
      <c r="F38" s="1"/>
      <c r="G38" s="133"/>
      <c r="H38" s="133"/>
      <c r="I38" s="133"/>
      <c r="L38" s="140"/>
    </row>
    <row r="39" spans="2:21" s="141" customFormat="1" x14ac:dyDescent="0.3">
      <c r="B39" s="145" t="s">
        <v>201</v>
      </c>
      <c r="C39" s="205">
        <f>+C4+C6+C8+C10+C14+C12</f>
        <v>224.5</v>
      </c>
      <c r="D39" s="205">
        <f>+D4+D6+D8+D10+D14+D12</f>
        <v>1193.5252304147471</v>
      </c>
      <c r="E39" s="146">
        <f>+E4+E6+E8+E10+E14+E12</f>
        <v>1454.3071428571429</v>
      </c>
      <c r="F39" s="147"/>
      <c r="G39" s="205">
        <f>+SUM(G4:G15)</f>
        <v>924.5</v>
      </c>
      <c r="H39" s="205">
        <f>+SUM(H4:H15)</f>
        <v>870.52523041474706</v>
      </c>
      <c r="I39" s="205">
        <f>+SUM(I4:I15)</f>
        <v>1294.3071428571429</v>
      </c>
      <c r="J39" s="205">
        <f t="shared" ref="J39:L39" si="24">+SUM(J4:J15)</f>
        <v>659.31795250348387</v>
      </c>
      <c r="K39" s="205">
        <f t="shared" si="24"/>
        <v>1030.7794780897621</v>
      </c>
      <c r="L39" s="146">
        <f t="shared" si="24"/>
        <v>1016.2954446064759</v>
      </c>
    </row>
    <row r="40" spans="2:21" s="8" customFormat="1" x14ac:dyDescent="0.3">
      <c r="B40" s="132" t="s">
        <v>202</v>
      </c>
      <c r="C40" s="133">
        <f>+C39/C4</f>
        <v>3.0753424657534247E-2</v>
      </c>
      <c r="D40" s="133">
        <f>+D39/D4</f>
        <v>0.15745715440827798</v>
      </c>
      <c r="E40" s="134">
        <f>+E39/E4</f>
        <v>0.17564095928226364</v>
      </c>
      <c r="F40" s="1"/>
      <c r="G40" s="133">
        <f>+G39/G4</f>
        <v>0.12664383561643835</v>
      </c>
      <c r="H40" s="133">
        <f t="shared" ref="H40:L40" si="25">+H39/H4</f>
        <v>0.11484501720511175</v>
      </c>
      <c r="I40" s="133">
        <f t="shared" si="25"/>
        <v>0.1563172877846791</v>
      </c>
      <c r="J40" s="133">
        <f t="shared" si="25"/>
        <v>7.4626827795767695E-2</v>
      </c>
      <c r="K40" s="133">
        <f t="shared" si="25"/>
        <v>0.10917699324399839</v>
      </c>
      <c r="L40" s="134">
        <f t="shared" si="25"/>
        <v>0.10056658509280188</v>
      </c>
    </row>
    <row r="41" spans="2:21" s="8" customFormat="1" ht="6" customHeight="1" x14ac:dyDescent="0.3">
      <c r="B41" s="132"/>
      <c r="C41" s="133"/>
      <c r="D41" s="133"/>
      <c r="E41" s="134"/>
      <c r="F41" s="1"/>
      <c r="G41" s="133"/>
      <c r="H41" s="133"/>
      <c r="I41" s="133"/>
      <c r="L41" s="140"/>
    </row>
    <row r="42" spans="2:21" s="141" customFormat="1" x14ac:dyDescent="0.3">
      <c r="B42" s="150" t="s">
        <v>203</v>
      </c>
      <c r="C42" s="206">
        <f>+C26/C4</f>
        <v>2.1344606164383564E-2</v>
      </c>
      <c r="D42" s="206">
        <f>+D26/D4</f>
        <v>0.11622567811622271</v>
      </c>
      <c r="E42" s="207">
        <f>+E26/E4</f>
        <v>0.13009401419082128</v>
      </c>
      <c r="F42" s="182"/>
      <c r="G42" s="206">
        <f>+G26/G4</f>
        <v>9.2663099315068498E-2</v>
      </c>
      <c r="H42" s="206">
        <f>+H26/H4</f>
        <v>8.4532901071367836E-2</v>
      </c>
      <c r="I42" s="206">
        <f>+I26/I4</f>
        <v>0.11572203351449277</v>
      </c>
      <c r="J42" s="206">
        <f t="shared" ref="J42:L42" si="26">+J26/J4</f>
        <v>5.5245493230141218E-2</v>
      </c>
      <c r="K42" s="206">
        <f t="shared" si="26"/>
        <v>8.1352644305708488E-2</v>
      </c>
      <c r="L42" s="207">
        <f t="shared" si="26"/>
        <v>7.5306629659910321E-2</v>
      </c>
    </row>
    <row r="43" spans="2:21" s="8" customFormat="1" x14ac:dyDescent="0.3">
      <c r="B43" s="9"/>
      <c r="F43" s="1"/>
    </row>
    <row r="44" spans="2:21" s="8" customFormat="1" ht="20.25" x14ac:dyDescent="0.35">
      <c r="B44" s="149" t="s">
        <v>208</v>
      </c>
      <c r="C44" s="196"/>
      <c r="D44" s="196"/>
      <c r="E44" s="197"/>
      <c r="F44" s="129"/>
      <c r="G44" s="203" t="s">
        <v>4</v>
      </c>
      <c r="H44" s="203" t="s">
        <v>5</v>
      </c>
      <c r="I44" s="203" t="s">
        <v>6</v>
      </c>
      <c r="J44" s="203" t="s">
        <v>7</v>
      </c>
      <c r="K44" s="203" t="s">
        <v>8</v>
      </c>
      <c r="L44" s="165" t="s">
        <v>9</v>
      </c>
    </row>
    <row r="45" spans="2:21" s="152" customFormat="1" x14ac:dyDescent="0.3">
      <c r="B45" s="166" t="s">
        <v>206</v>
      </c>
      <c r="E45" s="209"/>
      <c r="F45" s="198"/>
      <c r="G45" s="133">
        <f>+SUM(BS!G35,BS!G33)/SUM(BS!G22:G23)</f>
        <v>1.2369597615499255</v>
      </c>
      <c r="H45" s="133">
        <f>+SUM(BS!H35,BS!H33)/SUM(BS!H22:H23)</f>
        <v>0.62711483112660349</v>
      </c>
      <c r="I45" s="133">
        <f>+SUM(BS!I35,BS!I33)/SUM(BS!I22:I23)</f>
        <v>0.1257418761184293</v>
      </c>
      <c r="J45" s="133">
        <f>+SUM(BS!J35,BS!J33)/SUM(BS!J22:J23)</f>
        <v>9.6050118662881101E-2</v>
      </c>
      <c r="K45" s="133">
        <f>+SUM(BS!K35,BS!K33)/SUM(BS!K22:K23)</f>
        <v>8.3273524652655251E-2</v>
      </c>
      <c r="L45" s="134">
        <f>+SUM(BS!L35,BS!L33)/SUM(BS!L22:L23)</f>
        <v>7.2813027409359132E-2</v>
      </c>
    </row>
    <row r="46" spans="2:21" s="1" customFormat="1" ht="6" customHeight="1" x14ac:dyDescent="0.3">
      <c r="B46" s="139"/>
      <c r="C46" s="199"/>
      <c r="D46" s="200"/>
      <c r="E46" s="153"/>
      <c r="L46" s="188"/>
    </row>
    <row r="47" spans="2:21" s="141" customFormat="1" x14ac:dyDescent="0.3">
      <c r="B47" s="145" t="s">
        <v>207</v>
      </c>
      <c r="E47" s="210"/>
      <c r="F47" s="147"/>
      <c r="G47" s="133" t="e">
        <f>+#REF!/G36</f>
        <v>#REF!</v>
      </c>
      <c r="H47" s="133">
        <f>+Q47/H36</f>
        <v>0.38861325536550195</v>
      </c>
      <c r="I47" s="133">
        <f>+R47/I36</f>
        <v>0.23656933032719835</v>
      </c>
      <c r="J47" s="133">
        <f>+S47/J36</f>
        <v>0.94427370554202117</v>
      </c>
      <c r="K47" s="133">
        <f>+T47/K36</f>
        <v>1.00969024329655</v>
      </c>
      <c r="L47" s="134">
        <f>+U47/L36</f>
        <v>1.6698758844175059</v>
      </c>
      <c r="O47" s="154" t="s">
        <v>197</v>
      </c>
      <c r="P47" s="141" t="s">
        <v>198</v>
      </c>
      <c r="Q47" s="155">
        <f>+BS!H35--BS!H16</f>
        <v>404.36189708141387</v>
      </c>
      <c r="R47" s="155">
        <f>+BS!I35--BS!I16</f>
        <v>365.33570660522332</v>
      </c>
      <c r="S47" s="155">
        <f>+BS!J35--BS!J16</f>
        <v>984.29996420713826</v>
      </c>
      <c r="T47" s="155">
        <f>+BS!K35--BS!K16</f>
        <v>1464.8829517686358</v>
      </c>
      <c r="U47" s="155">
        <f>+BS!L35--BS!L16</f>
        <v>2528.3419584974172</v>
      </c>
    </row>
    <row r="48" spans="2:21" s="8" customFormat="1" ht="5.0999999999999996" customHeight="1" x14ac:dyDescent="0.3">
      <c r="B48" s="138"/>
      <c r="C48" s="135"/>
      <c r="D48" s="135"/>
      <c r="E48" s="137"/>
      <c r="F48" s="136"/>
      <c r="G48" s="201"/>
      <c r="H48" s="201"/>
      <c r="I48" s="201"/>
      <c r="J48" s="201"/>
      <c r="K48" s="201"/>
      <c r="L48" s="202"/>
    </row>
    <row r="49" spans="2:50" s="8" customFormat="1" x14ac:dyDescent="0.3">
      <c r="B49" s="9"/>
      <c r="F49" s="1"/>
    </row>
    <row r="50" spans="2:50" ht="20.25" x14ac:dyDescent="0.35">
      <c r="B50" s="179" t="s">
        <v>190</v>
      </c>
      <c r="C50" s="129"/>
      <c r="D50" s="129"/>
      <c r="E50" s="180"/>
      <c r="F50" s="129"/>
      <c r="G50" s="213" t="s">
        <v>4</v>
      </c>
      <c r="H50" s="213" t="s">
        <v>5</v>
      </c>
      <c r="I50" s="213" t="s">
        <v>6</v>
      </c>
      <c r="J50" s="213" t="s">
        <v>7</v>
      </c>
      <c r="K50" s="213" t="s">
        <v>8</v>
      </c>
      <c r="L50" s="214" t="s">
        <v>9</v>
      </c>
    </row>
    <row r="51" spans="2:50" x14ac:dyDescent="0.3">
      <c r="B51" s="156" t="s">
        <v>191</v>
      </c>
      <c r="C51" s="147"/>
      <c r="D51" s="147"/>
      <c r="E51" s="181"/>
      <c r="F51" s="147"/>
      <c r="G51" s="190">
        <f>+BS!G44+BS!G45</f>
        <v>692.50333333333333</v>
      </c>
      <c r="H51" s="190">
        <f>+BS!H44+BS!H45</f>
        <v>696.66666666666663</v>
      </c>
      <c r="I51" s="190">
        <f>+BS!I44+BS!I45</f>
        <v>790</v>
      </c>
      <c r="J51" s="190">
        <f>+BS!J44+BS!J45</f>
        <v>798.23875396375388</v>
      </c>
      <c r="K51" s="190">
        <f>+BS!K44+BS!K45</f>
        <v>845.78013827364157</v>
      </c>
      <c r="L51" s="192">
        <f>+BS!L44+BS!L45</f>
        <v>881.14142274382039</v>
      </c>
    </row>
    <row r="52" spans="2:50" x14ac:dyDescent="0.3">
      <c r="B52" s="193" t="s">
        <v>209</v>
      </c>
      <c r="C52" s="191"/>
      <c r="D52" s="191"/>
      <c r="E52" s="211"/>
      <c r="F52" s="191"/>
      <c r="G52" s="191"/>
      <c r="H52" s="143">
        <f>+(H51/G51)-1</f>
        <v>6.0120047556930789E-3</v>
      </c>
      <c r="I52" s="143">
        <f t="shared" ref="I52:L52" si="27">+(I51/H51)-1</f>
        <v>0.13397129186602874</v>
      </c>
      <c r="J52" s="143">
        <f t="shared" si="27"/>
        <v>1.0428802485764388E-2</v>
      </c>
      <c r="K52" s="143">
        <f>+(K51/J51)-1</f>
        <v>5.9557850422339298E-2</v>
      </c>
      <c r="L52" s="144">
        <f t="shared" si="27"/>
        <v>4.180907409620227E-2</v>
      </c>
    </row>
    <row r="53" spans="2:50" ht="6.95" customHeight="1" x14ac:dyDescent="0.3">
      <c r="B53" s="139"/>
      <c r="D53" s="142"/>
      <c r="E53" s="212"/>
      <c r="L53" s="188"/>
    </row>
    <row r="54" spans="2:50" s="147" customFormat="1" x14ac:dyDescent="0.3">
      <c r="B54" s="158" t="s">
        <v>210</v>
      </c>
      <c r="C54" s="182"/>
      <c r="D54" s="182"/>
      <c r="E54" s="183"/>
      <c r="F54" s="182"/>
      <c r="G54" s="194">
        <f>+G51/G4</f>
        <v>9.4863470319634699E-2</v>
      </c>
      <c r="H54" s="194">
        <f t="shared" ref="H54:L54" si="28">+H51/H4</f>
        <v>9.1908531222515383E-2</v>
      </c>
      <c r="I54" s="194">
        <f t="shared" si="28"/>
        <v>9.5410628019323665E-2</v>
      </c>
      <c r="J54" s="194">
        <f t="shared" si="28"/>
        <v>9.0350984385862712E-2</v>
      </c>
      <c r="K54" s="194">
        <f t="shared" si="28"/>
        <v>8.9582431941052171E-2</v>
      </c>
      <c r="L54" s="195">
        <f t="shared" si="28"/>
        <v>8.7192542620784144E-2</v>
      </c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</row>
    <row r="55" spans="2:50" x14ac:dyDescent="0.3">
      <c r="D55" s="142"/>
      <c r="E55" s="142"/>
    </row>
    <row r="56" spans="2:50" ht="20.25" x14ac:dyDescent="0.35">
      <c r="B56" s="179" t="s">
        <v>196</v>
      </c>
      <c r="C56" s="129"/>
      <c r="D56" s="129"/>
      <c r="E56" s="180"/>
      <c r="F56" s="184"/>
      <c r="G56" s="203" t="s">
        <v>4</v>
      </c>
      <c r="H56" s="203" t="s">
        <v>5</v>
      </c>
      <c r="I56" s="203" t="s">
        <v>6</v>
      </c>
      <c r="J56" s="203" t="s">
        <v>7</v>
      </c>
      <c r="K56" s="203" t="s">
        <v>8</v>
      </c>
      <c r="L56" s="165" t="s">
        <v>9</v>
      </c>
    </row>
    <row r="57" spans="2:50" s="147" customFormat="1" x14ac:dyDescent="0.3">
      <c r="B57" s="156" t="s">
        <v>194</v>
      </c>
      <c r="E57" s="181"/>
      <c r="F57" s="185"/>
      <c r="G57" s="157">
        <f>+G8/-G4</f>
        <v>0.43123287671232879</v>
      </c>
      <c r="H57" s="157">
        <f t="shared" ref="H57:L57" si="29">+H8/-H4</f>
        <v>0.44399403292681439</v>
      </c>
      <c r="I57" s="157">
        <f t="shared" si="29"/>
        <v>0.44742667356797788</v>
      </c>
      <c r="J57" s="157">
        <f t="shared" si="29"/>
        <v>0.45788390480847596</v>
      </c>
      <c r="K57" s="157">
        <f t="shared" si="29"/>
        <v>0.4341558904027415</v>
      </c>
      <c r="L57" s="186">
        <f t="shared" si="29"/>
        <v>0.43243637039850147</v>
      </c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</row>
    <row r="58" spans="2:50" x14ac:dyDescent="0.3">
      <c r="B58" s="139"/>
      <c r="C58" s="8"/>
      <c r="D58" s="8"/>
      <c r="E58" s="140"/>
      <c r="F58" s="187"/>
      <c r="L58" s="188"/>
    </row>
    <row r="59" spans="2:50" s="147" customFormat="1" x14ac:dyDescent="0.3">
      <c r="B59" s="156" t="s">
        <v>195</v>
      </c>
      <c r="E59" s="181"/>
      <c r="F59" s="185"/>
      <c r="G59" s="157">
        <f>+G12/-G4</f>
        <v>2.1917808219178082E-2</v>
      </c>
      <c r="H59" s="157">
        <f t="shared" ref="H59:L59" si="30">+H12/-H4</f>
        <v>2.2427440633245383E-2</v>
      </c>
      <c r="I59" s="157">
        <f t="shared" si="30"/>
        <v>3.0193236714975844E-2</v>
      </c>
      <c r="J59" s="157">
        <f t="shared" si="30"/>
        <v>4.3358948097085133E-2</v>
      </c>
      <c r="K59" s="157">
        <f t="shared" si="30"/>
        <v>4.4489836339347749E-2</v>
      </c>
      <c r="L59" s="186">
        <f t="shared" si="30"/>
        <v>4.9258779545899266E-2</v>
      </c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</row>
    <row r="60" spans="2:50" x14ac:dyDescent="0.3">
      <c r="B60" s="139"/>
      <c r="C60" s="8"/>
      <c r="D60" s="8"/>
      <c r="E60" s="140"/>
      <c r="F60" s="187"/>
      <c r="L60" s="188"/>
    </row>
    <row r="61" spans="2:50" s="147" customFormat="1" x14ac:dyDescent="0.3">
      <c r="B61" s="158" t="s">
        <v>211</v>
      </c>
      <c r="C61" s="182"/>
      <c r="D61" s="182"/>
      <c r="E61" s="183"/>
      <c r="F61" s="189"/>
      <c r="G61" s="159">
        <f>+G10/-G4</f>
        <v>0.23287671232876711</v>
      </c>
      <c r="H61" s="159">
        <f>+H10/-H4</f>
        <v>0.26385224274406333</v>
      </c>
      <c r="I61" s="159">
        <f>+I10/-I4</f>
        <v>0.25531400966183576</v>
      </c>
      <c r="J61" s="159">
        <f t="shared" ref="J61:L61" si="31">+J10/-J4</f>
        <v>0.28323078083277337</v>
      </c>
      <c r="K61" s="159">
        <f t="shared" si="31"/>
        <v>0.28093872105029655</v>
      </c>
      <c r="L61" s="160">
        <f t="shared" si="31"/>
        <v>0.27821838448304015</v>
      </c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</row>
  </sheetData>
  <mergeCells count="76">
    <mergeCell ref="G4:G5"/>
    <mergeCell ref="H4:H5"/>
    <mergeCell ref="I4:I5"/>
    <mergeCell ref="G6:G7"/>
    <mergeCell ref="H6:H7"/>
    <mergeCell ref="I6:I7"/>
    <mergeCell ref="G8:G9"/>
    <mergeCell ref="H8:H9"/>
    <mergeCell ref="I8:I9"/>
    <mergeCell ref="G10:G11"/>
    <mergeCell ref="H10:H11"/>
    <mergeCell ref="I10:I11"/>
    <mergeCell ref="G12:G13"/>
    <mergeCell ref="H12:H13"/>
    <mergeCell ref="I12:I13"/>
    <mergeCell ref="G14:G15"/>
    <mergeCell ref="H14:H15"/>
    <mergeCell ref="I14:I15"/>
    <mergeCell ref="G16:G17"/>
    <mergeCell ref="H16:H17"/>
    <mergeCell ref="I16:I17"/>
    <mergeCell ref="G18:G19"/>
    <mergeCell ref="H18:H19"/>
    <mergeCell ref="I18:I19"/>
    <mergeCell ref="G20:G21"/>
    <mergeCell ref="H20:H21"/>
    <mergeCell ref="I20:I21"/>
    <mergeCell ref="G22:G23"/>
    <mergeCell ref="H22:H23"/>
    <mergeCell ref="I22:I23"/>
    <mergeCell ref="G24:G25"/>
    <mergeCell ref="H24:H25"/>
    <mergeCell ref="I24:I25"/>
    <mergeCell ref="G26:G28"/>
    <mergeCell ref="H26:H28"/>
    <mergeCell ref="I26:I28"/>
    <mergeCell ref="J4:J5"/>
    <mergeCell ref="K4:K5"/>
    <mergeCell ref="L4:L5"/>
    <mergeCell ref="J6:J7"/>
    <mergeCell ref="K6:K7"/>
    <mergeCell ref="L6:L7"/>
    <mergeCell ref="J8:J9"/>
    <mergeCell ref="K8:K9"/>
    <mergeCell ref="L8:L9"/>
    <mergeCell ref="J10:J11"/>
    <mergeCell ref="K10:K11"/>
    <mergeCell ref="L10:L11"/>
    <mergeCell ref="J12:J13"/>
    <mergeCell ref="K12:K13"/>
    <mergeCell ref="L12:L13"/>
    <mergeCell ref="J14:J15"/>
    <mergeCell ref="K14:K15"/>
    <mergeCell ref="L14:L15"/>
    <mergeCell ref="J16:J17"/>
    <mergeCell ref="K16:K17"/>
    <mergeCell ref="L16:L17"/>
    <mergeCell ref="J18:J19"/>
    <mergeCell ref="K18:K19"/>
    <mergeCell ref="L18:L19"/>
    <mergeCell ref="J26:J28"/>
    <mergeCell ref="K26:K28"/>
    <mergeCell ref="L26:L28"/>
    <mergeCell ref="J20:J21"/>
    <mergeCell ref="K20:K21"/>
    <mergeCell ref="L20:L21"/>
    <mergeCell ref="J22:J23"/>
    <mergeCell ref="K22:K23"/>
    <mergeCell ref="L22:L23"/>
    <mergeCell ref="T20:T21"/>
    <mergeCell ref="R20:R21"/>
    <mergeCell ref="S20:S21"/>
    <mergeCell ref="M22:M23"/>
    <mergeCell ref="J24:J25"/>
    <mergeCell ref="K24:K25"/>
    <mergeCell ref="L24:L25"/>
  </mergeCells>
  <phoneticPr fontId="10" type="noConversion"/>
  <pageMargins left="0.7" right="0.7" top="0.78740157499999996" bottom="0.78740157499999996" header="0.3" footer="0.3"/>
  <pageSetup paperSize="9" scale="42" orientation="portrait" horizontalDpi="1200" verticalDpi="1200" r:id="rId1"/>
  <customProperties>
    <customPr name="OrphanNamesChecke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054E-066A-47AC-9F59-740198391719}">
  <sheetPr>
    <tabColor theme="7"/>
  </sheetPr>
  <dimension ref="A1:BK554"/>
  <sheetViews>
    <sheetView showGridLines="0" zoomScale="131" zoomScaleNormal="100" workbookViewId="0">
      <pane ySplit="2" topLeftCell="A5" activePane="bottomLeft" state="frozen"/>
      <selection activeCell="J24" sqref="J24:L25"/>
      <selection pane="bottomLeft" activeCell="C5" sqref="C5"/>
    </sheetView>
  </sheetViews>
  <sheetFormatPr defaultColWidth="11" defaultRowHeight="15" x14ac:dyDescent="0.3"/>
  <cols>
    <col min="1" max="1" width="55.125" style="1" bestFit="1" customWidth="1"/>
    <col min="2" max="3" width="12.5" style="1" customWidth="1"/>
    <col min="4" max="4" width="14.125" style="1" bestFit="1" customWidth="1"/>
    <col min="5" max="5" width="14.125" style="1" customWidth="1"/>
    <col min="6" max="6" width="14.125" style="1" bestFit="1" customWidth="1"/>
    <col min="7" max="9" width="12.5" style="1" customWidth="1"/>
    <col min="10" max="63" width="11" style="8"/>
    <col min="64" max="16384" width="11" style="1"/>
  </cols>
  <sheetData>
    <row r="1" spans="1:11" x14ac:dyDescent="0.3">
      <c r="A1" s="1" t="s">
        <v>43</v>
      </c>
      <c r="E1" s="1" t="s">
        <v>2</v>
      </c>
    </row>
    <row r="2" spans="1:11" x14ac:dyDescent="0.3">
      <c r="A2" s="3" t="s">
        <v>44</v>
      </c>
      <c r="B2" s="5" t="s">
        <v>5</v>
      </c>
      <c r="C2" s="5" t="s">
        <v>6</v>
      </c>
      <c r="D2" s="62"/>
      <c r="E2" s="5" t="s">
        <v>5</v>
      </c>
      <c r="F2" s="5" t="s">
        <v>6</v>
      </c>
      <c r="G2" s="7" t="s">
        <v>7</v>
      </c>
      <c r="H2" s="7" t="s">
        <v>8</v>
      </c>
      <c r="I2" s="7" t="s">
        <v>9</v>
      </c>
    </row>
    <row r="3" spans="1:11" ht="5.0999999999999996" customHeight="1" x14ac:dyDescent="0.3">
      <c r="A3" s="8"/>
      <c r="B3" s="8"/>
      <c r="C3" s="8"/>
      <c r="G3" s="8"/>
      <c r="H3" s="8"/>
      <c r="I3" s="8"/>
    </row>
    <row r="4" spans="1:11" s="8" customFormat="1" x14ac:dyDescent="0.3">
      <c r="A4" s="66" t="s">
        <v>45</v>
      </c>
      <c r="B4" s="66">
        <f>PnL!D26</f>
        <v>880.99064012096812</v>
      </c>
      <c r="C4" s="66">
        <f>PnL!E26</f>
        <v>1077.1784375000002</v>
      </c>
      <c r="D4" s="81"/>
      <c r="E4" s="259">
        <f>B4+B5</f>
        <v>640.75939012096819</v>
      </c>
      <c r="F4" s="259">
        <f>C4+C5</f>
        <v>958.1784375000002</v>
      </c>
      <c r="G4" s="262">
        <f>+PnL!J26</f>
        <v>488.08647717446615</v>
      </c>
      <c r="H4" s="262">
        <f>+PnL!K26</f>
        <v>768.07973682926058</v>
      </c>
      <c r="I4" s="262">
        <f>+PnL!L26</f>
        <v>761.02598692606648</v>
      </c>
      <c r="J4" s="258" t="s">
        <v>18</v>
      </c>
      <c r="K4" s="18"/>
    </row>
    <row r="5" spans="1:11" s="8" customFormat="1" x14ac:dyDescent="0.3">
      <c r="A5" s="81" t="s">
        <v>11</v>
      </c>
      <c r="B5" s="89">
        <f>PnL!D27</f>
        <v>-240.23124999999999</v>
      </c>
      <c r="C5" s="89">
        <f>PnL!E27</f>
        <v>-119</v>
      </c>
      <c r="D5" s="90" t="s">
        <v>18</v>
      </c>
      <c r="E5" s="259"/>
      <c r="F5" s="259"/>
      <c r="G5" s="262"/>
      <c r="H5" s="262"/>
      <c r="I5" s="262"/>
      <c r="J5" s="258"/>
    </row>
    <row r="6" spans="1:11" s="8" customFormat="1" x14ac:dyDescent="0.3">
      <c r="A6" s="66" t="s">
        <v>46</v>
      </c>
      <c r="B6" s="66">
        <f>-PnL!D12</f>
        <v>170</v>
      </c>
      <c r="C6" s="66">
        <f>-PnL!E12</f>
        <v>250</v>
      </c>
      <c r="D6" s="83"/>
      <c r="E6" s="259">
        <f t="shared" ref="E6" si="0">B6+B7</f>
        <v>170</v>
      </c>
      <c r="F6" s="259">
        <f t="shared" ref="F6" si="1">C6+C7</f>
        <v>250</v>
      </c>
      <c r="G6" s="262">
        <f>-PnL!J12</f>
        <v>383.07045504212454</v>
      </c>
      <c r="H6" s="262">
        <f>-PnL!K12</f>
        <v>420.04463504212453</v>
      </c>
      <c r="I6" s="262">
        <f>-PnL!L12</f>
        <v>497.79430427289378</v>
      </c>
      <c r="J6" s="258" t="s">
        <v>18</v>
      </c>
      <c r="K6" s="18"/>
    </row>
    <row r="7" spans="1:11" s="8" customFormat="1" x14ac:dyDescent="0.3">
      <c r="A7" s="81" t="s">
        <v>11</v>
      </c>
      <c r="B7" s="89">
        <f>-PnL!D13</f>
        <v>0</v>
      </c>
      <c r="C7" s="89">
        <f>-PnL!E13</f>
        <v>0</v>
      </c>
      <c r="D7" s="90" t="s">
        <v>18</v>
      </c>
      <c r="E7" s="259"/>
      <c r="F7" s="259"/>
      <c r="G7" s="262"/>
      <c r="H7" s="262"/>
      <c r="I7" s="262"/>
      <c r="J7" s="258"/>
    </row>
    <row r="8" spans="1:11" s="8" customFormat="1" x14ac:dyDescent="0.3">
      <c r="A8" s="66" t="s">
        <v>47</v>
      </c>
      <c r="B8" s="66">
        <f>(+BS!D27+BS!D29-BS!C29-BS!C27)*-1</f>
        <v>80.534590293778933</v>
      </c>
      <c r="C8" s="66">
        <f>(+BS!E27+BS!E29-BS!D29-BS!D27)*-1</f>
        <v>-62.871294642857151</v>
      </c>
      <c r="D8" s="77"/>
      <c r="E8" s="259">
        <f t="shared" ref="E8" si="2">B8+B9</f>
        <v>-2.2341597062210639</v>
      </c>
      <c r="F8" s="259">
        <f t="shared" ref="F8" si="3">C8+C9</f>
        <v>-103.87129464285715</v>
      </c>
      <c r="G8" s="262">
        <f>(+BS!J27+BS!J29-BS!I29-BS!I27)*-1</f>
        <v>-83.953920650921759</v>
      </c>
      <c r="H8" s="262">
        <f>(+BS!K27+BS!K29-BS!J29-BS!J27)*-1</f>
        <v>0</v>
      </c>
      <c r="I8" s="262">
        <f>(+BS!L27+BS!L29-BS!K29-BS!K27)*-1</f>
        <v>0</v>
      </c>
      <c r="J8" s="258" t="s">
        <v>18</v>
      </c>
      <c r="K8" s="18"/>
    </row>
    <row r="9" spans="1:11" s="8" customFormat="1" x14ac:dyDescent="0.3">
      <c r="A9" s="81" t="s">
        <v>11</v>
      </c>
      <c r="B9" s="89">
        <f>(+BS!D28+BS!D30-BS!C30-BS!C28)*-1</f>
        <v>-82.768749999999997</v>
      </c>
      <c r="C9" s="89">
        <f>(+BS!E28+BS!E30-BS!D30-BS!D28)*-1</f>
        <v>-41</v>
      </c>
      <c r="D9" s="90" t="s">
        <v>18</v>
      </c>
      <c r="E9" s="259"/>
      <c r="F9" s="259"/>
      <c r="G9" s="262"/>
      <c r="H9" s="262"/>
      <c r="I9" s="262"/>
      <c r="J9" s="258"/>
    </row>
    <row r="10" spans="1:11" s="8" customFormat="1" x14ac:dyDescent="0.3">
      <c r="A10" s="66" t="s">
        <v>48</v>
      </c>
      <c r="B10" s="66"/>
      <c r="C10" s="66"/>
      <c r="D10" s="83"/>
      <c r="E10" s="259">
        <f t="shared" ref="E10" si="4">B10+B11</f>
        <v>0</v>
      </c>
      <c r="F10" s="259">
        <f t="shared" ref="F10" si="5">C10+C11</f>
        <v>0</v>
      </c>
      <c r="G10" s="262"/>
      <c r="H10" s="262"/>
      <c r="I10" s="262"/>
    </row>
    <row r="11" spans="1:11" s="8" customFormat="1" x14ac:dyDescent="0.3">
      <c r="A11" s="81" t="s">
        <v>11</v>
      </c>
      <c r="B11" s="82"/>
      <c r="C11" s="82"/>
      <c r="D11" s="81"/>
      <c r="E11" s="259"/>
      <c r="F11" s="259"/>
      <c r="G11" s="262"/>
      <c r="H11" s="262"/>
      <c r="I11" s="262"/>
    </row>
    <row r="12" spans="1:11" s="8" customFormat="1" x14ac:dyDescent="0.3">
      <c r="A12" s="66" t="s">
        <v>49</v>
      </c>
      <c r="B12" s="66">
        <f>(+BS!D10-BS!C10)*-1</f>
        <v>24.170000000000016</v>
      </c>
      <c r="C12" s="66">
        <f>(+BS!E10-BS!D10)*-1</f>
        <v>-20</v>
      </c>
      <c r="D12" s="77"/>
      <c r="E12" s="259">
        <f t="shared" ref="E12" si="6">B12+B13</f>
        <v>24.170000000000016</v>
      </c>
      <c r="F12" s="259">
        <f t="shared" ref="F12" si="7">C12+C13</f>
        <v>-20</v>
      </c>
      <c r="G12" s="262">
        <f>(+BS!J10-BS!I10)*-1</f>
        <v>5</v>
      </c>
      <c r="H12" s="262">
        <f>(+BS!K10-BS!J10)*-1</f>
        <v>0</v>
      </c>
      <c r="I12" s="262">
        <f>(+BS!L10-BS!K10)*-1</f>
        <v>0</v>
      </c>
      <c r="J12" s="258" t="s">
        <v>18</v>
      </c>
    </row>
    <row r="13" spans="1:11" s="8" customFormat="1" x14ac:dyDescent="0.3">
      <c r="A13" s="81" t="s">
        <v>11</v>
      </c>
      <c r="B13" s="89">
        <f>(+BS!D11-BS!C11)*-1</f>
        <v>0</v>
      </c>
      <c r="C13" s="89">
        <f>(+BS!E11-BS!D11)*-1</f>
        <v>0</v>
      </c>
      <c r="D13" s="90" t="s">
        <v>18</v>
      </c>
      <c r="E13" s="259"/>
      <c r="F13" s="259"/>
      <c r="G13" s="262"/>
      <c r="H13" s="262"/>
      <c r="I13" s="262"/>
      <c r="J13" s="258"/>
    </row>
    <row r="14" spans="1:11" s="8" customFormat="1" x14ac:dyDescent="0.3">
      <c r="A14" s="66" t="s">
        <v>50</v>
      </c>
      <c r="B14" s="66">
        <f>(+BS!D12+BS!D14+BS!D18-BS!C12-BS!C14-BS!C18)*-1</f>
        <v>-33.333333333333258</v>
      </c>
      <c r="C14" s="66">
        <f>(+BS!E12+BS!E14+BS!E18-BS!D12-BS!D14-BS!D18)*-1</f>
        <v>-68.333333333333371</v>
      </c>
      <c r="D14" s="83"/>
      <c r="E14" s="259">
        <f t="shared" ref="E14" si="8">B14+B15</f>
        <v>-33.333333333333258</v>
      </c>
      <c r="F14" s="259">
        <f t="shared" ref="F14" si="9">C14+C15</f>
        <v>-68.333333333333371</v>
      </c>
      <c r="G14" s="262">
        <f>(+BS!J12+BS!J14+BS!J18-BS!I12-BS!I14-BS!I18)*-1</f>
        <v>-56.238753963753993</v>
      </c>
      <c r="H14" s="262">
        <f>(+BS!K12+BS!K14+BS!K18-BS!J12-BS!J14-BS!J18)*-1</f>
        <v>-60.54138430988769</v>
      </c>
      <c r="I14" s="262">
        <f>(+BS!L12+BS!L14+BS!L18-BS!K12-BS!K14-BS!K18)*-1</f>
        <v>-65.361284470178816</v>
      </c>
      <c r="J14" s="258" t="s">
        <v>18</v>
      </c>
    </row>
    <row r="15" spans="1:11" s="8" customFormat="1" x14ac:dyDescent="0.3">
      <c r="A15" s="81" t="s">
        <v>11</v>
      </c>
      <c r="B15" s="89">
        <f>(+BS!D13+BS!D15+BS!D19-BS!C13-BS!C15-BS!C19)*-1</f>
        <v>0</v>
      </c>
      <c r="C15" s="89">
        <f>(+BS!E13+BS!E15+BS!E19-BS!D13-BS!D15-BS!D19)*-1</f>
        <v>0</v>
      </c>
      <c r="D15" s="90" t="s">
        <v>18</v>
      </c>
      <c r="E15" s="259"/>
      <c r="F15" s="259"/>
      <c r="G15" s="262"/>
      <c r="H15" s="262"/>
      <c r="I15" s="262"/>
      <c r="J15" s="258"/>
    </row>
    <row r="16" spans="1:11" s="8" customFormat="1" x14ac:dyDescent="0.3">
      <c r="A16" s="66" t="s">
        <v>51</v>
      </c>
      <c r="B16" s="66">
        <f>(+BS!D31+BS!D33-BS!C31-BS!C33)*-1</f>
        <v>-5</v>
      </c>
      <c r="C16" s="66">
        <f>(+BS!E31+BS!E33-BS!D31-BS!D33)*-1</f>
        <v>-115</v>
      </c>
      <c r="D16" s="77"/>
      <c r="E16" s="259">
        <f t="shared" ref="E16" si="10">B16+B17</f>
        <v>-5</v>
      </c>
      <c r="F16" s="259">
        <f t="shared" ref="F16" si="11">C16+C17</f>
        <v>-15</v>
      </c>
      <c r="G16" s="262">
        <f>(+BS!J31+BS!J33-BS!I31-BS!I33)*-1</f>
        <v>33</v>
      </c>
      <c r="H16" s="262">
        <f>(+BS!K31+BS!K33-BS!J31-BS!J33)*-1</f>
        <v>3</v>
      </c>
      <c r="I16" s="262">
        <f>(+BS!L31+BS!L33-BS!K31-BS!K33)*-1</f>
        <v>20</v>
      </c>
      <c r="J16" s="258" t="s">
        <v>18</v>
      </c>
    </row>
    <row r="17" spans="1:12" s="8" customFormat="1" x14ac:dyDescent="0.3">
      <c r="A17" s="81" t="s">
        <v>11</v>
      </c>
      <c r="B17" s="89">
        <f>(+BS!D32+BS!D34+BS!D36-BS!C32-BS!C34-BS!C36)*-1</f>
        <v>0</v>
      </c>
      <c r="C17" s="89">
        <f>(+BS!E32+BS!E34+BS!E36-BS!D32-BS!D34-BS!D36)*-1</f>
        <v>100</v>
      </c>
      <c r="D17" s="90" t="s">
        <v>18</v>
      </c>
      <c r="E17" s="259"/>
      <c r="F17" s="259"/>
      <c r="G17" s="262"/>
      <c r="H17" s="262"/>
      <c r="I17" s="262"/>
      <c r="J17" s="258"/>
    </row>
    <row r="18" spans="1:12" s="8" customFormat="1" x14ac:dyDescent="0.3">
      <c r="A18" s="66" t="s">
        <v>52</v>
      </c>
      <c r="B18" s="66">
        <f>(+PnL!D18+PnL!D20)*-1</f>
        <v>2</v>
      </c>
      <c r="C18" s="66">
        <f>(+PnL!E18+PnL!E20)*-1</f>
        <v>0</v>
      </c>
      <c r="D18" s="83"/>
      <c r="E18" s="259">
        <f t="shared" ref="E18" si="12">B18+B19</f>
        <v>2</v>
      </c>
      <c r="F18" s="259">
        <f t="shared" ref="F18" si="13">C18+C19</f>
        <v>0</v>
      </c>
      <c r="G18" s="262">
        <f>(+PnL!J18+PnL!J20)*-1</f>
        <v>-5</v>
      </c>
      <c r="H18" s="262">
        <f>(+PnL!K18+PnL!K20)*-1</f>
        <v>-10</v>
      </c>
      <c r="I18" s="262">
        <f>(+PnL!L18+PnL!L20)*-1</f>
        <v>-15</v>
      </c>
      <c r="J18" s="258" t="s">
        <v>18</v>
      </c>
      <c r="K18" s="30"/>
      <c r="L18" s="30"/>
    </row>
    <row r="19" spans="1:12" s="8" customFormat="1" x14ac:dyDescent="0.3">
      <c r="A19" s="81" t="s">
        <v>11</v>
      </c>
      <c r="B19" s="89">
        <f>(+PnL!D19+PnL!D21)*-1</f>
        <v>0</v>
      </c>
      <c r="C19" s="89">
        <f>(+PnL!E19+PnL!E21)*-1</f>
        <v>0</v>
      </c>
      <c r="D19" s="90" t="s">
        <v>18</v>
      </c>
      <c r="E19" s="259"/>
      <c r="F19" s="259"/>
      <c r="G19" s="262"/>
      <c r="H19" s="262"/>
      <c r="I19" s="262"/>
      <c r="J19" s="258"/>
    </row>
    <row r="20" spans="1:12" s="8" customFormat="1" x14ac:dyDescent="0.3">
      <c r="A20" s="66" t="s">
        <v>53</v>
      </c>
      <c r="B20" s="66">
        <v>-30</v>
      </c>
      <c r="C20" s="66">
        <v>0</v>
      </c>
      <c r="D20" s="77"/>
      <c r="E20" s="259">
        <f t="shared" ref="E20" si="14">B20+B21</f>
        <v>-30</v>
      </c>
      <c r="F20" s="259">
        <f t="shared" ref="F20" si="15">C20+C21</f>
        <v>0</v>
      </c>
      <c r="G20" s="263">
        <v>0</v>
      </c>
      <c r="H20" s="263">
        <v>0</v>
      </c>
      <c r="I20" s="263">
        <v>0</v>
      </c>
      <c r="L20" s="18"/>
    </row>
    <row r="21" spans="1:12" s="8" customFormat="1" x14ac:dyDescent="0.3">
      <c r="A21" s="81" t="s">
        <v>11</v>
      </c>
      <c r="B21" s="82"/>
      <c r="C21" s="82"/>
      <c r="D21" s="81"/>
      <c r="E21" s="259"/>
      <c r="F21" s="259"/>
      <c r="G21" s="263"/>
      <c r="H21" s="263"/>
      <c r="I21" s="263"/>
    </row>
    <row r="22" spans="1:12" s="8" customFormat="1" x14ac:dyDescent="0.3">
      <c r="A22" s="66" t="s">
        <v>54</v>
      </c>
      <c r="B22" s="66">
        <v>0</v>
      </c>
      <c r="C22" s="66">
        <v>0</v>
      </c>
      <c r="D22" s="83"/>
      <c r="E22" s="259">
        <f t="shared" ref="E22:E24" si="16">B22+B23</f>
        <v>0</v>
      </c>
      <c r="F22" s="259">
        <f t="shared" ref="F22" si="17">C22+C23</f>
        <v>0</v>
      </c>
      <c r="G22" s="263">
        <v>0</v>
      </c>
      <c r="H22" s="263">
        <v>0</v>
      </c>
      <c r="I22" s="263">
        <v>0</v>
      </c>
      <c r="L22" s="18"/>
    </row>
    <row r="23" spans="1:12" s="8" customFormat="1" x14ac:dyDescent="0.3">
      <c r="A23" s="81" t="s">
        <v>11</v>
      </c>
      <c r="B23" s="82"/>
      <c r="C23" s="82"/>
      <c r="D23" s="81"/>
      <c r="E23" s="259"/>
      <c r="F23" s="259"/>
      <c r="G23" s="263"/>
      <c r="H23" s="263"/>
      <c r="I23" s="263"/>
    </row>
    <row r="24" spans="1:12" s="8" customFormat="1" x14ac:dyDescent="0.3">
      <c r="A24" s="94" t="s">
        <v>55</v>
      </c>
      <c r="B24" s="94">
        <f>B4+B6+B8+B10+B12+B14+B16+B18+B20+B22</f>
        <v>1089.3618970814139</v>
      </c>
      <c r="C24" s="94">
        <f>C4+C6+C8+C10+C12+C14+C16+C18+C20+C22</f>
        <v>1060.9738095238095</v>
      </c>
      <c r="D24" s="77"/>
      <c r="E24" s="260">
        <f t="shared" si="16"/>
        <v>766.36189708141387</v>
      </c>
      <c r="F24" s="260">
        <f t="shared" ref="F24" si="18">C24+C25</f>
        <v>1000.9738095238095</v>
      </c>
      <c r="G24" s="260">
        <f>+SUM(G4:G22)</f>
        <v>763.96425760191494</v>
      </c>
      <c r="H24" s="260">
        <f t="shared" ref="H24:I24" si="19">+SUM(H4:H22)</f>
        <v>1120.5829875614975</v>
      </c>
      <c r="I24" s="260">
        <f t="shared" si="19"/>
        <v>1198.4590067287813</v>
      </c>
      <c r="J24" s="258" t="s">
        <v>18</v>
      </c>
    </row>
    <row r="25" spans="1:12" s="8" customFormat="1" ht="17.25" customHeight="1" thickBot="1" x14ac:dyDescent="0.35">
      <c r="A25" s="95" t="s">
        <v>11</v>
      </c>
      <c r="B25" s="96">
        <f>B5+B7+B9+B11+B13+B15+B17+B19+B21+B23</f>
        <v>-323</v>
      </c>
      <c r="C25" s="96">
        <f>C5+C7+C9+C11+C13+C15+C17+C19+C21+C23</f>
        <v>-60</v>
      </c>
      <c r="D25" s="90" t="s">
        <v>18</v>
      </c>
      <c r="E25" s="261"/>
      <c r="F25" s="261"/>
      <c r="G25" s="261"/>
      <c r="H25" s="261"/>
      <c r="I25" s="261"/>
      <c r="J25" s="258"/>
    </row>
    <row r="26" spans="1:12" s="1" customFormat="1" ht="5.0999999999999996" customHeight="1" thickTop="1" x14ac:dyDescent="0.3">
      <c r="A26" s="97"/>
      <c r="B26" s="83"/>
      <c r="C26" s="83"/>
      <c r="D26" s="77"/>
      <c r="E26" s="74"/>
      <c r="F26" s="74"/>
      <c r="G26" s="75"/>
      <c r="H26" s="75"/>
      <c r="I26" s="75"/>
    </row>
    <row r="27" spans="1:12" s="8" customFormat="1" x14ac:dyDescent="0.3">
      <c r="A27" s="66" t="s">
        <v>56</v>
      </c>
      <c r="B27" s="66">
        <f>-CAPEX!E9</f>
        <v>-650</v>
      </c>
      <c r="C27" s="66">
        <f>-CAPEX!F9</f>
        <v>-1040</v>
      </c>
      <c r="D27" s="90"/>
      <c r="E27" s="259">
        <f>B27+B28</f>
        <v>-650</v>
      </c>
      <c r="F27" s="259">
        <f>C27+C28</f>
        <v>-1040</v>
      </c>
      <c r="G27" s="262">
        <f>-CAPEX!G9</f>
        <v>-150</v>
      </c>
      <c r="H27" s="262">
        <f>-CAPEX!H9</f>
        <v>-650</v>
      </c>
      <c r="I27" s="262">
        <f>-CAPEX!I9</f>
        <v>-150</v>
      </c>
      <c r="J27" s="258" t="s">
        <v>18</v>
      </c>
      <c r="K27" s="30"/>
      <c r="L27" s="30"/>
    </row>
    <row r="28" spans="1:12" s="8" customFormat="1" x14ac:dyDescent="0.3">
      <c r="A28" s="81" t="s">
        <v>11</v>
      </c>
      <c r="B28" s="82"/>
      <c r="C28" s="82"/>
      <c r="D28" s="81"/>
      <c r="E28" s="259"/>
      <c r="F28" s="259"/>
      <c r="G28" s="262"/>
      <c r="H28" s="262"/>
      <c r="I28" s="262"/>
      <c r="J28" s="258"/>
    </row>
    <row r="29" spans="1:12" s="8" customFormat="1" x14ac:dyDescent="0.3">
      <c r="A29" s="66" t="s">
        <v>57</v>
      </c>
      <c r="B29" s="66">
        <v>130</v>
      </c>
      <c r="C29" s="66">
        <v>0</v>
      </c>
      <c r="D29" s="83"/>
      <c r="E29" s="259">
        <f t="shared" ref="E29" si="20">B29+B30</f>
        <v>130</v>
      </c>
      <c r="F29" s="259">
        <f t="shared" ref="F29" si="21">C29+C30</f>
        <v>0</v>
      </c>
      <c r="G29" s="263">
        <v>0</v>
      </c>
      <c r="H29" s="263">
        <v>0</v>
      </c>
      <c r="I29" s="263">
        <v>0</v>
      </c>
      <c r="K29" s="30"/>
      <c r="L29" s="30"/>
    </row>
    <row r="30" spans="1:12" s="8" customFormat="1" x14ac:dyDescent="0.3">
      <c r="A30" s="81" t="s">
        <v>11</v>
      </c>
      <c r="B30" s="82"/>
      <c r="C30" s="82"/>
      <c r="D30" s="81"/>
      <c r="E30" s="259"/>
      <c r="F30" s="259"/>
      <c r="G30" s="263"/>
      <c r="H30" s="263"/>
      <c r="I30" s="263"/>
    </row>
    <row r="31" spans="1:12" s="8" customFormat="1" x14ac:dyDescent="0.3">
      <c r="A31" s="126" t="s">
        <v>58</v>
      </c>
      <c r="B31" s="66"/>
      <c r="C31" s="66"/>
      <c r="D31" s="77"/>
      <c r="E31" s="259">
        <f t="shared" ref="E31" si="22">B31+B32</f>
        <v>0</v>
      </c>
      <c r="F31" s="259">
        <f t="shared" ref="F31" si="23">C31+C32</f>
        <v>0</v>
      </c>
      <c r="G31" s="263">
        <v>0</v>
      </c>
      <c r="H31" s="263">
        <v>0</v>
      </c>
      <c r="I31" s="263">
        <v>0</v>
      </c>
      <c r="K31" s="30"/>
      <c r="L31" s="30"/>
    </row>
    <row r="32" spans="1:12" s="8" customFormat="1" x14ac:dyDescent="0.3">
      <c r="A32" s="81" t="s">
        <v>11</v>
      </c>
      <c r="B32" s="82"/>
      <c r="C32" s="82"/>
      <c r="D32" s="81"/>
      <c r="E32" s="259"/>
      <c r="F32" s="259"/>
      <c r="G32" s="263"/>
      <c r="H32" s="263"/>
      <c r="I32" s="263"/>
    </row>
    <row r="33" spans="1:12" s="8" customFormat="1" x14ac:dyDescent="0.3">
      <c r="A33" s="126" t="s">
        <v>59</v>
      </c>
      <c r="B33" s="66"/>
      <c r="C33" s="66"/>
      <c r="D33" s="83"/>
      <c r="E33" s="259">
        <f t="shared" ref="E33" si="24">B33+B34</f>
        <v>0</v>
      </c>
      <c r="F33" s="259">
        <f t="shared" ref="F33" si="25">C33+C34</f>
        <v>0</v>
      </c>
      <c r="G33" s="263">
        <v>0</v>
      </c>
      <c r="H33" s="263">
        <v>0</v>
      </c>
      <c r="I33" s="263">
        <v>0</v>
      </c>
    </row>
    <row r="34" spans="1:12" s="8" customFormat="1" x14ac:dyDescent="0.3">
      <c r="A34" s="81" t="s">
        <v>11</v>
      </c>
      <c r="B34" s="82"/>
      <c r="C34" s="82"/>
      <c r="D34" s="81"/>
      <c r="E34" s="259"/>
      <c r="F34" s="259"/>
      <c r="G34" s="263"/>
      <c r="H34" s="263"/>
      <c r="I34" s="263"/>
    </row>
    <row r="35" spans="1:12" s="8" customFormat="1" x14ac:dyDescent="0.3">
      <c r="A35" s="126" t="s">
        <v>60</v>
      </c>
      <c r="B35" s="66"/>
      <c r="C35" s="66"/>
      <c r="D35" s="79"/>
      <c r="E35" s="259">
        <f t="shared" ref="E35" si="26">B35+B36</f>
        <v>0</v>
      </c>
      <c r="F35" s="259">
        <f t="shared" ref="F35" si="27">C35+C36</f>
        <v>0</v>
      </c>
      <c r="G35" s="263">
        <v>0</v>
      </c>
      <c r="H35" s="263">
        <v>0</v>
      </c>
      <c r="I35" s="263">
        <v>0</v>
      </c>
    </row>
    <row r="36" spans="1:12" s="8" customFormat="1" x14ac:dyDescent="0.3">
      <c r="A36" s="81" t="s">
        <v>11</v>
      </c>
      <c r="B36" s="82"/>
      <c r="C36" s="82"/>
      <c r="D36" s="81"/>
      <c r="E36" s="259"/>
      <c r="F36" s="259"/>
      <c r="G36" s="263"/>
      <c r="H36" s="263"/>
      <c r="I36" s="263"/>
    </row>
    <row r="37" spans="1:12" s="8" customFormat="1" x14ac:dyDescent="0.3">
      <c r="A37" s="126" t="s">
        <v>61</v>
      </c>
      <c r="B37" s="66">
        <f>+PnL!D18</f>
        <v>8</v>
      </c>
      <c r="C37" s="66">
        <f>+PnL!E18</f>
        <v>0</v>
      </c>
      <c r="D37" s="83"/>
      <c r="E37" s="259">
        <f t="shared" ref="E37" si="28">B37+B38</f>
        <v>8</v>
      </c>
      <c r="F37" s="259">
        <f t="shared" ref="F37" si="29">C37+C38</f>
        <v>0</v>
      </c>
      <c r="G37" s="262">
        <f>+PnL!J18</f>
        <v>5</v>
      </c>
      <c r="H37" s="262">
        <f>+PnL!K18</f>
        <v>10</v>
      </c>
      <c r="I37" s="262">
        <f>+PnL!L18</f>
        <v>15</v>
      </c>
      <c r="J37" s="258" t="s">
        <v>18</v>
      </c>
      <c r="K37" s="18"/>
      <c r="L37" s="18"/>
    </row>
    <row r="38" spans="1:12" s="8" customFormat="1" x14ac:dyDescent="0.3">
      <c r="A38" s="81" t="s">
        <v>11</v>
      </c>
      <c r="B38" s="89">
        <f>+PnL!D19</f>
        <v>0</v>
      </c>
      <c r="C38" s="89">
        <f>+PnL!E19</f>
        <v>0</v>
      </c>
      <c r="D38" s="90" t="s">
        <v>18</v>
      </c>
      <c r="E38" s="259"/>
      <c r="F38" s="259"/>
      <c r="G38" s="262"/>
      <c r="H38" s="262"/>
      <c r="I38" s="262"/>
      <c r="J38" s="258"/>
    </row>
    <row r="39" spans="1:12" s="8" customFormat="1" x14ac:dyDescent="0.3">
      <c r="A39" s="66" t="s">
        <v>53</v>
      </c>
      <c r="B39" s="66"/>
      <c r="C39" s="66"/>
      <c r="D39" s="77"/>
      <c r="E39" s="259">
        <f t="shared" ref="E39" si="30">B39+B40</f>
        <v>0</v>
      </c>
      <c r="F39" s="259">
        <f t="shared" ref="F39" si="31">C39+C40</f>
        <v>0</v>
      </c>
      <c r="G39" s="263">
        <v>0</v>
      </c>
      <c r="H39" s="263">
        <v>0</v>
      </c>
      <c r="I39" s="263">
        <v>0</v>
      </c>
    </row>
    <row r="40" spans="1:12" s="8" customFormat="1" x14ac:dyDescent="0.3">
      <c r="A40" s="81" t="s">
        <v>11</v>
      </c>
      <c r="B40" s="82"/>
      <c r="C40" s="82"/>
      <c r="D40" s="81"/>
      <c r="E40" s="259"/>
      <c r="F40" s="259"/>
      <c r="G40" s="263"/>
      <c r="H40" s="263"/>
      <c r="I40" s="263"/>
    </row>
    <row r="41" spans="1:12" s="8" customFormat="1" x14ac:dyDescent="0.3">
      <c r="A41" s="66" t="s">
        <v>54</v>
      </c>
      <c r="B41" s="66"/>
      <c r="C41" s="66"/>
      <c r="D41" s="77"/>
      <c r="E41" s="259">
        <f t="shared" ref="E41" si="32">B41+B42</f>
        <v>0</v>
      </c>
      <c r="F41" s="259">
        <f t="shared" ref="F41" si="33">C41+C42</f>
        <v>0</v>
      </c>
      <c r="G41" s="263">
        <v>0</v>
      </c>
      <c r="H41" s="263">
        <v>0</v>
      </c>
      <c r="I41" s="263">
        <v>0</v>
      </c>
    </row>
    <row r="42" spans="1:12" s="8" customFormat="1" x14ac:dyDescent="0.3">
      <c r="A42" s="81" t="s">
        <v>11</v>
      </c>
      <c r="B42" s="82"/>
      <c r="C42" s="82"/>
      <c r="D42" s="81"/>
      <c r="E42" s="259"/>
      <c r="F42" s="259"/>
      <c r="G42" s="263"/>
      <c r="H42" s="263"/>
      <c r="I42" s="263"/>
    </row>
    <row r="43" spans="1:12" s="8" customFormat="1" x14ac:dyDescent="0.3">
      <c r="A43" s="94" t="s">
        <v>62</v>
      </c>
      <c r="B43" s="94">
        <f>B27+B29+B31+B33+B35+B37+B39+B41</f>
        <v>-512</v>
      </c>
      <c r="C43" s="94">
        <f>C27+C29+C31+C33+C35+C37+C39+C41</f>
        <v>-1040</v>
      </c>
      <c r="D43" s="83"/>
      <c r="E43" s="260">
        <f t="shared" ref="E43" si="34">B43+B44</f>
        <v>-512</v>
      </c>
      <c r="F43" s="260">
        <f t="shared" ref="F43" si="35">C43+C44</f>
        <v>-1040</v>
      </c>
      <c r="G43" s="260">
        <f>+SUM(G27:G41)</f>
        <v>-145</v>
      </c>
      <c r="H43" s="260">
        <f>+SUM(H27:H41)</f>
        <v>-640</v>
      </c>
      <c r="I43" s="260">
        <f>+SUM(I27:I41)</f>
        <v>-135</v>
      </c>
      <c r="J43" s="258" t="s">
        <v>18</v>
      </c>
    </row>
    <row r="44" spans="1:12" s="8" customFormat="1" ht="15.75" thickBot="1" x14ac:dyDescent="0.35">
      <c r="A44" s="95" t="s">
        <v>11</v>
      </c>
      <c r="B44" s="96">
        <f>B28+B30+B32+B34+B36+B38+B40+B42</f>
        <v>0</v>
      </c>
      <c r="C44" s="96">
        <f>C28+C30+C32+C34+C36+C38+C40+C42</f>
        <v>0</v>
      </c>
      <c r="D44" s="90" t="s">
        <v>18</v>
      </c>
      <c r="E44" s="261"/>
      <c r="F44" s="261"/>
      <c r="G44" s="261"/>
      <c r="H44" s="261"/>
      <c r="I44" s="261"/>
      <c r="J44" s="258"/>
    </row>
    <row r="45" spans="1:12" s="8" customFormat="1" ht="5.0999999999999996" customHeight="1" thickTop="1" x14ac:dyDescent="0.3">
      <c r="A45" s="66"/>
      <c r="B45" s="66"/>
      <c r="C45" s="66"/>
      <c r="D45" s="77"/>
      <c r="E45" s="76"/>
      <c r="F45" s="76"/>
      <c r="G45" s="66"/>
      <c r="H45" s="66"/>
      <c r="I45" s="66"/>
    </row>
    <row r="46" spans="1:12" s="8" customFormat="1" x14ac:dyDescent="0.3">
      <c r="A46" s="66" t="s">
        <v>63</v>
      </c>
      <c r="B46" s="66"/>
      <c r="C46" s="98"/>
      <c r="D46" s="83"/>
      <c r="E46" s="259">
        <f>B46+B47</f>
        <v>0</v>
      </c>
      <c r="F46" s="259">
        <f>C46+C47</f>
        <v>0</v>
      </c>
      <c r="G46" s="263">
        <v>0</v>
      </c>
      <c r="H46" s="263">
        <v>0</v>
      </c>
      <c r="I46" s="263">
        <v>0</v>
      </c>
    </row>
    <row r="47" spans="1:12" s="8" customFormat="1" x14ac:dyDescent="0.3">
      <c r="A47" s="81" t="s">
        <v>11</v>
      </c>
      <c r="B47" s="82"/>
      <c r="C47" s="82"/>
      <c r="D47" s="81"/>
      <c r="E47" s="259"/>
      <c r="F47" s="259"/>
      <c r="G47" s="263"/>
      <c r="H47" s="263"/>
      <c r="I47" s="263"/>
    </row>
    <row r="48" spans="1:12" s="8" customFormat="1" x14ac:dyDescent="0.3">
      <c r="A48" s="66" t="s">
        <v>64</v>
      </c>
      <c r="B48" s="66"/>
      <c r="C48" s="66">
        <v>-600</v>
      </c>
      <c r="D48" s="77"/>
      <c r="E48" s="259">
        <f t="shared" ref="E48" si="36">B48+B49</f>
        <v>0</v>
      </c>
      <c r="F48" s="259">
        <f t="shared" ref="F48" si="37">C48+C49</f>
        <v>-600</v>
      </c>
      <c r="G48" s="263">
        <v>0</v>
      </c>
      <c r="H48" s="263">
        <v>0</v>
      </c>
      <c r="I48" s="263">
        <v>0</v>
      </c>
    </row>
    <row r="49" spans="1:12" s="8" customFormat="1" x14ac:dyDescent="0.3">
      <c r="A49" s="81" t="s">
        <v>11</v>
      </c>
      <c r="B49" s="82"/>
      <c r="C49" s="82"/>
      <c r="D49" s="81"/>
      <c r="E49" s="259"/>
      <c r="F49" s="259"/>
      <c r="G49" s="263"/>
      <c r="H49" s="263"/>
      <c r="I49" s="263"/>
    </row>
    <row r="50" spans="1:12" s="8" customFormat="1" x14ac:dyDescent="0.3">
      <c r="A50" s="126" t="s">
        <v>65</v>
      </c>
      <c r="B50" s="66">
        <f>(-PnL!D20)*-1</f>
        <v>-10</v>
      </c>
      <c r="C50" s="66">
        <f>(-PnL!E20)*-1</f>
        <v>0</v>
      </c>
      <c r="D50" s="83"/>
      <c r="E50" s="259">
        <f t="shared" ref="E50" si="38">B50+B51</f>
        <v>-10</v>
      </c>
      <c r="F50" s="259">
        <f t="shared" ref="F50" si="39">C50+C51</f>
        <v>0</v>
      </c>
      <c r="G50" s="262">
        <f>(-PnL!J20)*-1</f>
        <v>0</v>
      </c>
      <c r="H50" s="262">
        <f>(-PnL!K20)*-1</f>
        <v>0</v>
      </c>
      <c r="I50" s="262">
        <f>(-PnL!L20)*-1</f>
        <v>0</v>
      </c>
      <c r="J50" s="258" t="s">
        <v>18</v>
      </c>
    </row>
    <row r="51" spans="1:12" s="8" customFormat="1" x14ac:dyDescent="0.3">
      <c r="A51" s="81" t="s">
        <v>11</v>
      </c>
      <c r="B51" s="89">
        <f>(-PnL!D21)*-1</f>
        <v>0</v>
      </c>
      <c r="C51" s="89">
        <f>(-PnL!E21)*-1</f>
        <v>0</v>
      </c>
      <c r="D51" s="90" t="s">
        <v>18</v>
      </c>
      <c r="E51" s="259"/>
      <c r="F51" s="259"/>
      <c r="G51" s="262"/>
      <c r="H51" s="262"/>
      <c r="I51" s="262"/>
      <c r="J51" s="258"/>
    </row>
    <row r="52" spans="1:12" s="8" customFormat="1" x14ac:dyDescent="0.3">
      <c r="A52" s="66" t="s">
        <v>53</v>
      </c>
      <c r="B52" s="66"/>
      <c r="C52" s="98"/>
      <c r="D52" s="77"/>
      <c r="E52" s="259">
        <f t="shared" ref="E52" si="40">B52+B53</f>
        <v>0</v>
      </c>
      <c r="F52" s="259">
        <f t="shared" ref="F52" si="41">C52+C53</f>
        <v>0</v>
      </c>
      <c r="G52" s="263">
        <v>0</v>
      </c>
      <c r="H52" s="263">
        <v>0</v>
      </c>
      <c r="I52" s="263">
        <v>0</v>
      </c>
    </row>
    <row r="53" spans="1:12" s="8" customFormat="1" x14ac:dyDescent="0.3">
      <c r="A53" s="81" t="s">
        <v>11</v>
      </c>
      <c r="B53" s="82"/>
      <c r="C53" s="82"/>
      <c r="D53" s="81"/>
      <c r="E53" s="259"/>
      <c r="F53" s="259"/>
      <c r="G53" s="263"/>
      <c r="H53" s="263"/>
      <c r="I53" s="263"/>
    </row>
    <row r="54" spans="1:12" s="8" customFormat="1" x14ac:dyDescent="0.3">
      <c r="A54" s="66" t="s">
        <v>54</v>
      </c>
      <c r="B54" s="66"/>
      <c r="C54" s="98"/>
      <c r="D54" s="83"/>
      <c r="E54" s="259">
        <f t="shared" ref="E54" si="42">B54+B55</f>
        <v>0</v>
      </c>
      <c r="F54" s="259">
        <f t="shared" ref="F54" si="43">C54+C55</f>
        <v>0</v>
      </c>
      <c r="G54" s="263">
        <v>0</v>
      </c>
      <c r="H54" s="263">
        <v>0</v>
      </c>
      <c r="I54" s="263">
        <v>0</v>
      </c>
    </row>
    <row r="55" spans="1:12" s="8" customFormat="1" x14ac:dyDescent="0.3">
      <c r="A55" s="81" t="s">
        <v>11</v>
      </c>
      <c r="B55" s="82"/>
      <c r="C55" s="82"/>
      <c r="D55" s="81"/>
      <c r="E55" s="259"/>
      <c r="F55" s="259"/>
      <c r="G55" s="263"/>
      <c r="H55" s="263"/>
      <c r="I55" s="263"/>
    </row>
    <row r="56" spans="1:12" s="8" customFormat="1" x14ac:dyDescent="0.3">
      <c r="A56" s="126" t="s">
        <v>66</v>
      </c>
      <c r="B56" s="66"/>
      <c r="C56" s="98"/>
      <c r="D56" s="77"/>
      <c r="E56" s="259">
        <f t="shared" ref="E56" si="44">B56+B57</f>
        <v>0</v>
      </c>
      <c r="F56" s="259">
        <f t="shared" ref="F56" si="45">C56+C57</f>
        <v>0</v>
      </c>
      <c r="G56" s="263">
        <v>0</v>
      </c>
      <c r="H56" s="263">
        <v>0</v>
      </c>
      <c r="I56" s="263">
        <v>0</v>
      </c>
    </row>
    <row r="57" spans="1:12" s="8" customFormat="1" x14ac:dyDescent="0.3">
      <c r="A57" s="81" t="s">
        <v>11</v>
      </c>
      <c r="B57" s="82"/>
      <c r="C57" s="82"/>
      <c r="D57" s="81"/>
      <c r="E57" s="259"/>
      <c r="F57" s="259"/>
      <c r="G57" s="263"/>
      <c r="H57" s="263"/>
      <c r="I57" s="263"/>
    </row>
    <row r="58" spans="1:12" s="8" customFormat="1" x14ac:dyDescent="0.3">
      <c r="A58" s="94" t="s">
        <v>67</v>
      </c>
      <c r="B58" s="94">
        <f>B46+B48+B50+B52+B54+B56</f>
        <v>-10</v>
      </c>
      <c r="C58" s="94">
        <f>C46+C48+C50+C52+C54+C56</f>
        <v>-600</v>
      </c>
      <c r="D58" s="83"/>
      <c r="E58" s="260">
        <f t="shared" ref="E58" si="46">B58+B59</f>
        <v>-10</v>
      </c>
      <c r="F58" s="260">
        <f t="shared" ref="F58" si="47">C58+C59</f>
        <v>-600</v>
      </c>
      <c r="G58" s="260">
        <f>+SUM(G46:G56)</f>
        <v>0</v>
      </c>
      <c r="H58" s="260">
        <f>+SUM(H46:H56)</f>
        <v>0</v>
      </c>
      <c r="I58" s="260">
        <f>+SUM(I46:I56)</f>
        <v>0</v>
      </c>
      <c r="J58" s="258" t="s">
        <v>18</v>
      </c>
    </row>
    <row r="59" spans="1:12" s="8" customFormat="1" ht="15.75" thickBot="1" x14ac:dyDescent="0.35">
      <c r="A59" s="95" t="s">
        <v>11</v>
      </c>
      <c r="B59" s="99">
        <f>B47+B49+B51+B53+B55+B57</f>
        <v>0</v>
      </c>
      <c r="C59" s="99">
        <f>C47+C49+C51+C53+C55+C57</f>
        <v>0</v>
      </c>
      <c r="D59" s="90" t="s">
        <v>18</v>
      </c>
      <c r="E59" s="261"/>
      <c r="F59" s="261"/>
      <c r="G59" s="261"/>
      <c r="H59" s="261"/>
      <c r="I59" s="261"/>
      <c r="J59" s="258"/>
    </row>
    <row r="60" spans="1:12" s="8" customFormat="1" ht="15.75" thickTop="1" x14ac:dyDescent="0.3">
      <c r="A60" s="66"/>
      <c r="B60" s="66"/>
      <c r="C60" s="66"/>
      <c r="D60" s="77"/>
      <c r="E60" s="77"/>
      <c r="F60" s="77"/>
      <c r="G60" s="66"/>
      <c r="H60" s="66"/>
      <c r="I60" s="66"/>
    </row>
    <row r="61" spans="1:12" s="8" customFormat="1" x14ac:dyDescent="0.3">
      <c r="A61" s="78" t="s">
        <v>68</v>
      </c>
      <c r="B61" s="78">
        <f>+B58+B43+B24</f>
        <v>567.36189708141387</v>
      </c>
      <c r="C61" s="78">
        <f>+C58+C43+C24</f>
        <v>-579.02619047619055</v>
      </c>
      <c r="D61" s="83"/>
      <c r="E61" s="78">
        <f>+E58+E43+E24</f>
        <v>244.36189708141387</v>
      </c>
      <c r="F61" s="78">
        <f>+F58+F43+F24</f>
        <v>-639.02619047619055</v>
      </c>
      <c r="G61" s="78">
        <f>+G58+G43+G24</f>
        <v>618.96425760191494</v>
      </c>
      <c r="H61" s="78">
        <f>+H58+H43+H24</f>
        <v>480.58298756149748</v>
      </c>
      <c r="I61" s="78">
        <f>+I58+I43+I24</f>
        <v>1063.4590067287813</v>
      </c>
    </row>
    <row r="62" spans="1:12" s="8" customFormat="1" x14ac:dyDescent="0.3">
      <c r="A62" s="78" t="s">
        <v>69</v>
      </c>
      <c r="B62" s="78">
        <f>BS!C16</f>
        <v>60</v>
      </c>
      <c r="C62" s="78">
        <f t="shared" ref="C62:I62" si="48">+B63</f>
        <v>627.36189708141387</v>
      </c>
      <c r="D62" s="77"/>
      <c r="E62" s="78">
        <f>BS!G16</f>
        <v>760</v>
      </c>
      <c r="F62" s="78">
        <f t="shared" ref="F62" si="49">+E63</f>
        <v>1004.3618970814139</v>
      </c>
      <c r="G62" s="78">
        <f>+F63</f>
        <v>365.33570660522332</v>
      </c>
      <c r="H62" s="78">
        <f t="shared" si="48"/>
        <v>984.29996420713826</v>
      </c>
      <c r="I62" s="78">
        <f t="shared" si="48"/>
        <v>1464.8829517686358</v>
      </c>
      <c r="L62" s="18"/>
    </row>
    <row r="63" spans="1:12" s="8" customFormat="1" x14ac:dyDescent="0.3">
      <c r="A63" s="78" t="s">
        <v>70</v>
      </c>
      <c r="B63" s="78">
        <f t="shared" ref="B63:I63" si="50">+B61+B62</f>
        <v>627.36189708141387</v>
      </c>
      <c r="C63" s="78">
        <f t="shared" si="50"/>
        <v>48.335706605223322</v>
      </c>
      <c r="D63" s="83"/>
      <c r="E63" s="78">
        <f t="shared" ref="E63" si="51">+E61+E62</f>
        <v>1004.3618970814139</v>
      </c>
      <c r="F63" s="78">
        <f>+F61+F62</f>
        <v>365.33570660522332</v>
      </c>
      <c r="G63" s="78">
        <f t="shared" si="50"/>
        <v>984.29996420713826</v>
      </c>
      <c r="H63" s="78">
        <f t="shared" si="50"/>
        <v>1464.8829517686358</v>
      </c>
      <c r="I63" s="78">
        <f t="shared" si="50"/>
        <v>2528.3419584974172</v>
      </c>
    </row>
    <row r="64" spans="1:12" s="8" customFormat="1" x14ac:dyDescent="0.3">
      <c r="A64" s="66"/>
      <c r="B64" s="66"/>
      <c r="C64" s="66"/>
      <c r="D64" s="79"/>
      <c r="E64" s="79"/>
      <c r="F64" s="79"/>
      <c r="G64" s="66"/>
      <c r="H64" s="66"/>
      <c r="I64" s="66"/>
    </row>
    <row r="65" spans="1:9" s="49" customFormat="1" x14ac:dyDescent="0.3">
      <c r="A65" s="100"/>
      <c r="B65" s="100"/>
      <c r="C65" s="100"/>
      <c r="D65" s="77"/>
      <c r="E65" s="100"/>
      <c r="F65" s="100"/>
      <c r="G65" s="100"/>
      <c r="H65" s="100"/>
      <c r="I65" s="100"/>
    </row>
    <row r="66" spans="1:9" s="49" customFormat="1" ht="13.5" x14ac:dyDescent="0.3">
      <c r="A66" s="100"/>
      <c r="B66" s="80">
        <f>+B63-B65-BS!D16</f>
        <v>0</v>
      </c>
      <c r="C66" s="80">
        <f>+C63-C65-BS!E16</f>
        <v>0</v>
      </c>
      <c r="D66" s="101"/>
      <c r="E66" s="80">
        <f>+E63-E65-BS!H16</f>
        <v>0</v>
      </c>
      <c r="F66" s="80">
        <f>+F63-F65-BS!I16</f>
        <v>0</v>
      </c>
      <c r="G66" s="80">
        <f>+G63-G65-BS!J16</f>
        <v>0</v>
      </c>
      <c r="H66" s="80">
        <f>+H63-H65-BS!K16</f>
        <v>0</v>
      </c>
      <c r="I66" s="80">
        <f>+I63-I65-BS!L16</f>
        <v>0</v>
      </c>
    </row>
    <row r="67" spans="1:9" s="8" customFormat="1" x14ac:dyDescent="0.3">
      <c r="A67" s="66"/>
      <c r="B67" s="66"/>
      <c r="C67" s="66"/>
      <c r="D67" s="77"/>
      <c r="E67" s="77"/>
      <c r="F67" s="77"/>
      <c r="G67" s="66"/>
      <c r="H67" s="66"/>
      <c r="I67" s="66"/>
    </row>
    <row r="68" spans="1:9" s="8" customFormat="1" x14ac:dyDescent="0.3">
      <c r="A68" s="66"/>
      <c r="B68" s="66"/>
      <c r="C68" s="66"/>
      <c r="D68" s="77"/>
      <c r="E68" s="77"/>
      <c r="F68" s="77"/>
      <c r="G68" s="66"/>
      <c r="H68" s="66"/>
      <c r="I68" s="66"/>
    </row>
    <row r="69" spans="1:9" s="8" customFormat="1" x14ac:dyDescent="0.3">
      <c r="A69" s="66"/>
      <c r="B69" s="66"/>
      <c r="C69" s="66"/>
      <c r="D69" s="77"/>
      <c r="E69" s="77"/>
      <c r="F69" s="77"/>
      <c r="G69" s="66"/>
      <c r="H69" s="66"/>
      <c r="I69" s="66"/>
    </row>
    <row r="70" spans="1:9" s="8" customFormat="1" x14ac:dyDescent="0.3">
      <c r="A70" s="66"/>
      <c r="B70" s="66"/>
      <c r="C70" s="66"/>
      <c r="D70" s="77"/>
      <c r="E70" s="77"/>
      <c r="F70" s="77"/>
      <c r="G70" s="66"/>
      <c r="H70" s="66"/>
      <c r="I70" s="66"/>
    </row>
    <row r="71" spans="1:9" s="8" customFormat="1" x14ac:dyDescent="0.3">
      <c r="A71" s="66"/>
      <c r="B71" s="66"/>
      <c r="C71" s="66"/>
      <c r="D71" s="77"/>
      <c r="E71" s="77"/>
      <c r="F71" s="77"/>
      <c r="G71" s="66"/>
      <c r="H71" s="66"/>
      <c r="I71" s="66"/>
    </row>
    <row r="72" spans="1:9" s="8" customFormat="1" x14ac:dyDescent="0.3">
      <c r="A72" s="66"/>
      <c r="B72" s="66"/>
      <c r="C72" s="66"/>
      <c r="D72" s="77"/>
      <c r="E72" s="77"/>
      <c r="F72" s="77"/>
      <c r="G72" s="66"/>
      <c r="H72" s="66"/>
      <c r="I72" s="66"/>
    </row>
    <row r="73" spans="1:9" s="8" customFormat="1" x14ac:dyDescent="0.3">
      <c r="A73" s="66"/>
      <c r="B73" s="66"/>
      <c r="C73" s="66"/>
      <c r="D73" s="77"/>
      <c r="E73" s="77"/>
      <c r="F73" s="77"/>
      <c r="G73" s="66"/>
      <c r="H73" s="66"/>
      <c r="I73" s="66"/>
    </row>
    <row r="74" spans="1:9" s="8" customFormat="1" x14ac:dyDescent="0.3">
      <c r="A74" s="66"/>
      <c r="B74" s="66"/>
      <c r="C74" s="66"/>
      <c r="D74" s="77"/>
      <c r="E74" s="77"/>
      <c r="F74" s="77"/>
      <c r="G74" s="66"/>
      <c r="H74" s="66"/>
      <c r="I74" s="66"/>
    </row>
    <row r="75" spans="1:9" s="8" customFormat="1" x14ac:dyDescent="0.3">
      <c r="A75" s="66"/>
      <c r="B75" s="66"/>
      <c r="C75" s="66"/>
      <c r="D75" s="77"/>
      <c r="E75" s="77"/>
      <c r="F75" s="77"/>
      <c r="G75" s="66"/>
      <c r="H75" s="66"/>
      <c r="I75" s="66"/>
    </row>
    <row r="76" spans="1:9" s="8" customFormat="1" x14ac:dyDescent="0.3">
      <c r="A76" s="66"/>
      <c r="B76" s="66"/>
      <c r="C76" s="66"/>
      <c r="D76" s="77"/>
      <c r="E76" s="77"/>
      <c r="F76" s="77"/>
      <c r="G76" s="66"/>
      <c r="H76" s="66"/>
      <c r="I76" s="66"/>
    </row>
    <row r="77" spans="1:9" s="8" customFormat="1" x14ac:dyDescent="0.3">
      <c r="A77" s="66"/>
      <c r="B77" s="66"/>
      <c r="C77" s="66"/>
      <c r="D77" s="77"/>
      <c r="E77" s="77"/>
      <c r="F77" s="77"/>
      <c r="G77" s="66"/>
      <c r="H77" s="66"/>
      <c r="I77" s="66"/>
    </row>
    <row r="78" spans="1:9" s="8" customFormat="1" x14ac:dyDescent="0.3">
      <c r="A78" s="66"/>
      <c r="B78" s="66"/>
      <c r="C78" s="66"/>
      <c r="D78" s="77"/>
      <c r="E78" s="77"/>
      <c r="F78" s="77"/>
      <c r="G78" s="66"/>
      <c r="H78" s="66"/>
      <c r="I78" s="66"/>
    </row>
    <row r="79" spans="1:9" s="8" customFormat="1" x14ac:dyDescent="0.3">
      <c r="A79" s="66"/>
      <c r="B79" s="66"/>
      <c r="C79" s="66"/>
      <c r="D79" s="77"/>
      <c r="E79" s="77"/>
      <c r="F79" s="77"/>
      <c r="G79" s="66"/>
      <c r="H79" s="66"/>
      <c r="I79" s="66"/>
    </row>
    <row r="80" spans="1:9" s="8" customFormat="1" x14ac:dyDescent="0.3">
      <c r="A80" s="66"/>
      <c r="B80" s="66"/>
      <c r="C80" s="66"/>
      <c r="D80" s="77"/>
      <c r="E80" s="77"/>
      <c r="F80" s="77"/>
      <c r="G80" s="66"/>
      <c r="H80" s="66"/>
      <c r="I80" s="66"/>
    </row>
    <row r="81" spans="1:9" s="8" customFormat="1" x14ac:dyDescent="0.3">
      <c r="A81" s="66"/>
      <c r="B81" s="66"/>
      <c r="C81" s="66"/>
      <c r="D81" s="77"/>
      <c r="E81" s="77"/>
      <c r="F81" s="77"/>
      <c r="G81" s="66"/>
      <c r="H81" s="66"/>
      <c r="I81" s="66"/>
    </row>
    <row r="82" spans="1:9" s="8" customFormat="1" x14ac:dyDescent="0.3">
      <c r="A82" s="66"/>
      <c r="B82" s="66"/>
      <c r="C82" s="66"/>
      <c r="D82" s="77"/>
      <c r="E82" s="77"/>
      <c r="F82" s="77"/>
      <c r="G82" s="66"/>
      <c r="H82" s="66"/>
      <c r="I82" s="66"/>
    </row>
    <row r="83" spans="1:9" s="8" customFormat="1" x14ac:dyDescent="0.3">
      <c r="A83" s="66"/>
      <c r="B83" s="66"/>
      <c r="C83" s="66"/>
      <c r="D83" s="77"/>
      <c r="E83" s="77"/>
      <c r="F83" s="77"/>
      <c r="G83" s="66"/>
      <c r="H83" s="66"/>
      <c r="I83" s="66"/>
    </row>
    <row r="84" spans="1:9" s="8" customFormat="1" x14ac:dyDescent="0.3">
      <c r="A84" s="66"/>
      <c r="B84" s="66"/>
      <c r="C84" s="66"/>
      <c r="D84" s="77"/>
      <c r="E84" s="77"/>
      <c r="F84" s="77"/>
      <c r="G84" s="66"/>
      <c r="H84" s="66"/>
      <c r="I84" s="66"/>
    </row>
    <row r="85" spans="1:9" s="8" customFormat="1" x14ac:dyDescent="0.3">
      <c r="A85" s="66"/>
      <c r="B85" s="66"/>
      <c r="C85" s="66"/>
      <c r="D85" s="77"/>
      <c r="E85" s="77"/>
      <c r="F85" s="77"/>
      <c r="G85" s="66"/>
      <c r="H85" s="66"/>
      <c r="I85" s="66"/>
    </row>
    <row r="86" spans="1:9" s="8" customFormat="1" x14ac:dyDescent="0.3">
      <c r="A86" s="66"/>
      <c r="B86" s="66"/>
      <c r="C86" s="66"/>
      <c r="D86" s="77"/>
      <c r="E86" s="77"/>
      <c r="F86" s="77"/>
      <c r="G86" s="66"/>
      <c r="H86" s="66"/>
      <c r="I86" s="66"/>
    </row>
    <row r="87" spans="1:9" s="8" customFormat="1" x14ac:dyDescent="0.3">
      <c r="A87" s="66"/>
      <c r="B87" s="66"/>
      <c r="C87" s="66"/>
      <c r="D87" s="77"/>
      <c r="E87" s="77"/>
      <c r="F87" s="77"/>
      <c r="G87" s="66"/>
      <c r="H87" s="66"/>
      <c r="I87" s="66"/>
    </row>
    <row r="88" spans="1:9" s="8" customFormat="1" x14ac:dyDescent="0.3">
      <c r="A88" s="66"/>
      <c r="B88" s="66"/>
      <c r="C88" s="66"/>
      <c r="D88" s="77"/>
      <c r="E88" s="77"/>
      <c r="F88" s="77"/>
      <c r="G88" s="66"/>
      <c r="H88" s="66"/>
      <c r="I88" s="66"/>
    </row>
    <row r="89" spans="1:9" s="8" customFormat="1" x14ac:dyDescent="0.3">
      <c r="A89" s="66"/>
      <c r="B89" s="66"/>
      <c r="C89" s="66"/>
      <c r="D89" s="77"/>
      <c r="E89" s="77"/>
      <c r="F89" s="77"/>
      <c r="G89" s="66"/>
      <c r="H89" s="66"/>
      <c r="I89" s="66"/>
    </row>
    <row r="90" spans="1:9" s="8" customFormat="1" x14ac:dyDescent="0.3">
      <c r="A90" s="66"/>
      <c r="B90" s="66"/>
      <c r="C90" s="66"/>
      <c r="D90" s="77"/>
      <c r="E90" s="77"/>
      <c r="F90" s="77"/>
      <c r="G90" s="66"/>
      <c r="H90" s="66"/>
      <c r="I90" s="66"/>
    </row>
    <row r="91" spans="1:9" s="8" customFormat="1" x14ac:dyDescent="0.3">
      <c r="A91" s="66"/>
      <c r="B91" s="66"/>
      <c r="C91" s="66"/>
      <c r="D91" s="77"/>
      <c r="E91" s="77"/>
      <c r="F91" s="77"/>
      <c r="G91" s="66"/>
      <c r="H91" s="66"/>
      <c r="I91" s="66"/>
    </row>
    <row r="92" spans="1:9" s="8" customFormat="1" x14ac:dyDescent="0.3">
      <c r="A92" s="66"/>
      <c r="B92" s="66"/>
      <c r="C92" s="66"/>
      <c r="D92" s="77"/>
      <c r="E92" s="77"/>
      <c r="F92" s="77"/>
      <c r="G92" s="66"/>
      <c r="H92" s="66"/>
      <c r="I92" s="66"/>
    </row>
    <row r="93" spans="1:9" s="8" customFormat="1" x14ac:dyDescent="0.3">
      <c r="A93" s="66"/>
      <c r="B93" s="66"/>
      <c r="C93" s="66"/>
      <c r="D93" s="77"/>
      <c r="E93" s="77"/>
      <c r="F93" s="77"/>
      <c r="G93" s="66"/>
      <c r="H93" s="66"/>
      <c r="I93" s="66"/>
    </row>
    <row r="94" spans="1:9" s="8" customFormat="1" x14ac:dyDescent="0.3">
      <c r="A94" s="66"/>
      <c r="B94" s="66"/>
      <c r="C94" s="66"/>
      <c r="D94" s="77"/>
      <c r="E94" s="77"/>
      <c r="F94" s="77"/>
      <c r="G94" s="66"/>
      <c r="H94" s="66"/>
      <c r="I94" s="66"/>
    </row>
    <row r="95" spans="1:9" s="8" customFormat="1" x14ac:dyDescent="0.3">
      <c r="A95" s="66"/>
      <c r="B95" s="66"/>
      <c r="C95" s="66"/>
      <c r="D95" s="77"/>
      <c r="E95" s="77"/>
      <c r="F95" s="77"/>
      <c r="G95" s="66"/>
      <c r="H95" s="66"/>
      <c r="I95" s="66"/>
    </row>
    <row r="96" spans="1:9" s="8" customFormat="1" x14ac:dyDescent="0.3">
      <c r="A96" s="66"/>
      <c r="B96" s="66"/>
      <c r="C96" s="66"/>
      <c r="D96" s="77"/>
      <c r="E96" s="77"/>
      <c r="F96" s="77"/>
      <c r="G96" s="66"/>
      <c r="H96" s="66"/>
      <c r="I96" s="66"/>
    </row>
    <row r="97" spans="1:9" s="8" customFormat="1" x14ac:dyDescent="0.3">
      <c r="A97" s="66"/>
      <c r="B97" s="66"/>
      <c r="C97" s="66"/>
      <c r="D97" s="77"/>
      <c r="E97" s="77"/>
      <c r="F97" s="77"/>
      <c r="G97" s="66"/>
      <c r="H97" s="66"/>
      <c r="I97" s="66"/>
    </row>
    <row r="98" spans="1:9" s="8" customFormat="1" x14ac:dyDescent="0.3">
      <c r="A98" s="66"/>
      <c r="B98" s="66"/>
      <c r="C98" s="66"/>
      <c r="D98" s="77"/>
      <c r="E98" s="77"/>
      <c r="F98" s="77"/>
      <c r="G98" s="66"/>
      <c r="H98" s="66"/>
      <c r="I98" s="66"/>
    </row>
    <row r="99" spans="1:9" s="8" customFormat="1" x14ac:dyDescent="0.3">
      <c r="A99" s="66"/>
      <c r="B99" s="66"/>
      <c r="C99" s="66"/>
      <c r="D99" s="77"/>
      <c r="E99" s="77"/>
      <c r="F99" s="77"/>
      <c r="G99" s="66"/>
      <c r="H99" s="66"/>
      <c r="I99" s="66"/>
    </row>
    <row r="100" spans="1:9" s="8" customFormat="1" x14ac:dyDescent="0.3">
      <c r="A100" s="66"/>
      <c r="B100" s="66"/>
      <c r="C100" s="66"/>
      <c r="D100" s="77"/>
      <c r="E100" s="77"/>
      <c r="F100" s="77"/>
      <c r="G100" s="66"/>
      <c r="H100" s="66"/>
      <c r="I100" s="66"/>
    </row>
    <row r="101" spans="1:9" s="8" customFormat="1" x14ac:dyDescent="0.3">
      <c r="A101" s="66"/>
      <c r="B101" s="66"/>
      <c r="C101" s="66"/>
      <c r="D101" s="77"/>
      <c r="E101" s="77"/>
      <c r="F101" s="77"/>
      <c r="G101" s="66"/>
      <c r="H101" s="66"/>
      <c r="I101" s="66"/>
    </row>
    <row r="102" spans="1:9" s="8" customFormat="1" x14ac:dyDescent="0.3">
      <c r="A102" s="66"/>
      <c r="B102" s="66"/>
      <c r="C102" s="66"/>
      <c r="D102" s="77"/>
      <c r="E102" s="77"/>
      <c r="F102" s="77"/>
      <c r="G102" s="66"/>
      <c r="H102" s="66"/>
      <c r="I102" s="66"/>
    </row>
    <row r="103" spans="1:9" s="8" customFormat="1" x14ac:dyDescent="0.3">
      <c r="A103" s="66"/>
      <c r="B103" s="66"/>
      <c r="C103" s="66"/>
      <c r="D103" s="77"/>
      <c r="E103" s="77"/>
      <c r="F103" s="77"/>
      <c r="G103" s="66"/>
      <c r="H103" s="66"/>
      <c r="I103" s="66"/>
    </row>
    <row r="104" spans="1:9" s="8" customFormat="1" x14ac:dyDescent="0.3">
      <c r="A104" s="66"/>
      <c r="B104" s="66"/>
      <c r="C104" s="66"/>
      <c r="D104" s="77"/>
      <c r="E104" s="77"/>
      <c r="F104" s="77"/>
      <c r="G104" s="66"/>
      <c r="H104" s="66"/>
      <c r="I104" s="66"/>
    </row>
    <row r="105" spans="1:9" s="8" customFormat="1" x14ac:dyDescent="0.3">
      <c r="A105" s="66"/>
      <c r="B105" s="66"/>
      <c r="C105" s="66"/>
      <c r="D105" s="77"/>
      <c r="E105" s="77"/>
      <c r="F105" s="77"/>
      <c r="G105" s="66"/>
      <c r="H105" s="66"/>
      <c r="I105" s="66"/>
    </row>
    <row r="106" spans="1:9" s="8" customFormat="1" x14ac:dyDescent="0.3">
      <c r="A106" s="66"/>
      <c r="B106" s="66"/>
      <c r="C106" s="66"/>
      <c r="D106" s="77"/>
      <c r="E106" s="77"/>
      <c r="F106" s="77"/>
      <c r="G106" s="66"/>
      <c r="H106" s="66"/>
      <c r="I106" s="66"/>
    </row>
    <row r="107" spans="1:9" s="8" customFormat="1" x14ac:dyDescent="0.3">
      <c r="A107" s="66"/>
      <c r="B107" s="66"/>
      <c r="C107" s="66"/>
      <c r="D107" s="77"/>
      <c r="E107" s="77"/>
      <c r="F107" s="77"/>
      <c r="G107" s="66"/>
      <c r="H107" s="66"/>
      <c r="I107" s="66"/>
    </row>
    <row r="108" spans="1:9" s="8" customFormat="1" x14ac:dyDescent="0.3">
      <c r="A108" s="66"/>
      <c r="B108" s="66"/>
      <c r="C108" s="66"/>
      <c r="D108" s="77"/>
      <c r="E108" s="77"/>
      <c r="F108" s="77"/>
      <c r="G108" s="66"/>
      <c r="H108" s="66"/>
      <c r="I108" s="66"/>
    </row>
    <row r="109" spans="1:9" s="8" customFormat="1" x14ac:dyDescent="0.3">
      <c r="A109" s="66"/>
      <c r="B109" s="66"/>
      <c r="C109" s="66"/>
      <c r="D109" s="77"/>
      <c r="E109" s="77"/>
      <c r="F109" s="77"/>
      <c r="G109" s="66"/>
      <c r="H109" s="66"/>
      <c r="I109" s="66"/>
    </row>
    <row r="110" spans="1:9" s="8" customFormat="1" x14ac:dyDescent="0.3">
      <c r="A110" s="66"/>
      <c r="B110" s="66"/>
      <c r="C110" s="66"/>
      <c r="D110" s="77"/>
      <c r="E110" s="77"/>
      <c r="F110" s="77"/>
      <c r="G110" s="66"/>
      <c r="H110" s="66"/>
      <c r="I110" s="66"/>
    </row>
    <row r="111" spans="1:9" s="8" customFormat="1" x14ac:dyDescent="0.3">
      <c r="A111" s="66"/>
      <c r="B111" s="66"/>
      <c r="C111" s="66"/>
      <c r="D111" s="77"/>
      <c r="E111" s="77"/>
      <c r="F111" s="77"/>
      <c r="G111" s="66"/>
      <c r="H111" s="66"/>
      <c r="I111" s="66"/>
    </row>
    <row r="112" spans="1:9" s="8" customFormat="1" x14ac:dyDescent="0.3">
      <c r="A112" s="66"/>
      <c r="B112" s="66"/>
      <c r="C112" s="66"/>
      <c r="D112" s="77"/>
      <c r="E112" s="77"/>
      <c r="F112" s="77"/>
      <c r="G112" s="66"/>
      <c r="H112" s="66"/>
      <c r="I112" s="66"/>
    </row>
    <row r="113" spans="4:6" s="8" customFormat="1" x14ac:dyDescent="0.3">
      <c r="D113" s="1"/>
      <c r="E113" s="1"/>
      <c r="F113" s="1"/>
    </row>
    <row r="114" spans="4:6" s="8" customFormat="1" x14ac:dyDescent="0.3">
      <c r="D114" s="1"/>
      <c r="E114" s="1"/>
      <c r="F114" s="1"/>
    </row>
    <row r="115" spans="4:6" s="8" customFormat="1" x14ac:dyDescent="0.3">
      <c r="D115" s="1"/>
      <c r="E115" s="1"/>
      <c r="F115" s="1"/>
    </row>
    <row r="116" spans="4:6" s="8" customFormat="1" x14ac:dyDescent="0.3">
      <c r="D116" s="1"/>
      <c r="E116" s="1"/>
      <c r="F116" s="1"/>
    </row>
    <row r="117" spans="4:6" s="8" customFormat="1" x14ac:dyDescent="0.3">
      <c r="D117" s="1"/>
      <c r="E117" s="1"/>
      <c r="F117" s="1"/>
    </row>
    <row r="118" spans="4:6" s="8" customFormat="1" x14ac:dyDescent="0.3">
      <c r="D118" s="1"/>
      <c r="E118" s="1"/>
      <c r="F118" s="1"/>
    </row>
    <row r="119" spans="4:6" s="8" customFormat="1" x14ac:dyDescent="0.3">
      <c r="D119" s="1"/>
      <c r="E119" s="1"/>
      <c r="F119" s="1"/>
    </row>
    <row r="120" spans="4:6" s="8" customFormat="1" x14ac:dyDescent="0.3">
      <c r="D120" s="1"/>
      <c r="E120" s="1"/>
      <c r="F120" s="1"/>
    </row>
    <row r="121" spans="4:6" s="8" customFormat="1" x14ac:dyDescent="0.3">
      <c r="D121" s="1"/>
      <c r="E121" s="1"/>
      <c r="F121" s="1"/>
    </row>
    <row r="122" spans="4:6" s="8" customFormat="1" x14ac:dyDescent="0.3">
      <c r="D122" s="1"/>
      <c r="E122" s="1"/>
      <c r="F122" s="1"/>
    </row>
    <row r="123" spans="4:6" s="8" customFormat="1" x14ac:dyDescent="0.3">
      <c r="D123" s="1"/>
      <c r="E123" s="1"/>
      <c r="F123" s="1"/>
    </row>
    <row r="124" spans="4:6" s="8" customFormat="1" x14ac:dyDescent="0.3">
      <c r="D124" s="1"/>
      <c r="E124" s="1"/>
      <c r="F124" s="1"/>
    </row>
    <row r="125" spans="4:6" s="8" customFormat="1" x14ac:dyDescent="0.3">
      <c r="D125" s="1"/>
      <c r="E125" s="1"/>
      <c r="F125" s="1"/>
    </row>
    <row r="126" spans="4:6" s="8" customFormat="1" x14ac:dyDescent="0.3">
      <c r="D126" s="1"/>
      <c r="E126" s="1"/>
      <c r="F126" s="1"/>
    </row>
    <row r="127" spans="4:6" s="8" customFormat="1" x14ac:dyDescent="0.3">
      <c r="D127" s="1"/>
      <c r="E127" s="1"/>
      <c r="F127" s="1"/>
    </row>
    <row r="128" spans="4:6" s="8" customFormat="1" x14ac:dyDescent="0.3">
      <c r="D128" s="1"/>
      <c r="E128" s="1"/>
      <c r="F128" s="1"/>
    </row>
    <row r="129" spans="4:6" s="8" customFormat="1" x14ac:dyDescent="0.3">
      <c r="D129" s="1"/>
      <c r="E129" s="1"/>
      <c r="F129" s="1"/>
    </row>
    <row r="130" spans="4:6" s="8" customFormat="1" x14ac:dyDescent="0.3">
      <c r="D130" s="1"/>
      <c r="E130" s="1"/>
      <c r="F130" s="1"/>
    </row>
    <row r="131" spans="4:6" s="8" customFormat="1" x14ac:dyDescent="0.3">
      <c r="D131" s="1"/>
      <c r="E131" s="1"/>
      <c r="F131" s="1"/>
    </row>
    <row r="132" spans="4:6" s="8" customFormat="1" x14ac:dyDescent="0.3">
      <c r="D132" s="1"/>
      <c r="E132" s="1"/>
      <c r="F132" s="1"/>
    </row>
    <row r="133" spans="4:6" s="8" customFormat="1" x14ac:dyDescent="0.3">
      <c r="D133" s="1"/>
      <c r="E133" s="1"/>
      <c r="F133" s="1"/>
    </row>
    <row r="134" spans="4:6" s="8" customFormat="1" x14ac:dyDescent="0.3">
      <c r="D134" s="1"/>
      <c r="E134" s="1"/>
      <c r="F134" s="1"/>
    </row>
    <row r="135" spans="4:6" s="8" customFormat="1" x14ac:dyDescent="0.3">
      <c r="D135" s="1"/>
      <c r="E135" s="1"/>
      <c r="F135" s="1"/>
    </row>
    <row r="136" spans="4:6" s="8" customFormat="1" x14ac:dyDescent="0.3">
      <c r="D136" s="1"/>
      <c r="E136" s="1"/>
      <c r="F136" s="1"/>
    </row>
    <row r="137" spans="4:6" s="8" customFormat="1" x14ac:dyDescent="0.3">
      <c r="D137" s="1"/>
      <c r="E137" s="1"/>
      <c r="F137" s="1"/>
    </row>
    <row r="138" spans="4:6" s="8" customFormat="1" x14ac:dyDescent="0.3">
      <c r="D138" s="1"/>
      <c r="E138" s="1"/>
      <c r="F138" s="1"/>
    </row>
    <row r="139" spans="4:6" s="8" customFormat="1" x14ac:dyDescent="0.3">
      <c r="D139" s="1"/>
      <c r="E139" s="1"/>
      <c r="F139" s="1"/>
    </row>
    <row r="140" spans="4:6" s="8" customFormat="1" x14ac:dyDescent="0.3">
      <c r="D140" s="1"/>
      <c r="E140" s="1"/>
      <c r="F140" s="1"/>
    </row>
    <row r="141" spans="4:6" s="8" customFormat="1" x14ac:dyDescent="0.3">
      <c r="D141" s="1"/>
      <c r="E141" s="1"/>
      <c r="F141" s="1"/>
    </row>
    <row r="142" spans="4:6" s="8" customFormat="1" x14ac:dyDescent="0.3">
      <c r="D142" s="1"/>
      <c r="E142" s="1"/>
      <c r="F142" s="1"/>
    </row>
    <row r="143" spans="4:6" s="8" customFormat="1" x14ac:dyDescent="0.3">
      <c r="D143" s="1"/>
      <c r="E143" s="1"/>
      <c r="F143" s="1"/>
    </row>
    <row r="144" spans="4:6" s="8" customFormat="1" x14ac:dyDescent="0.3">
      <c r="D144" s="1"/>
      <c r="E144" s="1"/>
      <c r="F144" s="1"/>
    </row>
    <row r="145" spans="4:6" s="8" customFormat="1" x14ac:dyDescent="0.3">
      <c r="D145" s="1"/>
      <c r="E145" s="1"/>
      <c r="F145" s="1"/>
    </row>
    <row r="146" spans="4:6" s="8" customFormat="1" x14ac:dyDescent="0.3">
      <c r="D146" s="1"/>
      <c r="E146" s="1"/>
      <c r="F146" s="1"/>
    </row>
    <row r="147" spans="4:6" s="8" customFormat="1" x14ac:dyDescent="0.3">
      <c r="D147" s="1"/>
      <c r="E147" s="1"/>
      <c r="F147" s="1"/>
    </row>
    <row r="148" spans="4:6" s="8" customFormat="1" x14ac:dyDescent="0.3">
      <c r="D148" s="1"/>
      <c r="E148" s="1"/>
      <c r="F148" s="1"/>
    </row>
    <row r="149" spans="4:6" s="8" customFormat="1" x14ac:dyDescent="0.3">
      <c r="D149" s="1"/>
      <c r="E149" s="1"/>
      <c r="F149" s="1"/>
    </row>
    <row r="150" spans="4:6" s="8" customFormat="1" x14ac:dyDescent="0.3">
      <c r="D150" s="1"/>
      <c r="E150" s="1"/>
      <c r="F150" s="1"/>
    </row>
    <row r="151" spans="4:6" s="8" customFormat="1" x14ac:dyDescent="0.3">
      <c r="D151" s="1"/>
      <c r="E151" s="1"/>
      <c r="F151" s="1"/>
    </row>
    <row r="152" spans="4:6" s="8" customFormat="1" x14ac:dyDescent="0.3">
      <c r="D152" s="1"/>
      <c r="E152" s="1"/>
      <c r="F152" s="1"/>
    </row>
    <row r="153" spans="4:6" s="8" customFormat="1" x14ac:dyDescent="0.3">
      <c r="D153" s="1"/>
      <c r="E153" s="1"/>
      <c r="F153" s="1"/>
    </row>
    <row r="154" spans="4:6" s="8" customFormat="1" x14ac:dyDescent="0.3">
      <c r="D154" s="1"/>
      <c r="E154" s="1"/>
      <c r="F154" s="1"/>
    </row>
    <row r="155" spans="4:6" s="8" customFormat="1" x14ac:dyDescent="0.3">
      <c r="D155" s="1"/>
      <c r="E155" s="1"/>
      <c r="F155" s="1"/>
    </row>
    <row r="156" spans="4:6" s="8" customFormat="1" x14ac:dyDescent="0.3">
      <c r="D156" s="1"/>
      <c r="E156" s="1"/>
      <c r="F156" s="1"/>
    </row>
    <row r="157" spans="4:6" s="8" customFormat="1" x14ac:dyDescent="0.3">
      <c r="D157" s="1"/>
      <c r="E157" s="1"/>
      <c r="F157" s="1"/>
    </row>
    <row r="158" spans="4:6" s="8" customFormat="1" x14ac:dyDescent="0.3">
      <c r="D158" s="1"/>
      <c r="E158" s="1"/>
      <c r="F158" s="1"/>
    </row>
    <row r="159" spans="4:6" s="8" customFormat="1" x14ac:dyDescent="0.3">
      <c r="D159" s="1"/>
      <c r="E159" s="1"/>
      <c r="F159" s="1"/>
    </row>
    <row r="160" spans="4:6" s="8" customFormat="1" x14ac:dyDescent="0.3">
      <c r="D160" s="1"/>
      <c r="E160" s="1"/>
      <c r="F160" s="1"/>
    </row>
    <row r="161" spans="4:6" s="8" customFormat="1" x14ac:dyDescent="0.3">
      <c r="D161" s="1"/>
      <c r="E161" s="1"/>
      <c r="F161" s="1"/>
    </row>
    <row r="162" spans="4:6" s="8" customFormat="1" x14ac:dyDescent="0.3">
      <c r="D162" s="1"/>
      <c r="E162" s="1"/>
      <c r="F162" s="1"/>
    </row>
    <row r="163" spans="4:6" s="8" customFormat="1" x14ac:dyDescent="0.3">
      <c r="D163" s="1"/>
      <c r="E163" s="1"/>
      <c r="F163" s="1"/>
    </row>
    <row r="164" spans="4:6" s="8" customFormat="1" x14ac:dyDescent="0.3">
      <c r="D164" s="1"/>
      <c r="E164" s="1"/>
      <c r="F164" s="1"/>
    </row>
    <row r="165" spans="4:6" s="8" customFormat="1" x14ac:dyDescent="0.3">
      <c r="D165" s="1"/>
      <c r="E165" s="1"/>
      <c r="F165" s="1"/>
    </row>
    <row r="166" spans="4:6" s="8" customFormat="1" x14ac:dyDescent="0.3">
      <c r="D166" s="1"/>
      <c r="E166" s="1"/>
      <c r="F166" s="1"/>
    </row>
    <row r="167" spans="4:6" s="8" customFormat="1" x14ac:dyDescent="0.3">
      <c r="D167" s="1"/>
      <c r="E167" s="1"/>
      <c r="F167" s="1"/>
    </row>
    <row r="168" spans="4:6" s="8" customFormat="1" x14ac:dyDescent="0.3">
      <c r="D168" s="1"/>
      <c r="E168" s="1"/>
      <c r="F168" s="1"/>
    </row>
    <row r="169" spans="4:6" s="8" customFormat="1" x14ac:dyDescent="0.3">
      <c r="D169" s="1"/>
      <c r="E169" s="1"/>
      <c r="F169" s="1"/>
    </row>
    <row r="170" spans="4:6" s="8" customFormat="1" x14ac:dyDescent="0.3">
      <c r="D170" s="1"/>
      <c r="E170" s="1"/>
      <c r="F170" s="1"/>
    </row>
    <row r="171" spans="4:6" s="8" customFormat="1" x14ac:dyDescent="0.3">
      <c r="D171" s="1"/>
      <c r="E171" s="1"/>
      <c r="F171" s="1"/>
    </row>
    <row r="172" spans="4:6" s="8" customFormat="1" x14ac:dyDescent="0.3">
      <c r="D172" s="1"/>
      <c r="E172" s="1"/>
      <c r="F172" s="1"/>
    </row>
    <row r="173" spans="4:6" s="8" customFormat="1" x14ac:dyDescent="0.3">
      <c r="D173" s="1"/>
      <c r="E173" s="1"/>
      <c r="F173" s="1"/>
    </row>
    <row r="174" spans="4:6" s="8" customFormat="1" x14ac:dyDescent="0.3">
      <c r="D174" s="1"/>
      <c r="E174" s="1"/>
      <c r="F174" s="1"/>
    </row>
    <row r="175" spans="4:6" s="8" customFormat="1" x14ac:dyDescent="0.3">
      <c r="D175" s="1"/>
      <c r="E175" s="1"/>
      <c r="F175" s="1"/>
    </row>
    <row r="176" spans="4:6" s="8" customFormat="1" x14ac:dyDescent="0.3">
      <c r="D176" s="1"/>
      <c r="E176" s="1"/>
      <c r="F176" s="1"/>
    </row>
    <row r="177" spans="4:6" s="8" customFormat="1" x14ac:dyDescent="0.3">
      <c r="D177" s="1"/>
      <c r="E177" s="1"/>
      <c r="F177" s="1"/>
    </row>
    <row r="178" spans="4:6" s="8" customFormat="1" x14ac:dyDescent="0.3">
      <c r="D178" s="1"/>
      <c r="E178" s="1"/>
      <c r="F178" s="1"/>
    </row>
    <row r="179" spans="4:6" s="8" customFormat="1" x14ac:dyDescent="0.3">
      <c r="D179" s="1"/>
      <c r="E179" s="1"/>
      <c r="F179" s="1"/>
    </row>
    <row r="180" spans="4:6" s="8" customFormat="1" x14ac:dyDescent="0.3">
      <c r="D180" s="1"/>
      <c r="E180" s="1"/>
      <c r="F180" s="1"/>
    </row>
    <row r="181" spans="4:6" s="8" customFormat="1" x14ac:dyDescent="0.3">
      <c r="D181" s="1"/>
      <c r="E181" s="1"/>
      <c r="F181" s="1"/>
    </row>
    <row r="182" spans="4:6" s="8" customFormat="1" x14ac:dyDescent="0.3">
      <c r="D182" s="1"/>
      <c r="E182" s="1"/>
      <c r="F182" s="1"/>
    </row>
    <row r="183" spans="4:6" s="8" customFormat="1" x14ac:dyDescent="0.3">
      <c r="D183" s="1"/>
      <c r="E183" s="1"/>
      <c r="F183" s="1"/>
    </row>
    <row r="184" spans="4:6" s="8" customFormat="1" x14ac:dyDescent="0.3">
      <c r="D184" s="1"/>
      <c r="E184" s="1"/>
      <c r="F184" s="1"/>
    </row>
    <row r="185" spans="4:6" s="8" customFormat="1" x14ac:dyDescent="0.3">
      <c r="D185" s="1"/>
      <c r="E185" s="1"/>
      <c r="F185" s="1"/>
    </row>
    <row r="186" spans="4:6" s="8" customFormat="1" x14ac:dyDescent="0.3">
      <c r="D186" s="1"/>
      <c r="E186" s="1"/>
      <c r="F186" s="1"/>
    </row>
    <row r="187" spans="4:6" s="8" customFormat="1" x14ac:dyDescent="0.3">
      <c r="D187" s="1"/>
      <c r="E187" s="1"/>
      <c r="F187" s="1"/>
    </row>
    <row r="188" spans="4:6" s="8" customFormat="1" x14ac:dyDescent="0.3">
      <c r="D188" s="1"/>
      <c r="E188" s="1"/>
      <c r="F188" s="1"/>
    </row>
    <row r="189" spans="4:6" s="8" customFormat="1" x14ac:dyDescent="0.3">
      <c r="D189" s="1"/>
      <c r="E189" s="1"/>
      <c r="F189" s="1"/>
    </row>
    <row r="190" spans="4:6" s="8" customFormat="1" x14ac:dyDescent="0.3">
      <c r="D190" s="1"/>
      <c r="E190" s="1"/>
      <c r="F190" s="1"/>
    </row>
    <row r="191" spans="4:6" s="8" customFormat="1" x14ac:dyDescent="0.3">
      <c r="D191" s="1"/>
      <c r="E191" s="1"/>
      <c r="F191" s="1"/>
    </row>
    <row r="192" spans="4:6" s="8" customFormat="1" x14ac:dyDescent="0.3">
      <c r="D192" s="1"/>
      <c r="E192" s="1"/>
      <c r="F192" s="1"/>
    </row>
    <row r="193" spans="4:6" s="8" customFormat="1" x14ac:dyDescent="0.3">
      <c r="D193" s="1"/>
      <c r="E193" s="1"/>
      <c r="F193" s="1"/>
    </row>
    <row r="194" spans="4:6" s="8" customFormat="1" x14ac:dyDescent="0.3">
      <c r="D194" s="1"/>
      <c r="E194" s="1"/>
      <c r="F194" s="1"/>
    </row>
    <row r="195" spans="4:6" s="8" customFormat="1" x14ac:dyDescent="0.3">
      <c r="D195" s="1"/>
      <c r="E195" s="1"/>
      <c r="F195" s="1"/>
    </row>
    <row r="196" spans="4:6" s="8" customFormat="1" x14ac:dyDescent="0.3">
      <c r="D196" s="1"/>
      <c r="E196" s="1"/>
      <c r="F196" s="1"/>
    </row>
    <row r="197" spans="4:6" s="8" customFormat="1" x14ac:dyDescent="0.3">
      <c r="D197" s="1"/>
      <c r="E197" s="1"/>
      <c r="F197" s="1"/>
    </row>
    <row r="198" spans="4:6" s="8" customFormat="1" x14ac:dyDescent="0.3">
      <c r="D198" s="1"/>
      <c r="E198" s="1"/>
      <c r="F198" s="1"/>
    </row>
    <row r="199" spans="4:6" s="8" customFormat="1" x14ac:dyDescent="0.3">
      <c r="D199" s="1"/>
      <c r="E199" s="1"/>
      <c r="F199" s="1"/>
    </row>
    <row r="200" spans="4:6" s="8" customFormat="1" x14ac:dyDescent="0.3">
      <c r="D200" s="1"/>
      <c r="E200" s="1"/>
      <c r="F200" s="1"/>
    </row>
    <row r="201" spans="4:6" s="8" customFormat="1" x14ac:dyDescent="0.3">
      <c r="D201" s="1"/>
      <c r="E201" s="1"/>
      <c r="F201" s="1"/>
    </row>
    <row r="202" spans="4:6" s="8" customFormat="1" x14ac:dyDescent="0.3">
      <c r="D202" s="1"/>
      <c r="E202" s="1"/>
      <c r="F202" s="1"/>
    </row>
    <row r="203" spans="4:6" s="8" customFormat="1" x14ac:dyDescent="0.3">
      <c r="D203" s="1"/>
      <c r="E203" s="1"/>
      <c r="F203" s="1"/>
    </row>
    <row r="204" spans="4:6" s="8" customFormat="1" x14ac:dyDescent="0.3">
      <c r="D204" s="1"/>
      <c r="E204" s="1"/>
      <c r="F204" s="1"/>
    </row>
    <row r="205" spans="4:6" s="8" customFormat="1" x14ac:dyDescent="0.3">
      <c r="D205" s="1"/>
      <c r="E205" s="1"/>
      <c r="F205" s="1"/>
    </row>
    <row r="206" spans="4:6" s="8" customFormat="1" x14ac:dyDescent="0.3">
      <c r="D206" s="1"/>
      <c r="E206" s="1"/>
      <c r="F206" s="1"/>
    </row>
    <row r="207" spans="4:6" s="8" customFormat="1" x14ac:dyDescent="0.3">
      <c r="D207" s="1"/>
      <c r="E207" s="1"/>
      <c r="F207" s="1"/>
    </row>
    <row r="208" spans="4:6" s="8" customFormat="1" x14ac:dyDescent="0.3">
      <c r="D208" s="1"/>
      <c r="E208" s="1"/>
      <c r="F208" s="1"/>
    </row>
    <row r="209" spans="4:6" s="8" customFormat="1" x14ac:dyDescent="0.3">
      <c r="D209" s="1"/>
      <c r="E209" s="1"/>
      <c r="F209" s="1"/>
    </row>
    <row r="210" spans="4:6" s="8" customFormat="1" x14ac:dyDescent="0.3">
      <c r="D210" s="1"/>
      <c r="E210" s="1"/>
      <c r="F210" s="1"/>
    </row>
    <row r="211" spans="4:6" s="8" customFormat="1" x14ac:dyDescent="0.3">
      <c r="D211" s="1"/>
      <c r="E211" s="1"/>
      <c r="F211" s="1"/>
    </row>
    <row r="212" spans="4:6" s="8" customFormat="1" x14ac:dyDescent="0.3">
      <c r="D212" s="1"/>
      <c r="E212" s="1"/>
      <c r="F212" s="1"/>
    </row>
    <row r="213" spans="4:6" s="8" customFormat="1" x14ac:dyDescent="0.3">
      <c r="D213" s="1"/>
      <c r="E213" s="1"/>
      <c r="F213" s="1"/>
    </row>
    <row r="214" spans="4:6" s="8" customFormat="1" x14ac:dyDescent="0.3">
      <c r="D214" s="1"/>
      <c r="E214" s="1"/>
      <c r="F214" s="1"/>
    </row>
    <row r="215" spans="4:6" s="8" customFormat="1" x14ac:dyDescent="0.3">
      <c r="D215" s="1"/>
      <c r="E215" s="1"/>
      <c r="F215" s="1"/>
    </row>
    <row r="216" spans="4:6" s="8" customFormat="1" x14ac:dyDescent="0.3">
      <c r="D216" s="1"/>
      <c r="E216" s="1"/>
      <c r="F216" s="1"/>
    </row>
    <row r="217" spans="4:6" s="8" customFormat="1" x14ac:dyDescent="0.3">
      <c r="D217" s="1"/>
      <c r="E217" s="1"/>
      <c r="F217" s="1"/>
    </row>
    <row r="218" spans="4:6" s="8" customFormat="1" x14ac:dyDescent="0.3">
      <c r="D218" s="1"/>
      <c r="E218" s="1"/>
      <c r="F218" s="1"/>
    </row>
    <row r="219" spans="4:6" s="8" customFormat="1" x14ac:dyDescent="0.3">
      <c r="D219" s="1"/>
      <c r="E219" s="1"/>
      <c r="F219" s="1"/>
    </row>
    <row r="220" spans="4:6" s="8" customFormat="1" x14ac:dyDescent="0.3">
      <c r="D220" s="1"/>
      <c r="E220" s="1"/>
      <c r="F220" s="1"/>
    </row>
    <row r="221" spans="4:6" s="8" customFormat="1" x14ac:dyDescent="0.3">
      <c r="D221" s="1"/>
      <c r="E221" s="1"/>
      <c r="F221" s="1"/>
    </row>
    <row r="222" spans="4:6" s="8" customFormat="1" x14ac:dyDescent="0.3">
      <c r="D222" s="1"/>
      <c r="E222" s="1"/>
      <c r="F222" s="1"/>
    </row>
    <row r="223" spans="4:6" s="8" customFormat="1" x14ac:dyDescent="0.3">
      <c r="D223" s="1"/>
      <c r="E223" s="1"/>
      <c r="F223" s="1"/>
    </row>
    <row r="224" spans="4:6" s="8" customFormat="1" x14ac:dyDescent="0.3">
      <c r="D224" s="1"/>
      <c r="E224" s="1"/>
      <c r="F224" s="1"/>
    </row>
    <row r="225" spans="4:6" s="8" customFormat="1" x14ac:dyDescent="0.3">
      <c r="D225" s="1"/>
      <c r="E225" s="1"/>
      <c r="F225" s="1"/>
    </row>
    <row r="226" spans="4:6" s="8" customFormat="1" x14ac:dyDescent="0.3">
      <c r="D226" s="1"/>
      <c r="E226" s="1"/>
      <c r="F226" s="1"/>
    </row>
    <row r="227" spans="4:6" s="8" customFormat="1" x14ac:dyDescent="0.3">
      <c r="D227" s="1"/>
      <c r="E227" s="1"/>
      <c r="F227" s="1"/>
    </row>
    <row r="228" spans="4:6" s="8" customFormat="1" x14ac:dyDescent="0.3">
      <c r="D228" s="1"/>
      <c r="E228" s="1"/>
      <c r="F228" s="1"/>
    </row>
    <row r="229" spans="4:6" s="8" customFormat="1" x14ac:dyDescent="0.3">
      <c r="D229" s="1"/>
      <c r="E229" s="1"/>
      <c r="F229" s="1"/>
    </row>
    <row r="230" spans="4:6" s="8" customFormat="1" x14ac:dyDescent="0.3">
      <c r="D230" s="1"/>
      <c r="E230" s="1"/>
      <c r="F230" s="1"/>
    </row>
    <row r="231" spans="4:6" s="8" customFormat="1" x14ac:dyDescent="0.3">
      <c r="D231" s="1"/>
      <c r="E231" s="1"/>
      <c r="F231" s="1"/>
    </row>
    <row r="232" spans="4:6" s="8" customFormat="1" x14ac:dyDescent="0.3">
      <c r="D232" s="1"/>
      <c r="E232" s="1"/>
      <c r="F232" s="1"/>
    </row>
    <row r="233" spans="4:6" s="8" customFormat="1" x14ac:dyDescent="0.3">
      <c r="D233" s="1"/>
      <c r="E233" s="1"/>
      <c r="F233" s="1"/>
    </row>
    <row r="234" spans="4:6" s="8" customFormat="1" x14ac:dyDescent="0.3">
      <c r="D234" s="1"/>
      <c r="E234" s="1"/>
      <c r="F234" s="1"/>
    </row>
    <row r="235" spans="4:6" s="8" customFormat="1" x14ac:dyDescent="0.3">
      <c r="D235" s="1"/>
      <c r="E235" s="1"/>
      <c r="F235" s="1"/>
    </row>
    <row r="236" spans="4:6" s="8" customFormat="1" x14ac:dyDescent="0.3">
      <c r="D236" s="1"/>
      <c r="E236" s="1"/>
      <c r="F236" s="1"/>
    </row>
    <row r="237" spans="4:6" s="8" customFormat="1" x14ac:dyDescent="0.3">
      <c r="D237" s="1"/>
      <c r="E237" s="1"/>
      <c r="F237" s="1"/>
    </row>
    <row r="238" spans="4:6" s="8" customFormat="1" x14ac:dyDescent="0.3">
      <c r="D238" s="1"/>
      <c r="E238" s="1"/>
      <c r="F238" s="1"/>
    </row>
    <row r="239" spans="4:6" s="8" customFormat="1" x14ac:dyDescent="0.3">
      <c r="D239" s="1"/>
      <c r="E239" s="1"/>
      <c r="F239" s="1"/>
    </row>
    <row r="240" spans="4:6" s="8" customFormat="1" x14ac:dyDescent="0.3">
      <c r="D240" s="1"/>
      <c r="E240" s="1"/>
      <c r="F240" s="1"/>
    </row>
    <row r="241" spans="4:6" s="8" customFormat="1" x14ac:dyDescent="0.3">
      <c r="D241" s="1"/>
      <c r="E241" s="1"/>
      <c r="F241" s="1"/>
    </row>
    <row r="242" spans="4:6" s="8" customFormat="1" x14ac:dyDescent="0.3">
      <c r="D242" s="1"/>
      <c r="E242" s="1"/>
      <c r="F242" s="1"/>
    </row>
    <row r="243" spans="4:6" s="8" customFormat="1" x14ac:dyDescent="0.3">
      <c r="D243" s="1"/>
      <c r="E243" s="1"/>
      <c r="F243" s="1"/>
    </row>
    <row r="244" spans="4:6" s="8" customFormat="1" x14ac:dyDescent="0.3">
      <c r="D244" s="1"/>
      <c r="E244" s="1"/>
      <c r="F244" s="1"/>
    </row>
    <row r="245" spans="4:6" s="8" customFormat="1" x14ac:dyDescent="0.3">
      <c r="D245" s="1"/>
      <c r="E245" s="1"/>
      <c r="F245" s="1"/>
    </row>
    <row r="246" spans="4:6" s="8" customFormat="1" x14ac:dyDescent="0.3">
      <c r="D246" s="1"/>
      <c r="E246" s="1"/>
      <c r="F246" s="1"/>
    </row>
    <row r="247" spans="4:6" s="8" customFormat="1" x14ac:dyDescent="0.3">
      <c r="D247" s="1"/>
      <c r="E247" s="1"/>
      <c r="F247" s="1"/>
    </row>
    <row r="248" spans="4:6" s="8" customFormat="1" x14ac:dyDescent="0.3">
      <c r="D248" s="1"/>
      <c r="E248" s="1"/>
      <c r="F248" s="1"/>
    </row>
    <row r="249" spans="4:6" s="8" customFormat="1" x14ac:dyDescent="0.3">
      <c r="D249" s="1"/>
      <c r="E249" s="1"/>
      <c r="F249" s="1"/>
    </row>
    <row r="250" spans="4:6" s="8" customFormat="1" x14ac:dyDescent="0.3">
      <c r="D250" s="1"/>
      <c r="E250" s="1"/>
      <c r="F250" s="1"/>
    </row>
    <row r="251" spans="4:6" s="8" customFormat="1" x14ac:dyDescent="0.3">
      <c r="D251" s="1"/>
      <c r="E251" s="1"/>
      <c r="F251" s="1"/>
    </row>
    <row r="252" spans="4:6" s="8" customFormat="1" x14ac:dyDescent="0.3">
      <c r="D252" s="1"/>
      <c r="E252" s="1"/>
      <c r="F252" s="1"/>
    </row>
    <row r="253" spans="4:6" s="8" customFormat="1" x14ac:dyDescent="0.3">
      <c r="D253" s="1"/>
      <c r="E253" s="1"/>
      <c r="F253" s="1"/>
    </row>
    <row r="254" spans="4:6" s="8" customFormat="1" x14ac:dyDescent="0.3">
      <c r="D254" s="1"/>
      <c r="E254" s="1"/>
      <c r="F254" s="1"/>
    </row>
    <row r="255" spans="4:6" s="8" customFormat="1" x14ac:dyDescent="0.3">
      <c r="D255" s="1"/>
      <c r="E255" s="1"/>
      <c r="F255" s="1"/>
    </row>
    <row r="256" spans="4:6" s="8" customFormat="1" x14ac:dyDescent="0.3">
      <c r="D256" s="1"/>
      <c r="E256" s="1"/>
      <c r="F256" s="1"/>
    </row>
    <row r="257" spans="4:6" s="8" customFormat="1" x14ac:dyDescent="0.3">
      <c r="D257" s="1"/>
      <c r="E257" s="1"/>
      <c r="F257" s="1"/>
    </row>
    <row r="258" spans="4:6" s="8" customFormat="1" x14ac:dyDescent="0.3">
      <c r="D258" s="1"/>
      <c r="E258" s="1"/>
      <c r="F258" s="1"/>
    </row>
    <row r="259" spans="4:6" s="8" customFormat="1" x14ac:dyDescent="0.3">
      <c r="D259" s="1"/>
      <c r="E259" s="1"/>
      <c r="F259" s="1"/>
    </row>
    <row r="260" spans="4:6" s="8" customFormat="1" x14ac:dyDescent="0.3">
      <c r="D260" s="1"/>
      <c r="E260" s="1"/>
      <c r="F260" s="1"/>
    </row>
    <row r="261" spans="4:6" s="8" customFormat="1" x14ac:dyDescent="0.3">
      <c r="D261" s="1"/>
      <c r="E261" s="1"/>
      <c r="F261" s="1"/>
    </row>
    <row r="262" spans="4:6" s="8" customFormat="1" x14ac:dyDescent="0.3">
      <c r="D262" s="1"/>
      <c r="E262" s="1"/>
      <c r="F262" s="1"/>
    </row>
    <row r="263" spans="4:6" s="8" customFormat="1" x14ac:dyDescent="0.3">
      <c r="D263" s="1"/>
      <c r="E263" s="1"/>
      <c r="F263" s="1"/>
    </row>
    <row r="264" spans="4:6" s="8" customFormat="1" x14ac:dyDescent="0.3">
      <c r="D264" s="1"/>
      <c r="E264" s="1"/>
      <c r="F264" s="1"/>
    </row>
    <row r="265" spans="4:6" s="8" customFormat="1" x14ac:dyDescent="0.3">
      <c r="D265" s="1"/>
      <c r="E265" s="1"/>
      <c r="F265" s="1"/>
    </row>
    <row r="266" spans="4:6" s="8" customFormat="1" x14ac:dyDescent="0.3">
      <c r="D266" s="1"/>
      <c r="E266" s="1"/>
      <c r="F266" s="1"/>
    </row>
    <row r="267" spans="4:6" s="8" customFormat="1" x14ac:dyDescent="0.3">
      <c r="D267" s="1"/>
      <c r="E267" s="1"/>
      <c r="F267" s="1"/>
    </row>
    <row r="268" spans="4:6" s="8" customFormat="1" x14ac:dyDescent="0.3">
      <c r="D268" s="1"/>
      <c r="E268" s="1"/>
      <c r="F268" s="1"/>
    </row>
    <row r="269" spans="4:6" s="8" customFormat="1" x14ac:dyDescent="0.3">
      <c r="D269" s="1"/>
      <c r="E269" s="1"/>
      <c r="F269" s="1"/>
    </row>
    <row r="270" spans="4:6" s="8" customFormat="1" x14ac:dyDescent="0.3">
      <c r="D270" s="1"/>
      <c r="E270" s="1"/>
      <c r="F270" s="1"/>
    </row>
    <row r="271" spans="4:6" s="8" customFormat="1" x14ac:dyDescent="0.3">
      <c r="D271" s="1"/>
      <c r="E271" s="1"/>
      <c r="F271" s="1"/>
    </row>
    <row r="272" spans="4:6" s="8" customFormat="1" x14ac:dyDescent="0.3">
      <c r="D272" s="1"/>
      <c r="E272" s="1"/>
      <c r="F272" s="1"/>
    </row>
    <row r="273" spans="4:6" s="8" customFormat="1" x14ac:dyDescent="0.3">
      <c r="D273" s="1"/>
      <c r="E273" s="1"/>
      <c r="F273" s="1"/>
    </row>
    <row r="274" spans="4:6" s="8" customFormat="1" x14ac:dyDescent="0.3">
      <c r="D274" s="1"/>
      <c r="E274" s="1"/>
      <c r="F274" s="1"/>
    </row>
    <row r="275" spans="4:6" s="8" customFormat="1" x14ac:dyDescent="0.3">
      <c r="D275" s="1"/>
      <c r="E275" s="1"/>
      <c r="F275" s="1"/>
    </row>
    <row r="276" spans="4:6" s="8" customFormat="1" x14ac:dyDescent="0.3">
      <c r="D276" s="1"/>
      <c r="E276" s="1"/>
      <c r="F276" s="1"/>
    </row>
    <row r="277" spans="4:6" s="8" customFormat="1" x14ac:dyDescent="0.3">
      <c r="D277" s="1"/>
      <c r="E277" s="1"/>
      <c r="F277" s="1"/>
    </row>
    <row r="278" spans="4:6" s="8" customFormat="1" x14ac:dyDescent="0.3">
      <c r="D278" s="1"/>
      <c r="E278" s="1"/>
      <c r="F278" s="1"/>
    </row>
    <row r="279" spans="4:6" s="8" customFormat="1" x14ac:dyDescent="0.3">
      <c r="D279" s="1"/>
      <c r="E279" s="1"/>
      <c r="F279" s="1"/>
    </row>
    <row r="280" spans="4:6" s="8" customFormat="1" x14ac:dyDescent="0.3">
      <c r="D280" s="1"/>
      <c r="E280" s="1"/>
      <c r="F280" s="1"/>
    </row>
    <row r="281" spans="4:6" s="8" customFormat="1" x14ac:dyDescent="0.3">
      <c r="D281" s="1"/>
      <c r="E281" s="1"/>
      <c r="F281" s="1"/>
    </row>
    <row r="282" spans="4:6" s="8" customFormat="1" x14ac:dyDescent="0.3">
      <c r="D282" s="1"/>
      <c r="E282" s="1"/>
      <c r="F282" s="1"/>
    </row>
    <row r="283" spans="4:6" s="8" customFormat="1" x14ac:dyDescent="0.3">
      <c r="D283" s="1"/>
      <c r="E283" s="1"/>
      <c r="F283" s="1"/>
    </row>
    <row r="284" spans="4:6" s="8" customFormat="1" x14ac:dyDescent="0.3">
      <c r="D284" s="1"/>
      <c r="E284" s="1"/>
      <c r="F284" s="1"/>
    </row>
    <row r="285" spans="4:6" s="8" customFormat="1" x14ac:dyDescent="0.3">
      <c r="D285" s="1"/>
      <c r="E285" s="1"/>
      <c r="F285" s="1"/>
    </row>
    <row r="286" spans="4:6" s="8" customFormat="1" x14ac:dyDescent="0.3">
      <c r="D286" s="1"/>
      <c r="E286" s="1"/>
      <c r="F286" s="1"/>
    </row>
    <row r="287" spans="4:6" s="8" customFormat="1" x14ac:dyDescent="0.3">
      <c r="D287" s="1"/>
      <c r="E287" s="1"/>
      <c r="F287" s="1"/>
    </row>
    <row r="288" spans="4:6" s="8" customFormat="1" x14ac:dyDescent="0.3">
      <c r="D288" s="1"/>
      <c r="E288" s="1"/>
      <c r="F288" s="1"/>
    </row>
    <row r="289" spans="4:6" s="8" customFormat="1" x14ac:dyDescent="0.3">
      <c r="D289" s="1"/>
      <c r="E289" s="1"/>
      <c r="F289" s="1"/>
    </row>
    <row r="290" spans="4:6" s="8" customFormat="1" x14ac:dyDescent="0.3">
      <c r="D290" s="1"/>
      <c r="E290" s="1"/>
      <c r="F290" s="1"/>
    </row>
    <row r="291" spans="4:6" s="8" customFormat="1" x14ac:dyDescent="0.3">
      <c r="D291" s="1"/>
      <c r="E291" s="1"/>
      <c r="F291" s="1"/>
    </row>
    <row r="292" spans="4:6" s="8" customFormat="1" x14ac:dyDescent="0.3">
      <c r="D292" s="1"/>
      <c r="E292" s="1"/>
      <c r="F292" s="1"/>
    </row>
    <row r="293" spans="4:6" s="8" customFormat="1" x14ac:dyDescent="0.3">
      <c r="D293" s="1"/>
      <c r="E293" s="1"/>
      <c r="F293" s="1"/>
    </row>
    <row r="294" spans="4:6" s="8" customFormat="1" x14ac:dyDescent="0.3">
      <c r="D294" s="1"/>
      <c r="E294" s="1"/>
      <c r="F294" s="1"/>
    </row>
    <row r="295" spans="4:6" s="8" customFormat="1" x14ac:dyDescent="0.3">
      <c r="D295" s="1"/>
      <c r="E295" s="1"/>
      <c r="F295" s="1"/>
    </row>
    <row r="296" spans="4:6" s="8" customFormat="1" x14ac:dyDescent="0.3">
      <c r="D296" s="1"/>
      <c r="E296" s="1"/>
      <c r="F296" s="1"/>
    </row>
    <row r="297" spans="4:6" s="8" customFormat="1" x14ac:dyDescent="0.3">
      <c r="D297" s="1"/>
      <c r="E297" s="1"/>
      <c r="F297" s="1"/>
    </row>
    <row r="298" spans="4:6" s="8" customFormat="1" x14ac:dyDescent="0.3">
      <c r="D298" s="1"/>
      <c r="E298" s="1"/>
      <c r="F298" s="1"/>
    </row>
    <row r="299" spans="4:6" s="8" customFormat="1" x14ac:dyDescent="0.3">
      <c r="D299" s="1"/>
      <c r="E299" s="1"/>
      <c r="F299" s="1"/>
    </row>
    <row r="300" spans="4:6" s="8" customFormat="1" x14ac:dyDescent="0.3">
      <c r="D300" s="1"/>
      <c r="E300" s="1"/>
      <c r="F300" s="1"/>
    </row>
    <row r="301" spans="4:6" s="8" customFormat="1" x14ac:dyDescent="0.3">
      <c r="D301" s="1"/>
      <c r="E301" s="1"/>
      <c r="F301" s="1"/>
    </row>
    <row r="302" spans="4:6" s="8" customFormat="1" x14ac:dyDescent="0.3">
      <c r="D302" s="1"/>
      <c r="E302" s="1"/>
      <c r="F302" s="1"/>
    </row>
    <row r="303" spans="4:6" s="8" customFormat="1" x14ac:dyDescent="0.3">
      <c r="D303" s="1"/>
      <c r="E303" s="1"/>
      <c r="F303" s="1"/>
    </row>
    <row r="304" spans="4:6" s="8" customFormat="1" x14ac:dyDescent="0.3">
      <c r="D304" s="1"/>
      <c r="E304" s="1"/>
      <c r="F304" s="1"/>
    </row>
    <row r="305" spans="4:6" s="8" customFormat="1" x14ac:dyDescent="0.3">
      <c r="D305" s="1"/>
      <c r="E305" s="1"/>
      <c r="F305" s="1"/>
    </row>
    <row r="306" spans="4:6" s="8" customFormat="1" x14ac:dyDescent="0.3">
      <c r="D306" s="1"/>
      <c r="E306" s="1"/>
      <c r="F306" s="1"/>
    </row>
    <row r="307" spans="4:6" s="8" customFormat="1" x14ac:dyDescent="0.3">
      <c r="D307" s="1"/>
      <c r="E307" s="1"/>
      <c r="F307" s="1"/>
    </row>
    <row r="308" spans="4:6" s="8" customFormat="1" x14ac:dyDescent="0.3">
      <c r="D308" s="1"/>
      <c r="E308" s="1"/>
      <c r="F308" s="1"/>
    </row>
    <row r="309" spans="4:6" s="8" customFormat="1" x14ac:dyDescent="0.3">
      <c r="D309" s="1"/>
      <c r="E309" s="1"/>
      <c r="F309" s="1"/>
    </row>
    <row r="310" spans="4:6" s="8" customFormat="1" x14ac:dyDescent="0.3">
      <c r="D310" s="1"/>
      <c r="E310" s="1"/>
      <c r="F310" s="1"/>
    </row>
    <row r="311" spans="4:6" s="8" customFormat="1" x14ac:dyDescent="0.3">
      <c r="D311" s="1"/>
      <c r="E311" s="1"/>
      <c r="F311" s="1"/>
    </row>
    <row r="312" spans="4:6" s="8" customFormat="1" x14ac:dyDescent="0.3">
      <c r="D312" s="1"/>
      <c r="E312" s="1"/>
      <c r="F312" s="1"/>
    </row>
    <row r="313" spans="4:6" s="8" customFormat="1" x14ac:dyDescent="0.3">
      <c r="D313" s="1"/>
      <c r="E313" s="1"/>
      <c r="F313" s="1"/>
    </row>
    <row r="314" spans="4:6" s="8" customFormat="1" x14ac:dyDescent="0.3">
      <c r="D314" s="1"/>
      <c r="E314" s="1"/>
      <c r="F314" s="1"/>
    </row>
    <row r="315" spans="4:6" s="8" customFormat="1" x14ac:dyDescent="0.3">
      <c r="D315" s="1"/>
      <c r="E315" s="1"/>
      <c r="F315" s="1"/>
    </row>
    <row r="316" spans="4:6" s="8" customFormat="1" x14ac:dyDescent="0.3">
      <c r="D316" s="1"/>
      <c r="E316" s="1"/>
      <c r="F316" s="1"/>
    </row>
    <row r="317" spans="4:6" s="8" customFormat="1" x14ac:dyDescent="0.3">
      <c r="D317" s="1"/>
      <c r="E317" s="1"/>
      <c r="F317" s="1"/>
    </row>
    <row r="318" spans="4:6" s="8" customFormat="1" x14ac:dyDescent="0.3">
      <c r="D318" s="1"/>
      <c r="E318" s="1"/>
      <c r="F318" s="1"/>
    </row>
    <row r="319" spans="4:6" s="8" customFormat="1" x14ac:dyDescent="0.3">
      <c r="D319" s="1"/>
      <c r="E319" s="1"/>
      <c r="F319" s="1"/>
    </row>
    <row r="320" spans="4:6" s="8" customFormat="1" x14ac:dyDescent="0.3">
      <c r="D320" s="1"/>
      <c r="E320" s="1"/>
      <c r="F320" s="1"/>
    </row>
    <row r="321" spans="4:6" s="8" customFormat="1" x14ac:dyDescent="0.3">
      <c r="D321" s="1"/>
      <c r="E321" s="1"/>
      <c r="F321" s="1"/>
    </row>
    <row r="322" spans="4:6" s="8" customFormat="1" x14ac:dyDescent="0.3">
      <c r="D322" s="1"/>
      <c r="E322" s="1"/>
      <c r="F322" s="1"/>
    </row>
    <row r="323" spans="4:6" s="8" customFormat="1" x14ac:dyDescent="0.3">
      <c r="D323" s="1"/>
      <c r="E323" s="1"/>
      <c r="F323" s="1"/>
    </row>
    <row r="324" spans="4:6" s="8" customFormat="1" x14ac:dyDescent="0.3">
      <c r="D324" s="1"/>
      <c r="E324" s="1"/>
      <c r="F324" s="1"/>
    </row>
    <row r="325" spans="4:6" s="8" customFormat="1" x14ac:dyDescent="0.3">
      <c r="D325" s="1"/>
      <c r="E325" s="1"/>
      <c r="F325" s="1"/>
    </row>
    <row r="326" spans="4:6" s="8" customFormat="1" x14ac:dyDescent="0.3">
      <c r="D326" s="1"/>
      <c r="E326" s="1"/>
      <c r="F326" s="1"/>
    </row>
    <row r="327" spans="4:6" s="8" customFormat="1" x14ac:dyDescent="0.3">
      <c r="D327" s="1"/>
      <c r="E327" s="1"/>
      <c r="F327" s="1"/>
    </row>
    <row r="328" spans="4:6" s="8" customFormat="1" x14ac:dyDescent="0.3">
      <c r="D328" s="1"/>
      <c r="E328" s="1"/>
      <c r="F328" s="1"/>
    </row>
    <row r="329" spans="4:6" s="8" customFormat="1" x14ac:dyDescent="0.3">
      <c r="D329" s="1"/>
      <c r="E329" s="1"/>
      <c r="F329" s="1"/>
    </row>
    <row r="330" spans="4:6" s="8" customFormat="1" x14ac:dyDescent="0.3">
      <c r="D330" s="1"/>
      <c r="E330" s="1"/>
      <c r="F330" s="1"/>
    </row>
    <row r="331" spans="4:6" s="8" customFormat="1" x14ac:dyDescent="0.3">
      <c r="D331" s="1"/>
      <c r="E331" s="1"/>
      <c r="F331" s="1"/>
    </row>
    <row r="332" spans="4:6" s="8" customFormat="1" x14ac:dyDescent="0.3">
      <c r="D332" s="1"/>
      <c r="E332" s="1"/>
      <c r="F332" s="1"/>
    </row>
    <row r="333" spans="4:6" s="8" customFormat="1" x14ac:dyDescent="0.3">
      <c r="D333" s="1"/>
      <c r="E333" s="1"/>
      <c r="F333" s="1"/>
    </row>
    <row r="334" spans="4:6" s="8" customFormat="1" x14ac:dyDescent="0.3">
      <c r="D334" s="1"/>
      <c r="E334" s="1"/>
      <c r="F334" s="1"/>
    </row>
    <row r="335" spans="4:6" s="8" customFormat="1" x14ac:dyDescent="0.3">
      <c r="D335" s="1"/>
      <c r="E335" s="1"/>
      <c r="F335" s="1"/>
    </row>
    <row r="336" spans="4:6" s="8" customFormat="1" x14ac:dyDescent="0.3">
      <c r="D336" s="1"/>
      <c r="E336" s="1"/>
      <c r="F336" s="1"/>
    </row>
    <row r="337" spans="4:6" s="8" customFormat="1" x14ac:dyDescent="0.3">
      <c r="D337" s="1"/>
      <c r="E337" s="1"/>
      <c r="F337" s="1"/>
    </row>
    <row r="338" spans="4:6" s="8" customFormat="1" x14ac:dyDescent="0.3">
      <c r="D338" s="1"/>
      <c r="E338" s="1"/>
      <c r="F338" s="1"/>
    </row>
    <row r="339" spans="4:6" s="8" customFormat="1" x14ac:dyDescent="0.3">
      <c r="D339" s="1"/>
      <c r="E339" s="1"/>
      <c r="F339" s="1"/>
    </row>
    <row r="340" spans="4:6" s="8" customFormat="1" x14ac:dyDescent="0.3">
      <c r="D340" s="1"/>
      <c r="E340" s="1"/>
      <c r="F340" s="1"/>
    </row>
    <row r="341" spans="4:6" s="8" customFormat="1" x14ac:dyDescent="0.3">
      <c r="D341" s="1"/>
      <c r="E341" s="1"/>
      <c r="F341" s="1"/>
    </row>
    <row r="342" spans="4:6" s="8" customFormat="1" x14ac:dyDescent="0.3">
      <c r="D342" s="1"/>
      <c r="E342" s="1"/>
      <c r="F342" s="1"/>
    </row>
    <row r="343" spans="4:6" s="8" customFormat="1" x14ac:dyDescent="0.3">
      <c r="D343" s="1"/>
      <c r="E343" s="1"/>
      <c r="F343" s="1"/>
    </row>
    <row r="344" spans="4:6" s="8" customFormat="1" x14ac:dyDescent="0.3">
      <c r="D344" s="1"/>
      <c r="E344" s="1"/>
      <c r="F344" s="1"/>
    </row>
    <row r="345" spans="4:6" s="8" customFormat="1" x14ac:dyDescent="0.3">
      <c r="D345" s="1"/>
      <c r="E345" s="1"/>
      <c r="F345" s="1"/>
    </row>
    <row r="346" spans="4:6" s="8" customFormat="1" x14ac:dyDescent="0.3">
      <c r="D346" s="1"/>
      <c r="E346" s="1"/>
      <c r="F346" s="1"/>
    </row>
    <row r="347" spans="4:6" s="8" customFormat="1" x14ac:dyDescent="0.3">
      <c r="D347" s="1"/>
      <c r="E347" s="1"/>
      <c r="F347" s="1"/>
    </row>
    <row r="348" spans="4:6" s="8" customFormat="1" x14ac:dyDescent="0.3">
      <c r="D348" s="1"/>
      <c r="E348" s="1"/>
      <c r="F348" s="1"/>
    </row>
    <row r="349" spans="4:6" s="8" customFormat="1" x14ac:dyDescent="0.3">
      <c r="D349" s="1"/>
      <c r="E349" s="1"/>
      <c r="F349" s="1"/>
    </row>
    <row r="350" spans="4:6" s="8" customFormat="1" x14ac:dyDescent="0.3">
      <c r="D350" s="1"/>
      <c r="E350" s="1"/>
      <c r="F350" s="1"/>
    </row>
    <row r="351" spans="4:6" s="8" customFormat="1" x14ac:dyDescent="0.3">
      <c r="D351" s="1"/>
      <c r="E351" s="1"/>
      <c r="F351" s="1"/>
    </row>
    <row r="352" spans="4:6" s="8" customFormat="1" x14ac:dyDescent="0.3">
      <c r="D352" s="1"/>
      <c r="E352" s="1"/>
      <c r="F352" s="1"/>
    </row>
    <row r="353" spans="4:6" s="8" customFormat="1" x14ac:dyDescent="0.3">
      <c r="D353" s="1"/>
      <c r="E353" s="1"/>
      <c r="F353" s="1"/>
    </row>
    <row r="354" spans="4:6" s="8" customFormat="1" x14ac:dyDescent="0.3">
      <c r="D354" s="1"/>
      <c r="E354" s="1"/>
      <c r="F354" s="1"/>
    </row>
    <row r="355" spans="4:6" s="8" customFormat="1" x14ac:dyDescent="0.3">
      <c r="D355" s="1"/>
      <c r="E355" s="1"/>
      <c r="F355" s="1"/>
    </row>
    <row r="356" spans="4:6" s="8" customFormat="1" x14ac:dyDescent="0.3">
      <c r="D356" s="1"/>
      <c r="E356" s="1"/>
      <c r="F356" s="1"/>
    </row>
    <row r="357" spans="4:6" s="8" customFormat="1" x14ac:dyDescent="0.3">
      <c r="D357" s="1"/>
      <c r="E357" s="1"/>
      <c r="F357" s="1"/>
    </row>
    <row r="358" spans="4:6" s="8" customFormat="1" x14ac:dyDescent="0.3">
      <c r="D358" s="1"/>
      <c r="E358" s="1"/>
      <c r="F358" s="1"/>
    </row>
    <row r="359" spans="4:6" s="8" customFormat="1" x14ac:dyDescent="0.3">
      <c r="D359" s="1"/>
      <c r="E359" s="1"/>
      <c r="F359" s="1"/>
    </row>
    <row r="360" spans="4:6" s="8" customFormat="1" x14ac:dyDescent="0.3">
      <c r="D360" s="1"/>
      <c r="E360" s="1"/>
      <c r="F360" s="1"/>
    </row>
    <row r="361" spans="4:6" s="8" customFormat="1" x14ac:dyDescent="0.3">
      <c r="D361" s="1"/>
      <c r="E361" s="1"/>
      <c r="F361" s="1"/>
    </row>
    <row r="362" spans="4:6" s="8" customFormat="1" x14ac:dyDescent="0.3">
      <c r="D362" s="1"/>
      <c r="E362" s="1"/>
      <c r="F362" s="1"/>
    </row>
    <row r="363" spans="4:6" s="8" customFormat="1" x14ac:dyDescent="0.3">
      <c r="D363" s="1"/>
      <c r="E363" s="1"/>
      <c r="F363" s="1"/>
    </row>
    <row r="364" spans="4:6" s="8" customFormat="1" x14ac:dyDescent="0.3">
      <c r="D364" s="1"/>
      <c r="E364" s="1"/>
      <c r="F364" s="1"/>
    </row>
    <row r="365" spans="4:6" s="8" customFormat="1" x14ac:dyDescent="0.3">
      <c r="D365" s="1"/>
      <c r="E365" s="1"/>
      <c r="F365" s="1"/>
    </row>
    <row r="366" spans="4:6" s="8" customFormat="1" x14ac:dyDescent="0.3">
      <c r="D366" s="1"/>
      <c r="E366" s="1"/>
      <c r="F366" s="1"/>
    </row>
    <row r="367" spans="4:6" s="8" customFormat="1" x14ac:dyDescent="0.3">
      <c r="D367" s="1"/>
      <c r="E367" s="1"/>
      <c r="F367" s="1"/>
    </row>
    <row r="368" spans="4:6" s="8" customFormat="1" x14ac:dyDescent="0.3">
      <c r="D368" s="1"/>
      <c r="E368" s="1"/>
      <c r="F368" s="1"/>
    </row>
    <row r="369" spans="4:6" s="8" customFormat="1" x14ac:dyDescent="0.3">
      <c r="D369" s="1"/>
      <c r="E369" s="1"/>
      <c r="F369" s="1"/>
    </row>
    <row r="370" spans="4:6" s="8" customFormat="1" x14ac:dyDescent="0.3">
      <c r="D370" s="1"/>
      <c r="E370" s="1"/>
      <c r="F370" s="1"/>
    </row>
    <row r="371" spans="4:6" s="8" customFormat="1" x14ac:dyDescent="0.3">
      <c r="D371" s="1"/>
      <c r="E371" s="1"/>
      <c r="F371" s="1"/>
    </row>
    <row r="372" spans="4:6" s="8" customFormat="1" x14ac:dyDescent="0.3">
      <c r="D372" s="1"/>
      <c r="E372" s="1"/>
      <c r="F372" s="1"/>
    </row>
    <row r="373" spans="4:6" s="8" customFormat="1" x14ac:dyDescent="0.3">
      <c r="D373" s="1"/>
      <c r="E373" s="1"/>
      <c r="F373" s="1"/>
    </row>
    <row r="374" spans="4:6" s="8" customFormat="1" x14ac:dyDescent="0.3">
      <c r="D374" s="1"/>
      <c r="E374" s="1"/>
      <c r="F374" s="1"/>
    </row>
    <row r="375" spans="4:6" s="8" customFormat="1" x14ac:dyDescent="0.3">
      <c r="D375" s="1"/>
      <c r="E375" s="1"/>
      <c r="F375" s="1"/>
    </row>
    <row r="376" spans="4:6" s="8" customFormat="1" x14ac:dyDescent="0.3">
      <c r="D376" s="1"/>
      <c r="E376" s="1"/>
      <c r="F376" s="1"/>
    </row>
    <row r="377" spans="4:6" s="8" customFormat="1" x14ac:dyDescent="0.3">
      <c r="D377" s="1"/>
      <c r="E377" s="1"/>
      <c r="F377" s="1"/>
    </row>
    <row r="378" spans="4:6" s="8" customFormat="1" x14ac:dyDescent="0.3">
      <c r="D378" s="1"/>
      <c r="E378" s="1"/>
      <c r="F378" s="1"/>
    </row>
    <row r="379" spans="4:6" s="8" customFormat="1" x14ac:dyDescent="0.3">
      <c r="D379" s="1"/>
      <c r="E379" s="1"/>
      <c r="F379" s="1"/>
    </row>
    <row r="380" spans="4:6" s="8" customFormat="1" x14ac:dyDescent="0.3">
      <c r="D380" s="1"/>
      <c r="E380" s="1"/>
      <c r="F380" s="1"/>
    </row>
    <row r="381" spans="4:6" s="8" customFormat="1" x14ac:dyDescent="0.3">
      <c r="D381" s="1"/>
      <c r="E381" s="1"/>
      <c r="F381" s="1"/>
    </row>
    <row r="382" spans="4:6" s="8" customFormat="1" x14ac:dyDescent="0.3">
      <c r="D382" s="1"/>
      <c r="E382" s="1"/>
      <c r="F382" s="1"/>
    </row>
    <row r="383" spans="4:6" s="8" customFormat="1" x14ac:dyDescent="0.3">
      <c r="D383" s="1"/>
      <c r="E383" s="1"/>
      <c r="F383" s="1"/>
    </row>
    <row r="384" spans="4:6" s="8" customFormat="1" x14ac:dyDescent="0.3">
      <c r="D384" s="1"/>
      <c r="E384" s="1"/>
      <c r="F384" s="1"/>
    </row>
    <row r="385" spans="4:6" s="8" customFormat="1" x14ac:dyDescent="0.3">
      <c r="D385" s="1"/>
      <c r="E385" s="1"/>
      <c r="F385" s="1"/>
    </row>
    <row r="386" spans="4:6" s="8" customFormat="1" x14ac:dyDescent="0.3">
      <c r="D386" s="1"/>
      <c r="E386" s="1"/>
      <c r="F386" s="1"/>
    </row>
    <row r="387" spans="4:6" s="8" customFormat="1" x14ac:dyDescent="0.3">
      <c r="D387" s="1"/>
      <c r="E387" s="1"/>
      <c r="F387" s="1"/>
    </row>
    <row r="388" spans="4:6" s="8" customFormat="1" x14ac:dyDescent="0.3">
      <c r="D388" s="1"/>
      <c r="E388" s="1"/>
      <c r="F388" s="1"/>
    </row>
    <row r="389" spans="4:6" s="8" customFormat="1" x14ac:dyDescent="0.3">
      <c r="D389" s="1"/>
      <c r="E389" s="1"/>
      <c r="F389" s="1"/>
    </row>
    <row r="390" spans="4:6" s="8" customFormat="1" x14ac:dyDescent="0.3">
      <c r="D390" s="1"/>
      <c r="E390" s="1"/>
      <c r="F390" s="1"/>
    </row>
    <row r="391" spans="4:6" s="8" customFormat="1" x14ac:dyDescent="0.3">
      <c r="D391" s="1"/>
      <c r="E391" s="1"/>
      <c r="F391" s="1"/>
    </row>
    <row r="392" spans="4:6" s="8" customFormat="1" x14ac:dyDescent="0.3">
      <c r="D392" s="1"/>
      <c r="E392" s="1"/>
      <c r="F392" s="1"/>
    </row>
    <row r="393" spans="4:6" s="8" customFormat="1" x14ac:dyDescent="0.3">
      <c r="D393" s="1"/>
      <c r="E393" s="1"/>
      <c r="F393" s="1"/>
    </row>
    <row r="394" spans="4:6" s="8" customFormat="1" x14ac:dyDescent="0.3">
      <c r="D394" s="1"/>
      <c r="E394" s="1"/>
      <c r="F394" s="1"/>
    </row>
    <row r="395" spans="4:6" s="8" customFormat="1" x14ac:dyDescent="0.3">
      <c r="D395" s="1"/>
      <c r="E395" s="1"/>
      <c r="F395" s="1"/>
    </row>
    <row r="396" spans="4:6" s="8" customFormat="1" x14ac:dyDescent="0.3">
      <c r="D396" s="1"/>
      <c r="E396" s="1"/>
      <c r="F396" s="1"/>
    </row>
    <row r="397" spans="4:6" s="8" customFormat="1" x14ac:dyDescent="0.3">
      <c r="D397" s="1"/>
      <c r="E397" s="1"/>
      <c r="F397" s="1"/>
    </row>
    <row r="398" spans="4:6" s="8" customFormat="1" x14ac:dyDescent="0.3">
      <c r="D398" s="1"/>
      <c r="E398" s="1"/>
      <c r="F398" s="1"/>
    </row>
    <row r="399" spans="4:6" s="8" customFormat="1" x14ac:dyDescent="0.3">
      <c r="D399" s="1"/>
      <c r="E399" s="1"/>
      <c r="F399" s="1"/>
    </row>
    <row r="400" spans="4:6" s="8" customFormat="1" x14ac:dyDescent="0.3">
      <c r="D400" s="1"/>
      <c r="E400" s="1"/>
      <c r="F400" s="1"/>
    </row>
    <row r="401" spans="4:6" s="8" customFormat="1" x14ac:dyDescent="0.3">
      <c r="D401" s="1"/>
      <c r="E401" s="1"/>
      <c r="F401" s="1"/>
    </row>
    <row r="402" spans="4:6" s="8" customFormat="1" x14ac:dyDescent="0.3">
      <c r="D402" s="1"/>
      <c r="E402" s="1"/>
      <c r="F402" s="1"/>
    </row>
    <row r="403" spans="4:6" s="8" customFormat="1" x14ac:dyDescent="0.3">
      <c r="D403" s="1"/>
      <c r="E403" s="1"/>
      <c r="F403" s="1"/>
    </row>
    <row r="404" spans="4:6" s="8" customFormat="1" x14ac:dyDescent="0.3">
      <c r="D404" s="1"/>
      <c r="E404" s="1"/>
      <c r="F404" s="1"/>
    </row>
    <row r="405" spans="4:6" s="8" customFormat="1" x14ac:dyDescent="0.3">
      <c r="D405" s="1"/>
      <c r="E405" s="1"/>
      <c r="F405" s="1"/>
    </row>
    <row r="406" spans="4:6" s="8" customFormat="1" x14ac:dyDescent="0.3">
      <c r="D406" s="1"/>
      <c r="E406" s="1"/>
      <c r="F406" s="1"/>
    </row>
    <row r="407" spans="4:6" s="8" customFormat="1" x14ac:dyDescent="0.3">
      <c r="D407" s="1"/>
      <c r="E407" s="1"/>
      <c r="F407" s="1"/>
    </row>
    <row r="408" spans="4:6" s="8" customFormat="1" x14ac:dyDescent="0.3">
      <c r="D408" s="1"/>
      <c r="E408" s="1"/>
      <c r="F408" s="1"/>
    </row>
    <row r="409" spans="4:6" s="8" customFormat="1" x14ac:dyDescent="0.3">
      <c r="D409" s="1"/>
      <c r="E409" s="1"/>
      <c r="F409" s="1"/>
    </row>
    <row r="410" spans="4:6" s="8" customFormat="1" x14ac:dyDescent="0.3">
      <c r="D410" s="1"/>
      <c r="E410" s="1"/>
      <c r="F410" s="1"/>
    </row>
    <row r="411" spans="4:6" s="8" customFormat="1" x14ac:dyDescent="0.3">
      <c r="D411" s="1"/>
      <c r="E411" s="1"/>
      <c r="F411" s="1"/>
    </row>
    <row r="412" spans="4:6" s="8" customFormat="1" x14ac:dyDescent="0.3">
      <c r="D412" s="1"/>
      <c r="E412" s="1"/>
      <c r="F412" s="1"/>
    </row>
    <row r="413" spans="4:6" s="8" customFormat="1" x14ac:dyDescent="0.3">
      <c r="D413" s="1"/>
      <c r="E413" s="1"/>
      <c r="F413" s="1"/>
    </row>
    <row r="414" spans="4:6" s="8" customFormat="1" x14ac:dyDescent="0.3">
      <c r="D414" s="1"/>
      <c r="E414" s="1"/>
      <c r="F414" s="1"/>
    </row>
    <row r="415" spans="4:6" s="8" customFormat="1" x14ac:dyDescent="0.3">
      <c r="D415" s="1"/>
      <c r="E415" s="1"/>
      <c r="F415" s="1"/>
    </row>
    <row r="416" spans="4:6" s="8" customFormat="1" x14ac:dyDescent="0.3">
      <c r="D416" s="1"/>
      <c r="E416" s="1"/>
      <c r="F416" s="1"/>
    </row>
    <row r="417" spans="4:6" s="8" customFormat="1" x14ac:dyDescent="0.3">
      <c r="D417" s="1"/>
      <c r="E417" s="1"/>
      <c r="F417" s="1"/>
    </row>
    <row r="418" spans="4:6" s="8" customFormat="1" x14ac:dyDescent="0.3">
      <c r="D418" s="1"/>
      <c r="E418" s="1"/>
      <c r="F418" s="1"/>
    </row>
    <row r="419" spans="4:6" s="8" customFormat="1" x14ac:dyDescent="0.3">
      <c r="D419" s="1"/>
      <c r="E419" s="1"/>
      <c r="F419" s="1"/>
    </row>
    <row r="420" spans="4:6" s="8" customFormat="1" x14ac:dyDescent="0.3">
      <c r="D420" s="1"/>
      <c r="E420" s="1"/>
      <c r="F420" s="1"/>
    </row>
    <row r="421" spans="4:6" s="8" customFormat="1" x14ac:dyDescent="0.3">
      <c r="D421" s="1"/>
      <c r="E421" s="1"/>
      <c r="F421" s="1"/>
    </row>
    <row r="422" spans="4:6" s="8" customFormat="1" x14ac:dyDescent="0.3">
      <c r="D422" s="1"/>
      <c r="E422" s="1"/>
      <c r="F422" s="1"/>
    </row>
    <row r="423" spans="4:6" s="8" customFormat="1" x14ac:dyDescent="0.3">
      <c r="D423" s="1"/>
      <c r="E423" s="1"/>
      <c r="F423" s="1"/>
    </row>
    <row r="424" spans="4:6" s="8" customFormat="1" x14ac:dyDescent="0.3">
      <c r="D424" s="1"/>
      <c r="E424" s="1"/>
      <c r="F424" s="1"/>
    </row>
    <row r="425" spans="4:6" s="8" customFormat="1" x14ac:dyDescent="0.3">
      <c r="D425" s="1"/>
      <c r="E425" s="1"/>
      <c r="F425" s="1"/>
    </row>
    <row r="426" spans="4:6" s="8" customFormat="1" x14ac:dyDescent="0.3">
      <c r="D426" s="1"/>
      <c r="E426" s="1"/>
      <c r="F426" s="1"/>
    </row>
    <row r="427" spans="4:6" s="8" customFormat="1" x14ac:dyDescent="0.3">
      <c r="D427" s="1"/>
      <c r="E427" s="1"/>
      <c r="F427" s="1"/>
    </row>
    <row r="428" spans="4:6" s="8" customFormat="1" x14ac:dyDescent="0.3">
      <c r="D428" s="1"/>
      <c r="E428" s="1"/>
      <c r="F428" s="1"/>
    </row>
    <row r="429" spans="4:6" s="8" customFormat="1" x14ac:dyDescent="0.3">
      <c r="D429" s="1"/>
      <c r="E429" s="1"/>
      <c r="F429" s="1"/>
    </row>
    <row r="430" spans="4:6" s="8" customFormat="1" x14ac:dyDescent="0.3">
      <c r="D430" s="1"/>
      <c r="E430" s="1"/>
      <c r="F430" s="1"/>
    </row>
    <row r="431" spans="4:6" s="8" customFormat="1" x14ac:dyDescent="0.3">
      <c r="D431" s="1"/>
      <c r="E431" s="1"/>
      <c r="F431" s="1"/>
    </row>
    <row r="432" spans="4:6" s="8" customFormat="1" x14ac:dyDescent="0.3">
      <c r="D432" s="1"/>
      <c r="E432" s="1"/>
      <c r="F432" s="1"/>
    </row>
    <row r="433" spans="4:6" s="8" customFormat="1" x14ac:dyDescent="0.3">
      <c r="D433" s="1"/>
      <c r="E433" s="1"/>
      <c r="F433" s="1"/>
    </row>
    <row r="434" spans="4:6" s="8" customFormat="1" x14ac:dyDescent="0.3">
      <c r="D434" s="1"/>
      <c r="E434" s="1"/>
      <c r="F434" s="1"/>
    </row>
    <row r="435" spans="4:6" s="8" customFormat="1" x14ac:dyDescent="0.3">
      <c r="D435" s="1"/>
      <c r="E435" s="1"/>
      <c r="F435" s="1"/>
    </row>
    <row r="436" spans="4:6" s="8" customFormat="1" x14ac:dyDescent="0.3">
      <c r="D436" s="1"/>
      <c r="E436" s="1"/>
      <c r="F436" s="1"/>
    </row>
    <row r="437" spans="4:6" s="8" customFormat="1" x14ac:dyDescent="0.3">
      <c r="D437" s="1"/>
      <c r="E437" s="1"/>
      <c r="F437" s="1"/>
    </row>
    <row r="438" spans="4:6" s="8" customFormat="1" x14ac:dyDescent="0.3">
      <c r="D438" s="1"/>
      <c r="E438" s="1"/>
      <c r="F438" s="1"/>
    </row>
    <row r="439" spans="4:6" s="8" customFormat="1" x14ac:dyDescent="0.3">
      <c r="D439" s="1"/>
      <c r="E439" s="1"/>
      <c r="F439" s="1"/>
    </row>
    <row r="440" spans="4:6" s="8" customFormat="1" x14ac:dyDescent="0.3">
      <c r="D440" s="1"/>
      <c r="E440" s="1"/>
      <c r="F440" s="1"/>
    </row>
    <row r="441" spans="4:6" s="8" customFormat="1" x14ac:dyDescent="0.3">
      <c r="D441" s="1"/>
      <c r="E441" s="1"/>
      <c r="F441" s="1"/>
    </row>
    <row r="442" spans="4:6" s="8" customFormat="1" x14ac:dyDescent="0.3">
      <c r="D442" s="1"/>
      <c r="E442" s="1"/>
      <c r="F442" s="1"/>
    </row>
    <row r="443" spans="4:6" s="8" customFormat="1" x14ac:dyDescent="0.3">
      <c r="D443" s="1"/>
      <c r="E443" s="1"/>
      <c r="F443" s="1"/>
    </row>
    <row r="444" spans="4:6" s="8" customFormat="1" x14ac:dyDescent="0.3">
      <c r="D444" s="1"/>
      <c r="E444" s="1"/>
      <c r="F444" s="1"/>
    </row>
    <row r="445" spans="4:6" s="8" customFormat="1" x14ac:dyDescent="0.3">
      <c r="D445" s="1"/>
      <c r="E445" s="1"/>
      <c r="F445" s="1"/>
    </row>
    <row r="446" spans="4:6" s="8" customFormat="1" x14ac:dyDescent="0.3">
      <c r="D446" s="1"/>
      <c r="E446" s="1"/>
      <c r="F446" s="1"/>
    </row>
    <row r="447" spans="4:6" s="8" customFormat="1" x14ac:dyDescent="0.3">
      <c r="D447" s="1"/>
      <c r="E447" s="1"/>
      <c r="F447" s="1"/>
    </row>
    <row r="448" spans="4:6" s="8" customFormat="1" x14ac:dyDescent="0.3">
      <c r="D448" s="1"/>
      <c r="E448" s="1"/>
      <c r="F448" s="1"/>
    </row>
    <row r="449" spans="4:6" s="8" customFormat="1" x14ac:dyDescent="0.3">
      <c r="D449" s="1"/>
      <c r="E449" s="1"/>
      <c r="F449" s="1"/>
    </row>
    <row r="450" spans="4:6" s="8" customFormat="1" x14ac:dyDescent="0.3">
      <c r="D450" s="1"/>
      <c r="E450" s="1"/>
      <c r="F450" s="1"/>
    </row>
    <row r="451" spans="4:6" s="8" customFormat="1" x14ac:dyDescent="0.3">
      <c r="D451" s="1"/>
      <c r="E451" s="1"/>
      <c r="F451" s="1"/>
    </row>
    <row r="452" spans="4:6" s="8" customFormat="1" x14ac:dyDescent="0.3">
      <c r="D452" s="1"/>
      <c r="E452" s="1"/>
      <c r="F452" s="1"/>
    </row>
    <row r="453" spans="4:6" s="8" customFormat="1" x14ac:dyDescent="0.3">
      <c r="D453" s="1"/>
      <c r="E453" s="1"/>
      <c r="F453" s="1"/>
    </row>
    <row r="454" spans="4:6" s="8" customFormat="1" x14ac:dyDescent="0.3">
      <c r="D454" s="1"/>
      <c r="E454" s="1"/>
      <c r="F454" s="1"/>
    </row>
    <row r="455" spans="4:6" s="8" customFormat="1" x14ac:dyDescent="0.3">
      <c r="D455" s="1"/>
      <c r="E455" s="1"/>
      <c r="F455" s="1"/>
    </row>
    <row r="456" spans="4:6" s="8" customFormat="1" x14ac:dyDescent="0.3">
      <c r="D456" s="1"/>
      <c r="E456" s="1"/>
      <c r="F456" s="1"/>
    </row>
    <row r="457" spans="4:6" s="8" customFormat="1" x14ac:dyDescent="0.3">
      <c r="D457" s="1"/>
      <c r="E457" s="1"/>
      <c r="F457" s="1"/>
    </row>
    <row r="458" spans="4:6" s="8" customFormat="1" x14ac:dyDescent="0.3">
      <c r="D458" s="1"/>
      <c r="E458" s="1"/>
      <c r="F458" s="1"/>
    </row>
    <row r="459" spans="4:6" s="8" customFormat="1" x14ac:dyDescent="0.3">
      <c r="D459" s="1"/>
      <c r="E459" s="1"/>
      <c r="F459" s="1"/>
    </row>
    <row r="460" spans="4:6" s="8" customFormat="1" x14ac:dyDescent="0.3">
      <c r="D460" s="1"/>
      <c r="E460" s="1"/>
      <c r="F460" s="1"/>
    </row>
    <row r="461" spans="4:6" s="8" customFormat="1" x14ac:dyDescent="0.3">
      <c r="D461" s="1"/>
      <c r="E461" s="1"/>
      <c r="F461" s="1"/>
    </row>
    <row r="462" spans="4:6" s="8" customFormat="1" x14ac:dyDescent="0.3">
      <c r="D462" s="1"/>
      <c r="E462" s="1"/>
      <c r="F462" s="1"/>
    </row>
    <row r="463" spans="4:6" s="8" customFormat="1" x14ac:dyDescent="0.3">
      <c r="D463" s="1"/>
      <c r="E463" s="1"/>
      <c r="F463" s="1"/>
    </row>
    <row r="464" spans="4:6" s="8" customFormat="1" x14ac:dyDescent="0.3">
      <c r="D464" s="1"/>
      <c r="E464" s="1"/>
      <c r="F464" s="1"/>
    </row>
    <row r="465" spans="4:6" s="8" customFormat="1" x14ac:dyDescent="0.3">
      <c r="D465" s="1"/>
      <c r="E465" s="1"/>
      <c r="F465" s="1"/>
    </row>
    <row r="466" spans="4:6" s="8" customFormat="1" x14ac:dyDescent="0.3">
      <c r="D466" s="1"/>
      <c r="E466" s="1"/>
      <c r="F466" s="1"/>
    </row>
    <row r="467" spans="4:6" s="8" customFormat="1" x14ac:dyDescent="0.3">
      <c r="D467" s="1"/>
      <c r="E467" s="1"/>
      <c r="F467" s="1"/>
    </row>
    <row r="468" spans="4:6" s="8" customFormat="1" x14ac:dyDescent="0.3">
      <c r="D468" s="1"/>
      <c r="E468" s="1"/>
      <c r="F468" s="1"/>
    </row>
    <row r="469" spans="4:6" s="8" customFormat="1" x14ac:dyDescent="0.3">
      <c r="D469" s="1"/>
      <c r="E469" s="1"/>
      <c r="F469" s="1"/>
    </row>
    <row r="470" spans="4:6" s="8" customFormat="1" x14ac:dyDescent="0.3">
      <c r="D470" s="1"/>
      <c r="E470" s="1"/>
      <c r="F470" s="1"/>
    </row>
    <row r="471" spans="4:6" s="8" customFormat="1" x14ac:dyDescent="0.3">
      <c r="D471" s="1"/>
      <c r="E471" s="1"/>
      <c r="F471" s="1"/>
    </row>
    <row r="472" spans="4:6" s="8" customFormat="1" x14ac:dyDescent="0.3">
      <c r="D472" s="1"/>
      <c r="E472" s="1"/>
      <c r="F472" s="1"/>
    </row>
    <row r="473" spans="4:6" s="8" customFormat="1" x14ac:dyDescent="0.3">
      <c r="D473" s="1"/>
      <c r="E473" s="1"/>
      <c r="F473" s="1"/>
    </row>
    <row r="474" spans="4:6" s="8" customFormat="1" x14ac:dyDescent="0.3">
      <c r="D474" s="1"/>
      <c r="E474" s="1"/>
      <c r="F474" s="1"/>
    </row>
    <row r="475" spans="4:6" s="8" customFormat="1" x14ac:dyDescent="0.3">
      <c r="D475" s="1"/>
      <c r="E475" s="1"/>
      <c r="F475" s="1"/>
    </row>
    <row r="476" spans="4:6" s="8" customFormat="1" x14ac:dyDescent="0.3">
      <c r="D476" s="1"/>
      <c r="E476" s="1"/>
      <c r="F476" s="1"/>
    </row>
    <row r="477" spans="4:6" s="8" customFormat="1" x14ac:dyDescent="0.3">
      <c r="D477" s="1"/>
      <c r="E477" s="1"/>
      <c r="F477" s="1"/>
    </row>
    <row r="478" spans="4:6" s="8" customFormat="1" x14ac:dyDescent="0.3">
      <c r="D478" s="1"/>
      <c r="E478" s="1"/>
      <c r="F478" s="1"/>
    </row>
    <row r="479" spans="4:6" s="8" customFormat="1" x14ac:dyDescent="0.3">
      <c r="D479" s="1"/>
      <c r="E479" s="1"/>
      <c r="F479" s="1"/>
    </row>
    <row r="480" spans="4:6" s="8" customFormat="1" x14ac:dyDescent="0.3">
      <c r="D480" s="1"/>
      <c r="E480" s="1"/>
      <c r="F480" s="1"/>
    </row>
    <row r="481" spans="4:6" s="8" customFormat="1" x14ac:dyDescent="0.3">
      <c r="D481" s="1"/>
      <c r="E481" s="1"/>
      <c r="F481" s="1"/>
    </row>
    <row r="482" spans="4:6" s="8" customFormat="1" x14ac:dyDescent="0.3">
      <c r="D482" s="1"/>
      <c r="E482" s="1"/>
      <c r="F482" s="1"/>
    </row>
    <row r="483" spans="4:6" s="8" customFormat="1" x14ac:dyDescent="0.3">
      <c r="D483" s="1"/>
      <c r="E483" s="1"/>
      <c r="F483" s="1"/>
    </row>
    <row r="484" spans="4:6" s="8" customFormat="1" x14ac:dyDescent="0.3">
      <c r="D484" s="1"/>
      <c r="E484" s="1"/>
      <c r="F484" s="1"/>
    </row>
    <row r="485" spans="4:6" s="8" customFormat="1" x14ac:dyDescent="0.3">
      <c r="D485" s="1"/>
      <c r="E485" s="1"/>
      <c r="F485" s="1"/>
    </row>
    <row r="486" spans="4:6" s="8" customFormat="1" x14ac:dyDescent="0.3">
      <c r="D486" s="1"/>
      <c r="E486" s="1"/>
      <c r="F486" s="1"/>
    </row>
    <row r="487" spans="4:6" s="8" customFormat="1" x14ac:dyDescent="0.3">
      <c r="D487" s="1"/>
      <c r="E487" s="1"/>
      <c r="F487" s="1"/>
    </row>
    <row r="488" spans="4:6" s="8" customFormat="1" x14ac:dyDescent="0.3">
      <c r="D488" s="1"/>
      <c r="E488" s="1"/>
      <c r="F488" s="1"/>
    </row>
    <row r="489" spans="4:6" s="8" customFormat="1" x14ac:dyDescent="0.3">
      <c r="D489" s="1"/>
      <c r="E489" s="1"/>
      <c r="F489" s="1"/>
    </row>
    <row r="490" spans="4:6" s="8" customFormat="1" x14ac:dyDescent="0.3">
      <c r="D490" s="1"/>
      <c r="E490" s="1"/>
      <c r="F490" s="1"/>
    </row>
    <row r="491" spans="4:6" s="8" customFormat="1" x14ac:dyDescent="0.3">
      <c r="D491" s="1"/>
      <c r="E491" s="1"/>
      <c r="F491" s="1"/>
    </row>
    <row r="492" spans="4:6" s="8" customFormat="1" x14ac:dyDescent="0.3">
      <c r="D492" s="1"/>
      <c r="E492" s="1"/>
      <c r="F492" s="1"/>
    </row>
    <row r="493" spans="4:6" s="8" customFormat="1" x14ac:dyDescent="0.3">
      <c r="D493" s="1"/>
      <c r="E493" s="1"/>
      <c r="F493" s="1"/>
    </row>
    <row r="494" spans="4:6" s="8" customFormat="1" x14ac:dyDescent="0.3">
      <c r="D494" s="1"/>
      <c r="E494" s="1"/>
      <c r="F494" s="1"/>
    </row>
    <row r="495" spans="4:6" s="8" customFormat="1" x14ac:dyDescent="0.3">
      <c r="D495" s="1"/>
      <c r="E495" s="1"/>
      <c r="F495" s="1"/>
    </row>
    <row r="496" spans="4:6" s="8" customFormat="1" x14ac:dyDescent="0.3">
      <c r="D496" s="1"/>
      <c r="E496" s="1"/>
      <c r="F496" s="1"/>
    </row>
    <row r="497" spans="4:6" s="8" customFormat="1" x14ac:dyDescent="0.3">
      <c r="D497" s="1"/>
      <c r="E497" s="1"/>
      <c r="F497" s="1"/>
    </row>
    <row r="498" spans="4:6" s="8" customFormat="1" x14ac:dyDescent="0.3">
      <c r="D498" s="1"/>
      <c r="E498" s="1"/>
      <c r="F498" s="1"/>
    </row>
    <row r="499" spans="4:6" s="8" customFormat="1" x14ac:dyDescent="0.3">
      <c r="D499" s="1"/>
      <c r="E499" s="1"/>
      <c r="F499" s="1"/>
    </row>
    <row r="500" spans="4:6" s="8" customFormat="1" x14ac:dyDescent="0.3">
      <c r="D500" s="1"/>
      <c r="E500" s="1"/>
      <c r="F500" s="1"/>
    </row>
    <row r="501" spans="4:6" s="8" customFormat="1" x14ac:dyDescent="0.3">
      <c r="D501" s="1"/>
      <c r="E501" s="1"/>
      <c r="F501" s="1"/>
    </row>
    <row r="502" spans="4:6" s="8" customFormat="1" x14ac:dyDescent="0.3">
      <c r="D502" s="1"/>
      <c r="E502" s="1"/>
      <c r="F502" s="1"/>
    </row>
    <row r="503" spans="4:6" s="8" customFormat="1" x14ac:dyDescent="0.3">
      <c r="D503" s="1"/>
      <c r="E503" s="1"/>
      <c r="F503" s="1"/>
    </row>
    <row r="504" spans="4:6" s="8" customFormat="1" x14ac:dyDescent="0.3">
      <c r="D504" s="1"/>
      <c r="E504" s="1"/>
      <c r="F504" s="1"/>
    </row>
    <row r="505" spans="4:6" s="8" customFormat="1" x14ac:dyDescent="0.3">
      <c r="D505" s="1"/>
      <c r="E505" s="1"/>
      <c r="F505" s="1"/>
    </row>
    <row r="506" spans="4:6" s="8" customFormat="1" x14ac:dyDescent="0.3">
      <c r="D506" s="1"/>
      <c r="E506" s="1"/>
      <c r="F506" s="1"/>
    </row>
    <row r="507" spans="4:6" s="8" customFormat="1" x14ac:dyDescent="0.3">
      <c r="D507" s="1"/>
      <c r="E507" s="1"/>
      <c r="F507" s="1"/>
    </row>
    <row r="508" spans="4:6" s="8" customFormat="1" x14ac:dyDescent="0.3">
      <c r="D508" s="1"/>
      <c r="E508" s="1"/>
      <c r="F508" s="1"/>
    </row>
    <row r="509" spans="4:6" s="8" customFormat="1" x14ac:dyDescent="0.3">
      <c r="D509" s="1"/>
      <c r="E509" s="1"/>
      <c r="F509" s="1"/>
    </row>
    <row r="510" spans="4:6" s="8" customFormat="1" x14ac:dyDescent="0.3">
      <c r="D510" s="1"/>
      <c r="E510" s="1"/>
      <c r="F510" s="1"/>
    </row>
    <row r="511" spans="4:6" s="8" customFormat="1" x14ac:dyDescent="0.3">
      <c r="D511" s="1"/>
      <c r="E511" s="1"/>
      <c r="F511" s="1"/>
    </row>
    <row r="512" spans="4:6" s="8" customFormat="1" x14ac:dyDescent="0.3">
      <c r="D512" s="1"/>
      <c r="E512" s="1"/>
      <c r="F512" s="1"/>
    </row>
    <row r="513" spans="4:6" s="8" customFormat="1" x14ac:dyDescent="0.3">
      <c r="D513" s="1"/>
      <c r="E513" s="1"/>
      <c r="F513" s="1"/>
    </row>
    <row r="514" spans="4:6" s="8" customFormat="1" x14ac:dyDescent="0.3">
      <c r="D514" s="1"/>
      <c r="E514" s="1"/>
      <c r="F514" s="1"/>
    </row>
    <row r="515" spans="4:6" s="8" customFormat="1" x14ac:dyDescent="0.3">
      <c r="D515" s="1"/>
      <c r="E515" s="1"/>
      <c r="F515" s="1"/>
    </row>
    <row r="516" spans="4:6" s="8" customFormat="1" x14ac:dyDescent="0.3">
      <c r="D516" s="1"/>
      <c r="E516" s="1"/>
      <c r="F516" s="1"/>
    </row>
    <row r="517" spans="4:6" s="8" customFormat="1" x14ac:dyDescent="0.3">
      <c r="D517" s="1"/>
      <c r="E517" s="1"/>
      <c r="F517" s="1"/>
    </row>
    <row r="518" spans="4:6" s="8" customFormat="1" x14ac:dyDescent="0.3">
      <c r="D518" s="1"/>
      <c r="E518" s="1"/>
      <c r="F518" s="1"/>
    </row>
    <row r="519" spans="4:6" s="8" customFormat="1" x14ac:dyDescent="0.3">
      <c r="D519" s="1"/>
      <c r="E519" s="1"/>
      <c r="F519" s="1"/>
    </row>
    <row r="520" spans="4:6" s="8" customFormat="1" x14ac:dyDescent="0.3">
      <c r="D520" s="1"/>
      <c r="E520" s="1"/>
      <c r="F520" s="1"/>
    </row>
    <row r="521" spans="4:6" s="8" customFormat="1" x14ac:dyDescent="0.3">
      <c r="D521" s="1"/>
      <c r="E521" s="1"/>
      <c r="F521" s="1"/>
    </row>
    <row r="522" spans="4:6" s="8" customFormat="1" x14ac:dyDescent="0.3">
      <c r="D522" s="1"/>
      <c r="E522" s="1"/>
      <c r="F522" s="1"/>
    </row>
    <row r="523" spans="4:6" s="8" customFormat="1" x14ac:dyDescent="0.3">
      <c r="D523" s="1"/>
      <c r="E523" s="1"/>
      <c r="F523" s="1"/>
    </row>
    <row r="524" spans="4:6" s="8" customFormat="1" x14ac:dyDescent="0.3">
      <c r="D524" s="1"/>
      <c r="E524" s="1"/>
      <c r="F524" s="1"/>
    </row>
    <row r="525" spans="4:6" s="8" customFormat="1" x14ac:dyDescent="0.3">
      <c r="D525" s="1"/>
      <c r="E525" s="1"/>
      <c r="F525" s="1"/>
    </row>
    <row r="526" spans="4:6" s="8" customFormat="1" x14ac:dyDescent="0.3">
      <c r="D526" s="1"/>
      <c r="E526" s="1"/>
      <c r="F526" s="1"/>
    </row>
    <row r="527" spans="4:6" s="8" customFormat="1" x14ac:dyDescent="0.3">
      <c r="D527" s="1"/>
      <c r="E527" s="1"/>
      <c r="F527" s="1"/>
    </row>
    <row r="528" spans="4:6" s="8" customFormat="1" x14ac:dyDescent="0.3">
      <c r="D528" s="1"/>
      <c r="E528" s="1"/>
      <c r="F528" s="1"/>
    </row>
    <row r="529" spans="4:6" s="8" customFormat="1" x14ac:dyDescent="0.3">
      <c r="D529" s="1"/>
      <c r="E529" s="1"/>
      <c r="F529" s="1"/>
    </row>
    <row r="530" spans="4:6" s="8" customFormat="1" x14ac:dyDescent="0.3">
      <c r="D530" s="1"/>
      <c r="E530" s="1"/>
      <c r="F530" s="1"/>
    </row>
    <row r="531" spans="4:6" s="8" customFormat="1" x14ac:dyDescent="0.3">
      <c r="D531" s="1"/>
      <c r="E531" s="1"/>
      <c r="F531" s="1"/>
    </row>
    <row r="532" spans="4:6" s="8" customFormat="1" x14ac:dyDescent="0.3">
      <c r="D532" s="1"/>
      <c r="E532" s="1"/>
      <c r="F532" s="1"/>
    </row>
    <row r="533" spans="4:6" s="8" customFormat="1" x14ac:dyDescent="0.3">
      <c r="D533" s="1"/>
      <c r="E533" s="1"/>
      <c r="F533" s="1"/>
    </row>
    <row r="534" spans="4:6" s="8" customFormat="1" x14ac:dyDescent="0.3">
      <c r="D534" s="1"/>
      <c r="E534" s="1"/>
      <c r="F534" s="1"/>
    </row>
    <row r="535" spans="4:6" s="8" customFormat="1" x14ac:dyDescent="0.3">
      <c r="D535" s="1"/>
      <c r="E535" s="1"/>
      <c r="F535" s="1"/>
    </row>
    <row r="536" spans="4:6" s="8" customFormat="1" x14ac:dyDescent="0.3">
      <c r="D536" s="1"/>
      <c r="E536" s="1"/>
      <c r="F536" s="1"/>
    </row>
    <row r="537" spans="4:6" s="8" customFormat="1" x14ac:dyDescent="0.3">
      <c r="D537" s="1"/>
      <c r="E537" s="1"/>
      <c r="F537" s="1"/>
    </row>
    <row r="538" spans="4:6" s="8" customFormat="1" x14ac:dyDescent="0.3">
      <c r="D538" s="1"/>
      <c r="E538" s="1"/>
      <c r="F538" s="1"/>
    </row>
    <row r="539" spans="4:6" s="8" customFormat="1" x14ac:dyDescent="0.3">
      <c r="D539" s="1"/>
      <c r="E539" s="1"/>
      <c r="F539" s="1"/>
    </row>
    <row r="540" spans="4:6" s="8" customFormat="1" x14ac:dyDescent="0.3">
      <c r="D540" s="1"/>
      <c r="E540" s="1"/>
      <c r="F540" s="1"/>
    </row>
    <row r="541" spans="4:6" s="8" customFormat="1" x14ac:dyDescent="0.3">
      <c r="D541" s="1"/>
      <c r="E541" s="1"/>
      <c r="F541" s="1"/>
    </row>
    <row r="542" spans="4:6" s="8" customFormat="1" x14ac:dyDescent="0.3">
      <c r="D542" s="1"/>
      <c r="E542" s="1"/>
      <c r="F542" s="1"/>
    </row>
    <row r="543" spans="4:6" s="8" customFormat="1" x14ac:dyDescent="0.3">
      <c r="D543" s="1"/>
      <c r="E543" s="1"/>
      <c r="F543" s="1"/>
    </row>
    <row r="544" spans="4:6" s="8" customFormat="1" x14ac:dyDescent="0.3">
      <c r="D544" s="1"/>
      <c r="E544" s="1"/>
      <c r="F544" s="1"/>
    </row>
    <row r="545" spans="4:6" s="8" customFormat="1" x14ac:dyDescent="0.3">
      <c r="D545" s="1"/>
      <c r="E545" s="1"/>
      <c r="F545" s="1"/>
    </row>
    <row r="546" spans="4:6" s="8" customFormat="1" x14ac:dyDescent="0.3">
      <c r="D546" s="1"/>
      <c r="E546" s="1"/>
      <c r="F546" s="1"/>
    </row>
    <row r="547" spans="4:6" s="8" customFormat="1" x14ac:dyDescent="0.3">
      <c r="D547" s="1"/>
      <c r="E547" s="1"/>
      <c r="F547" s="1"/>
    </row>
    <row r="548" spans="4:6" s="8" customFormat="1" x14ac:dyDescent="0.3">
      <c r="D548" s="1"/>
      <c r="E548" s="1"/>
      <c r="F548" s="1"/>
    </row>
    <row r="549" spans="4:6" s="8" customFormat="1" x14ac:dyDescent="0.3">
      <c r="D549" s="1"/>
      <c r="E549" s="1"/>
      <c r="F549" s="1"/>
    </row>
    <row r="550" spans="4:6" s="8" customFormat="1" x14ac:dyDescent="0.3">
      <c r="D550" s="1"/>
      <c r="E550" s="1"/>
      <c r="F550" s="1"/>
    </row>
    <row r="551" spans="4:6" s="8" customFormat="1" x14ac:dyDescent="0.3">
      <c r="D551" s="1"/>
      <c r="E551" s="1"/>
      <c r="F551" s="1"/>
    </row>
    <row r="552" spans="4:6" s="8" customFormat="1" x14ac:dyDescent="0.3">
      <c r="D552" s="1"/>
      <c r="E552" s="1"/>
      <c r="F552" s="1"/>
    </row>
    <row r="553" spans="4:6" s="8" customFormat="1" x14ac:dyDescent="0.3">
      <c r="D553" s="1"/>
      <c r="E553" s="1"/>
      <c r="F553" s="1"/>
    </row>
    <row r="554" spans="4:6" s="8" customFormat="1" x14ac:dyDescent="0.3">
      <c r="D554" s="1"/>
      <c r="E554" s="1"/>
      <c r="F554" s="1"/>
    </row>
  </sheetData>
  <mergeCells count="148">
    <mergeCell ref="G56:G57"/>
    <mergeCell ref="H56:H57"/>
    <mergeCell ref="I56:I57"/>
    <mergeCell ref="H48:H49"/>
    <mergeCell ref="I48:I49"/>
    <mergeCell ref="G50:G51"/>
    <mergeCell ref="H50:H51"/>
    <mergeCell ref="I50:I51"/>
    <mergeCell ref="G52:G53"/>
    <mergeCell ref="H52:H53"/>
    <mergeCell ref="I52:I53"/>
    <mergeCell ref="I22:I23"/>
    <mergeCell ref="G27:G28"/>
    <mergeCell ref="H27:H28"/>
    <mergeCell ref="I27:I28"/>
    <mergeCell ref="I24:I25"/>
    <mergeCell ref="G39:G40"/>
    <mergeCell ref="H39:H40"/>
    <mergeCell ref="I39:I40"/>
    <mergeCell ref="G35:G36"/>
    <mergeCell ref="H35:H36"/>
    <mergeCell ref="I35:I36"/>
    <mergeCell ref="G37:G38"/>
    <mergeCell ref="H37:H38"/>
    <mergeCell ref="I37:I38"/>
    <mergeCell ref="I29:I30"/>
    <mergeCell ref="G31:G32"/>
    <mergeCell ref="H31:H32"/>
    <mergeCell ref="I31:I32"/>
    <mergeCell ref="G33:G34"/>
    <mergeCell ref="H33:H34"/>
    <mergeCell ref="I33:I34"/>
    <mergeCell ref="G24:G25"/>
    <mergeCell ref="I16:I17"/>
    <mergeCell ref="G18:G19"/>
    <mergeCell ref="H18:H19"/>
    <mergeCell ref="I18:I19"/>
    <mergeCell ref="G20:G21"/>
    <mergeCell ref="G12:G13"/>
    <mergeCell ref="H12:H13"/>
    <mergeCell ref="I12:I13"/>
    <mergeCell ref="G14:G15"/>
    <mergeCell ref="H14:H15"/>
    <mergeCell ref="I14:I15"/>
    <mergeCell ref="H20:H21"/>
    <mergeCell ref="I20:I21"/>
    <mergeCell ref="G41:G42"/>
    <mergeCell ref="H41:H42"/>
    <mergeCell ref="I41:I42"/>
    <mergeCell ref="G54:G55"/>
    <mergeCell ref="H54:H55"/>
    <mergeCell ref="E52:E53"/>
    <mergeCell ref="E54:E55"/>
    <mergeCell ref="E56:E57"/>
    <mergeCell ref="E58:E59"/>
    <mergeCell ref="F56:F57"/>
    <mergeCell ref="F58:F59"/>
    <mergeCell ref="F52:F53"/>
    <mergeCell ref="F54:F55"/>
    <mergeCell ref="G43:G44"/>
    <mergeCell ref="H43:H44"/>
    <mergeCell ref="I43:I44"/>
    <mergeCell ref="G58:G59"/>
    <mergeCell ref="H58:H59"/>
    <mergeCell ref="I58:I59"/>
    <mergeCell ref="G46:G47"/>
    <mergeCell ref="H46:H47"/>
    <mergeCell ref="I46:I47"/>
    <mergeCell ref="G48:G49"/>
    <mergeCell ref="I54:I55"/>
    <mergeCell ref="F31:F32"/>
    <mergeCell ref="F33:F34"/>
    <mergeCell ref="F35:F36"/>
    <mergeCell ref="F37:F38"/>
    <mergeCell ref="F46:F47"/>
    <mergeCell ref="F48:F49"/>
    <mergeCell ref="F50:F51"/>
    <mergeCell ref="F39:F40"/>
    <mergeCell ref="F41:F42"/>
    <mergeCell ref="F43:F44"/>
    <mergeCell ref="E27:E28"/>
    <mergeCell ref="F27:F28"/>
    <mergeCell ref="E29:E30"/>
    <mergeCell ref="F29:F30"/>
    <mergeCell ref="G29:G30"/>
    <mergeCell ref="H29:H30"/>
    <mergeCell ref="E24:E25"/>
    <mergeCell ref="E4:E5"/>
    <mergeCell ref="E6:E7"/>
    <mergeCell ref="E8:E9"/>
    <mergeCell ref="F16:F17"/>
    <mergeCell ref="F18:F19"/>
    <mergeCell ref="F20:F21"/>
    <mergeCell ref="F22:F23"/>
    <mergeCell ref="F24:F25"/>
    <mergeCell ref="H24:H25"/>
    <mergeCell ref="G16:G17"/>
    <mergeCell ref="H16:H17"/>
    <mergeCell ref="G22:G23"/>
    <mergeCell ref="H22:H23"/>
    <mergeCell ref="J4:J5"/>
    <mergeCell ref="J6:J7"/>
    <mergeCell ref="J8:J9"/>
    <mergeCell ref="J12:J13"/>
    <mergeCell ref="J14:J15"/>
    <mergeCell ref="J16:J17"/>
    <mergeCell ref="F4:F5"/>
    <mergeCell ref="F6:F7"/>
    <mergeCell ref="F8:F9"/>
    <mergeCell ref="F10:F11"/>
    <mergeCell ref="F12:F13"/>
    <mergeCell ref="F14:F15"/>
    <mergeCell ref="G8:G9"/>
    <mergeCell ref="H8:H9"/>
    <mergeCell ref="I8:I9"/>
    <mergeCell ref="G10:G11"/>
    <mergeCell ref="H10:H11"/>
    <mergeCell ref="I10:I11"/>
    <mergeCell ref="G4:G5"/>
    <mergeCell ref="H4:H5"/>
    <mergeCell ref="I4:I5"/>
    <mergeCell ref="G6:G7"/>
    <mergeCell ref="H6:H7"/>
    <mergeCell ref="I6:I7"/>
    <mergeCell ref="J18:J19"/>
    <mergeCell ref="J24:J25"/>
    <mergeCell ref="J27:J28"/>
    <mergeCell ref="J37:J38"/>
    <mergeCell ref="J50:J51"/>
    <mergeCell ref="J43:J44"/>
    <mergeCell ref="J58:J59"/>
    <mergeCell ref="E10:E11"/>
    <mergeCell ref="E12:E13"/>
    <mergeCell ref="E14:E15"/>
    <mergeCell ref="E46:E47"/>
    <mergeCell ref="E48:E49"/>
    <mergeCell ref="E50:E51"/>
    <mergeCell ref="E39:E40"/>
    <mergeCell ref="E41:E42"/>
    <mergeCell ref="E43:E44"/>
    <mergeCell ref="E31:E32"/>
    <mergeCell ref="E33:E34"/>
    <mergeCell ref="E35:E36"/>
    <mergeCell ref="E37:E38"/>
    <mergeCell ref="E16:E17"/>
    <mergeCell ref="E18:E19"/>
    <mergeCell ref="E20:E21"/>
    <mergeCell ref="E22:E23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B96B-B6B1-496A-8D4E-A55E19EAD983}">
  <dimension ref="C1:M18"/>
  <sheetViews>
    <sheetView topLeftCell="B1" zoomScaleNormal="100" workbookViewId="0">
      <selection activeCell="M18" sqref="M18"/>
    </sheetView>
  </sheetViews>
  <sheetFormatPr defaultColWidth="11" defaultRowHeight="15" x14ac:dyDescent="0.3"/>
  <cols>
    <col min="1" max="16384" width="11" style="1"/>
  </cols>
  <sheetData>
    <row r="1" spans="3:3" x14ac:dyDescent="0.3">
      <c r="C1" s="2"/>
    </row>
    <row r="18" spans="13:13" x14ac:dyDescent="0.3">
      <c r="M18" s="15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5A97-DD5D-43A7-AEB9-4B323964871D}">
  <sheetPr>
    <tabColor theme="5" tint="0.79998168889431442"/>
  </sheetPr>
  <dimension ref="A1:BP208"/>
  <sheetViews>
    <sheetView topLeftCell="B1" zoomScale="125" zoomScaleNormal="100" workbookViewId="0">
      <pane xSplit="1" ySplit="1" topLeftCell="C2" activePane="bottomRight" state="frozen"/>
      <selection pane="topRight" activeCell="B31" sqref="A31:XFD37"/>
      <selection pane="bottomLeft" activeCell="B31" sqref="A31:XFD37"/>
      <selection pane="bottomRight" activeCell="B52" sqref="B52"/>
    </sheetView>
  </sheetViews>
  <sheetFormatPr defaultColWidth="11" defaultRowHeight="15" x14ac:dyDescent="0.3"/>
  <cols>
    <col min="1" max="1" width="8.125" style="8" customWidth="1"/>
    <col min="2" max="2" width="33.5" style="8" bestFit="1" customWidth="1"/>
    <col min="3" max="3" width="10.5" style="1" customWidth="1"/>
    <col min="4" max="5" width="10.5" style="6" customWidth="1"/>
    <col min="6" max="8" width="10.5" style="1" customWidth="1"/>
    <col min="9" max="68" width="11" style="8"/>
    <col min="69" max="16384" width="11" style="1"/>
  </cols>
  <sheetData>
    <row r="1" spans="1:15" x14ac:dyDescent="0.3">
      <c r="B1" s="3" t="s">
        <v>71</v>
      </c>
      <c r="C1" s="5" t="s">
        <v>4</v>
      </c>
      <c r="D1" s="5" t="s">
        <v>5</v>
      </c>
      <c r="E1" s="5" t="s">
        <v>6</v>
      </c>
      <c r="F1" s="7" t="s">
        <v>7</v>
      </c>
      <c r="G1" s="7" t="s">
        <v>8</v>
      </c>
      <c r="H1" s="7" t="s">
        <v>9</v>
      </c>
    </row>
    <row r="2" spans="1:15" s="8" customFormat="1" ht="5.0999999999999996" customHeight="1" x14ac:dyDescent="0.3">
      <c r="C2" s="19"/>
      <c r="D2" s="19"/>
      <c r="E2" s="19"/>
    </row>
    <row r="3" spans="1:15" s="8" customFormat="1" x14ac:dyDescent="0.3">
      <c r="A3" s="8" t="s">
        <v>72</v>
      </c>
      <c r="B3" s="8" t="s">
        <v>73</v>
      </c>
      <c r="C3" s="102">
        <v>3100</v>
      </c>
      <c r="D3" s="66">
        <v>3250</v>
      </c>
      <c r="E3" s="66">
        <v>3410</v>
      </c>
      <c r="F3" s="115">
        <f>+E3*(1+$E$40)</f>
        <v>3577.876923076923</v>
      </c>
      <c r="G3" s="115">
        <f t="shared" ref="G3:H3" si="0">+F3*(1+$E$40)</f>
        <v>3754.0185562130177</v>
      </c>
      <c r="H3" s="115">
        <f t="shared" si="0"/>
        <v>3938.8317774419661</v>
      </c>
      <c r="J3" s="163" t="s">
        <v>217</v>
      </c>
      <c r="K3" s="68"/>
      <c r="L3" s="68"/>
    </row>
    <row r="4" spans="1:15" s="8" customFormat="1" x14ac:dyDescent="0.3">
      <c r="A4" s="9" t="s">
        <v>74</v>
      </c>
      <c r="B4" s="8" t="s">
        <v>75</v>
      </c>
      <c r="C4" s="102">
        <v>1600</v>
      </c>
      <c r="D4" s="66">
        <v>1650</v>
      </c>
      <c r="E4" s="66">
        <v>1700</v>
      </c>
      <c r="F4" s="115">
        <f>+E4*(1+$E$41)</f>
        <v>1751.5151515151515</v>
      </c>
      <c r="G4" s="115">
        <f t="shared" ref="G4:H4" si="1">+F4*(1+$E$41)</f>
        <v>1804.5913682277319</v>
      </c>
      <c r="H4" s="115">
        <f t="shared" si="1"/>
        <v>1859.2759551437236</v>
      </c>
      <c r="J4" s="163" t="s">
        <v>218</v>
      </c>
    </row>
    <row r="5" spans="1:15" s="8" customFormat="1" x14ac:dyDescent="0.3">
      <c r="A5" s="9" t="s">
        <v>76</v>
      </c>
      <c r="B5" s="8" t="s">
        <v>77</v>
      </c>
      <c r="C5" s="102">
        <v>1400</v>
      </c>
      <c r="D5" s="66">
        <v>1480</v>
      </c>
      <c r="E5" s="66">
        <v>1570</v>
      </c>
      <c r="F5" s="115">
        <f>+E5*(1+$E$42)</f>
        <v>1665.4729729729729</v>
      </c>
      <c r="G5" s="115">
        <f t="shared" ref="G5:H5" si="2">+F5*(1+$E$42)</f>
        <v>1766.7517348429508</v>
      </c>
      <c r="H5" s="115">
        <f t="shared" si="2"/>
        <v>1874.1893403401571</v>
      </c>
      <c r="J5" s="163" t="s">
        <v>219</v>
      </c>
      <c r="M5" s="26">
        <f>+F5/(SUM(F8,F5))</f>
        <v>0.47510649370675206</v>
      </c>
      <c r="N5" s="26">
        <f>+G5/(SUM(G8,G5))</f>
        <v>0.4550256765037316</v>
      </c>
      <c r="O5" s="26">
        <f>+H5/(SUM(H8,H5))</f>
        <v>0.43509006831003033</v>
      </c>
    </row>
    <row r="6" spans="1:15" ht="15.75" thickBot="1" x14ac:dyDescent="0.35">
      <c r="A6" s="20" t="s">
        <v>78</v>
      </c>
      <c r="B6" s="21"/>
      <c r="C6" s="73">
        <f t="shared" ref="C6:H6" si="3">+SUM(C3:C5)</f>
        <v>6100</v>
      </c>
      <c r="D6" s="73">
        <f t="shared" si="3"/>
        <v>6380</v>
      </c>
      <c r="E6" s="73">
        <f t="shared" si="3"/>
        <v>6680</v>
      </c>
      <c r="F6" s="73">
        <f t="shared" si="3"/>
        <v>6994.8650475650484</v>
      </c>
      <c r="G6" s="73">
        <f t="shared" si="3"/>
        <v>7325.3616592837006</v>
      </c>
      <c r="H6" s="73">
        <f t="shared" si="3"/>
        <v>7672.2970729258468</v>
      </c>
      <c r="J6" s="163"/>
      <c r="N6" s="70"/>
    </row>
    <row r="7" spans="1:15" s="8" customFormat="1" ht="15.75" thickTop="1" x14ac:dyDescent="0.3">
      <c r="A7" s="23"/>
      <c r="B7" s="22"/>
      <c r="C7" s="102"/>
      <c r="D7" s="66"/>
      <c r="E7" s="66"/>
      <c r="F7" s="103"/>
      <c r="G7" s="103"/>
      <c r="H7" s="103"/>
      <c r="J7" s="163"/>
    </row>
    <row r="8" spans="1:15" s="8" customFormat="1" x14ac:dyDescent="0.3">
      <c r="A8" s="8" t="s">
        <v>79</v>
      </c>
      <c r="B8" s="8" t="s">
        <v>80</v>
      </c>
      <c r="C8" s="102">
        <v>1200</v>
      </c>
      <c r="D8" s="66">
        <v>1200</v>
      </c>
      <c r="E8" s="66">
        <v>1600</v>
      </c>
      <c r="F8" s="122">
        <f>+E8*(1+$J$9)</f>
        <v>1839.9999999999998</v>
      </c>
      <c r="G8" s="122">
        <f t="shared" ref="G8:H8" si="4">+F8*(1+$J$9)</f>
        <v>2115.9999999999995</v>
      </c>
      <c r="H8" s="122">
        <f t="shared" si="4"/>
        <v>2433.3999999999992</v>
      </c>
      <c r="J8" s="163" t="s">
        <v>216</v>
      </c>
      <c r="M8" s="173">
        <f>1-M5</f>
        <v>0.52489350629324794</v>
      </c>
      <c r="N8" s="173">
        <f t="shared" ref="N8:O8" si="5">1-N5</f>
        <v>0.5449743234962684</v>
      </c>
      <c r="O8" s="173">
        <f t="shared" si="5"/>
        <v>0.56490993168996972</v>
      </c>
    </row>
    <row r="9" spans="1:15" ht="15.75" thickBot="1" x14ac:dyDescent="0.35">
      <c r="A9" s="20" t="s">
        <v>78</v>
      </c>
      <c r="B9" s="21"/>
      <c r="C9" s="73">
        <f t="shared" ref="C9:H9" si="6">+SUM(C8:C8)</f>
        <v>1200</v>
      </c>
      <c r="D9" s="73">
        <f t="shared" si="6"/>
        <v>1200</v>
      </c>
      <c r="E9" s="73">
        <f t="shared" si="6"/>
        <v>1600</v>
      </c>
      <c r="F9" s="73">
        <f t="shared" si="6"/>
        <v>1839.9999999999998</v>
      </c>
      <c r="G9" s="73">
        <f t="shared" si="6"/>
        <v>2115.9999999999995</v>
      </c>
      <c r="H9" s="73">
        <f t="shared" si="6"/>
        <v>2433.3999999999992</v>
      </c>
      <c r="J9" s="26">
        <v>0.15</v>
      </c>
      <c r="K9" s="40"/>
    </row>
    <row r="10" spans="1:15" s="8" customFormat="1" ht="15.75" thickTop="1" x14ac:dyDescent="0.3">
      <c r="A10" s="23"/>
      <c r="B10" s="22"/>
      <c r="C10" s="102"/>
      <c r="D10" s="66"/>
      <c r="E10" s="66"/>
      <c r="F10" s="103"/>
      <c r="G10" s="103"/>
      <c r="H10" s="103"/>
      <c r="J10" s="68"/>
      <c r="M10" s="175">
        <f>+M5*0.06+M8*0.15</f>
        <v>0.10724041556639231</v>
      </c>
      <c r="N10" s="175">
        <f t="shared" ref="N10:O10" si="7">+N5*0.06+N8*0.15</f>
        <v>0.10904768911466416</v>
      </c>
      <c r="O10" s="175">
        <f t="shared" si="7"/>
        <v>0.11084189385209728</v>
      </c>
    </row>
    <row r="11" spans="1:15" x14ac:dyDescent="0.3">
      <c r="B11" s="3" t="s">
        <v>81</v>
      </c>
      <c r="C11" s="104" t="s">
        <v>4</v>
      </c>
      <c r="D11" s="104" t="s">
        <v>5</v>
      </c>
      <c r="E11" s="104" t="s">
        <v>6</v>
      </c>
      <c r="F11" s="105" t="s">
        <v>7</v>
      </c>
      <c r="G11" s="105" t="s">
        <v>8</v>
      </c>
      <c r="H11" s="105" t="s">
        <v>9</v>
      </c>
      <c r="J11" s="68"/>
    </row>
    <row r="12" spans="1:15" s="8" customFormat="1" x14ac:dyDescent="0.3">
      <c r="A12" s="8" t="s">
        <v>82</v>
      </c>
      <c r="B12" s="8" t="s">
        <v>83</v>
      </c>
      <c r="C12" s="102">
        <v>350</v>
      </c>
      <c r="D12" s="66">
        <v>180</v>
      </c>
      <c r="E12" s="66">
        <v>250</v>
      </c>
      <c r="F12" s="115">
        <f>+AVERAGE(C12:E12)</f>
        <v>260</v>
      </c>
      <c r="G12" s="115">
        <f>+AVERAGE(D12:F12)</f>
        <v>230</v>
      </c>
      <c r="H12" s="115">
        <f>+AVERAGE(E12:G12)</f>
        <v>246.66666666666666</v>
      </c>
      <c r="I12" s="25"/>
      <c r="J12" s="68"/>
    </row>
    <row r="13" spans="1:15" s="8" customFormat="1" x14ac:dyDescent="0.3">
      <c r="B13" s="8" t="s">
        <v>84</v>
      </c>
      <c r="C13" s="102">
        <v>0</v>
      </c>
      <c r="D13" s="66">
        <v>30</v>
      </c>
      <c r="E13" s="66">
        <v>0</v>
      </c>
      <c r="F13" s="115">
        <f t="shared" ref="F13:H13" si="8">+AVERAGE(C13:E13)</f>
        <v>10</v>
      </c>
      <c r="G13" s="115">
        <f t="shared" si="8"/>
        <v>13.333333333333334</v>
      </c>
      <c r="H13" s="115">
        <f t="shared" si="8"/>
        <v>7.7777777777777786</v>
      </c>
      <c r="I13" s="25"/>
      <c r="J13" s="68" t="s">
        <v>220</v>
      </c>
    </row>
    <row r="14" spans="1:15" s="8" customFormat="1" x14ac:dyDescent="0.3">
      <c r="B14" s="8" t="s">
        <v>85</v>
      </c>
      <c r="C14" s="102">
        <v>200</v>
      </c>
      <c r="D14" s="66">
        <v>690</v>
      </c>
      <c r="E14" s="66">
        <v>550</v>
      </c>
      <c r="F14" s="115">
        <f t="shared" ref="F14:H14" si="9">+AVERAGE(C14:E14)</f>
        <v>480</v>
      </c>
      <c r="G14" s="115">
        <f t="shared" si="9"/>
        <v>573.33333333333337</v>
      </c>
      <c r="H14" s="115">
        <f t="shared" si="9"/>
        <v>534.44444444444446</v>
      </c>
      <c r="I14" s="25"/>
      <c r="J14" s="68"/>
    </row>
    <row r="15" spans="1:15" ht="15.75" thickBot="1" x14ac:dyDescent="0.35">
      <c r="A15" s="20" t="s">
        <v>78</v>
      </c>
      <c r="B15" s="21"/>
      <c r="C15" s="73">
        <f t="shared" ref="C15:H15" si="10">+SUM(C12:C14)</f>
        <v>550</v>
      </c>
      <c r="D15" s="73">
        <f t="shared" si="10"/>
        <v>900</v>
      </c>
      <c r="E15" s="73">
        <f t="shared" si="10"/>
        <v>800</v>
      </c>
      <c r="F15" s="73">
        <f t="shared" si="10"/>
        <v>750</v>
      </c>
      <c r="G15" s="73">
        <f t="shared" si="10"/>
        <v>816.66666666666674</v>
      </c>
      <c r="H15" s="73">
        <f t="shared" si="10"/>
        <v>788.88888888888891</v>
      </c>
      <c r="J15" s="68"/>
      <c r="K15" s="68"/>
      <c r="L15" s="68"/>
    </row>
    <row r="16" spans="1:15" s="8" customFormat="1" ht="15.75" thickTop="1" x14ac:dyDescent="0.3">
      <c r="C16" s="102"/>
      <c r="D16" s="66"/>
      <c r="E16" s="66"/>
      <c r="F16" s="103"/>
      <c r="G16" s="103"/>
      <c r="H16" s="103"/>
    </row>
    <row r="17" spans="1:13" s="8" customFormat="1" x14ac:dyDescent="0.3">
      <c r="C17" s="66"/>
      <c r="D17" s="66"/>
      <c r="E17" s="66"/>
      <c r="F17" s="103"/>
      <c r="G17" s="103"/>
      <c r="H17" s="103"/>
    </row>
    <row r="18" spans="1:13" s="8" customFormat="1" x14ac:dyDescent="0.3">
      <c r="C18" s="66"/>
      <c r="D18" s="66"/>
      <c r="E18" s="66"/>
      <c r="F18" s="103"/>
      <c r="G18" s="103"/>
      <c r="H18" s="103"/>
    </row>
    <row r="19" spans="1:13" x14ac:dyDescent="0.3">
      <c r="A19" s="24" t="s">
        <v>86</v>
      </c>
      <c r="B19" s="24"/>
      <c r="C19" s="106">
        <f t="shared" ref="C19:H19" si="11">+C15+C9+C6</f>
        <v>7850</v>
      </c>
      <c r="D19" s="106">
        <f t="shared" si="11"/>
        <v>8480</v>
      </c>
      <c r="E19" s="106">
        <f t="shared" si="11"/>
        <v>9080</v>
      </c>
      <c r="F19" s="106">
        <f t="shared" si="11"/>
        <v>9584.8650475650484</v>
      </c>
      <c r="G19" s="106">
        <f>+G15+G9+G6</f>
        <v>10258.028325950367</v>
      </c>
      <c r="H19" s="106">
        <f t="shared" si="11"/>
        <v>10894.585961814735</v>
      </c>
    </row>
    <row r="20" spans="1:13" s="8" customFormat="1" x14ac:dyDescent="0.3">
      <c r="C20" s="66"/>
      <c r="D20" s="66"/>
      <c r="E20" s="66"/>
      <c r="F20" s="103"/>
      <c r="G20" s="103"/>
      <c r="H20" s="103"/>
    </row>
    <row r="21" spans="1:13" s="49" customFormat="1" ht="8.25" x14ac:dyDescent="0.15">
      <c r="C21" s="100"/>
      <c r="D21" s="100"/>
      <c r="E21" s="100"/>
      <c r="F21" s="107"/>
      <c r="G21" s="107"/>
      <c r="H21" s="107"/>
    </row>
    <row r="22" spans="1:13" s="49" customFormat="1" ht="8.25" x14ac:dyDescent="0.15">
      <c r="C22" s="91"/>
      <c r="D22" s="91"/>
      <c r="E22" s="91"/>
      <c r="F22" s="107"/>
      <c r="G22" s="107"/>
      <c r="H22" s="107"/>
    </row>
    <row r="23" spans="1:13" s="8" customFormat="1" x14ac:dyDescent="0.3">
      <c r="B23" s="8" t="s">
        <v>87</v>
      </c>
      <c r="C23" s="104" t="s">
        <v>4</v>
      </c>
      <c r="D23" s="104" t="s">
        <v>5</v>
      </c>
      <c r="E23" s="104" t="s">
        <v>6</v>
      </c>
      <c r="F23" s="105" t="s">
        <v>7</v>
      </c>
      <c r="G23" s="105" t="s">
        <v>8</v>
      </c>
      <c r="H23" s="105" t="s">
        <v>9</v>
      </c>
    </row>
    <row r="24" spans="1:13" s="8" customFormat="1" x14ac:dyDescent="0.3">
      <c r="B24" s="8" t="s">
        <v>88</v>
      </c>
      <c r="C24" s="66">
        <v>1000</v>
      </c>
      <c r="D24" s="66">
        <v>1048.3870967741934</v>
      </c>
      <c r="E24" s="66">
        <v>1100</v>
      </c>
      <c r="F24" s="115">
        <f>+F3/$K24</f>
        <v>1154.1538461538462</v>
      </c>
      <c r="G24" s="115">
        <f t="shared" ref="F24:H26" si="12">+G3/$K24</f>
        <v>1210.9737278106509</v>
      </c>
      <c r="H24" s="115">
        <f t="shared" si="12"/>
        <v>1270.5908959490214</v>
      </c>
      <c r="J24" s="8" t="s">
        <v>221</v>
      </c>
      <c r="K24" s="72">
        <v>3.1</v>
      </c>
      <c r="L24" s="71"/>
      <c r="M24" s="71"/>
    </row>
    <row r="25" spans="1:13" s="8" customFormat="1" x14ac:dyDescent="0.3">
      <c r="B25" s="8" t="s">
        <v>89</v>
      </c>
      <c r="C25" s="66">
        <v>1000</v>
      </c>
      <c r="D25" s="66">
        <v>1031.25</v>
      </c>
      <c r="E25" s="66">
        <v>1062.5</v>
      </c>
      <c r="F25" s="115">
        <f>+F4/$K25</f>
        <v>1094.6969696969695</v>
      </c>
      <c r="G25" s="115">
        <f t="shared" si="12"/>
        <v>1127.8696051423324</v>
      </c>
      <c r="H25" s="115">
        <f t="shared" si="12"/>
        <v>1162.0474719648273</v>
      </c>
      <c r="J25" s="8" t="s">
        <v>221</v>
      </c>
      <c r="K25" s="72">
        <v>1.6</v>
      </c>
    </row>
    <row r="26" spans="1:13" s="8" customFormat="1" x14ac:dyDescent="0.3">
      <c r="B26" s="8" t="s">
        <v>90</v>
      </c>
      <c r="C26" s="66">
        <v>1000.0000000000001</v>
      </c>
      <c r="D26" s="66">
        <v>1057.1428571428571</v>
      </c>
      <c r="E26" s="66">
        <v>1121.4285714285716</v>
      </c>
      <c r="F26" s="115">
        <f t="shared" si="12"/>
        <v>1189.6235521235521</v>
      </c>
      <c r="G26" s="115">
        <f t="shared" si="12"/>
        <v>1261.9655248878221</v>
      </c>
      <c r="H26" s="115">
        <f t="shared" si="12"/>
        <v>1338.7066716715408</v>
      </c>
      <c r="J26" s="8" t="s">
        <v>221</v>
      </c>
      <c r="K26" s="72">
        <v>1.4</v>
      </c>
    </row>
    <row r="27" spans="1:13" s="8" customFormat="1" ht="15.75" thickBot="1" x14ac:dyDescent="0.35">
      <c r="B27" s="21"/>
      <c r="C27" s="73">
        <f>+SUM(C24:C26)</f>
        <v>3000</v>
      </c>
      <c r="D27" s="73">
        <f t="shared" ref="D27:H27" si="13">+SUM(D24:D26)</f>
        <v>3136.7799539170501</v>
      </c>
      <c r="E27" s="73">
        <f t="shared" si="13"/>
        <v>3283.9285714285716</v>
      </c>
      <c r="F27" s="73">
        <f t="shared" si="13"/>
        <v>3438.4743679743679</v>
      </c>
      <c r="G27" s="73">
        <f t="shared" si="13"/>
        <v>3600.8088578408056</v>
      </c>
      <c r="H27" s="73">
        <f t="shared" si="13"/>
        <v>3771.3450395853897</v>
      </c>
      <c r="K27" s="18"/>
    </row>
    <row r="28" spans="1:13" s="8" customFormat="1" ht="15.75" thickTop="1" x14ac:dyDescent="0.3">
      <c r="B28" s="8" t="s">
        <v>91</v>
      </c>
      <c r="C28" s="66">
        <v>10000</v>
      </c>
      <c r="D28" s="66">
        <v>10000</v>
      </c>
      <c r="E28" s="66">
        <v>13333.333333333334</v>
      </c>
      <c r="F28" s="123">
        <f>+F8/$K$28</f>
        <v>15333.333333333332</v>
      </c>
      <c r="G28" s="123">
        <f t="shared" ref="G28:H28" si="14">+G8/$K$28</f>
        <v>17633.333333333328</v>
      </c>
      <c r="H28" s="123">
        <f t="shared" si="14"/>
        <v>20278.333333333328</v>
      </c>
      <c r="J28" s="8" t="s">
        <v>221</v>
      </c>
      <c r="K28" s="8">
        <v>0.12</v>
      </c>
      <c r="L28" s="18"/>
    </row>
    <row r="29" spans="1:13" s="8" customFormat="1" ht="15.75" thickBot="1" x14ac:dyDescent="0.35">
      <c r="B29" s="21"/>
      <c r="C29" s="73">
        <f>C28</f>
        <v>10000</v>
      </c>
      <c r="D29" s="73">
        <f t="shared" ref="D29:E29" si="15">D28</f>
        <v>10000</v>
      </c>
      <c r="E29" s="73">
        <f t="shared" si="15"/>
        <v>13333.333333333334</v>
      </c>
      <c r="F29" s="73">
        <f t="shared" ref="F29" si="16">F28</f>
        <v>15333.333333333332</v>
      </c>
      <c r="G29" s="73">
        <f t="shared" ref="G29" si="17">G28</f>
        <v>17633.333333333328</v>
      </c>
      <c r="H29" s="73">
        <f t="shared" ref="H29" si="18">H28</f>
        <v>20278.333333333328</v>
      </c>
      <c r="L29" s="18"/>
    </row>
    <row r="30" spans="1:13" s="8" customFormat="1" ht="15.75" thickTop="1" x14ac:dyDescent="0.3">
      <c r="C30" s="18"/>
      <c r="D30" s="18"/>
      <c r="E30" s="18"/>
      <c r="F30" s="18"/>
      <c r="G30" s="18"/>
      <c r="H30" s="18"/>
    </row>
    <row r="31" spans="1:13" s="8" customFormat="1" hidden="1" x14ac:dyDescent="0.3">
      <c r="C31" s="18"/>
      <c r="D31" s="18"/>
      <c r="E31" s="18"/>
      <c r="F31" s="18"/>
      <c r="G31" s="18"/>
      <c r="H31" s="18"/>
    </row>
    <row r="32" spans="1:13" s="8" customFormat="1" hidden="1" x14ac:dyDescent="0.3">
      <c r="C32" s="18">
        <v>7300</v>
      </c>
      <c r="D32" s="18">
        <v>7580</v>
      </c>
      <c r="E32" s="18">
        <v>8280</v>
      </c>
      <c r="F32" s="18"/>
      <c r="G32" s="18"/>
      <c r="H32" s="18"/>
    </row>
    <row r="33" spans="2:10" s="8" customFormat="1" hidden="1" x14ac:dyDescent="0.3">
      <c r="B33" s="8" t="s">
        <v>73</v>
      </c>
      <c r="C33" s="18"/>
      <c r="D33" s="26">
        <f t="shared" ref="D33:E35" si="19">D3/C3</f>
        <v>1.0483870967741935</v>
      </c>
      <c r="E33" s="26">
        <f t="shared" si="19"/>
        <v>1.0492307692307692</v>
      </c>
      <c r="F33" s="18"/>
      <c r="G33" s="26">
        <f>D24/C24</f>
        <v>1.0483870967741935</v>
      </c>
      <c r="H33" s="26">
        <f>E24/D24</f>
        <v>1.0492307692307694</v>
      </c>
    </row>
    <row r="34" spans="2:10" s="8" customFormat="1" hidden="1" x14ac:dyDescent="0.3">
      <c r="B34" s="8" t="s">
        <v>75</v>
      </c>
      <c r="C34" s="18"/>
      <c r="D34" s="26">
        <f t="shared" si="19"/>
        <v>1.03125</v>
      </c>
      <c r="E34" s="26">
        <f t="shared" si="19"/>
        <v>1.0303030303030303</v>
      </c>
      <c r="F34" s="18"/>
      <c r="G34" s="26">
        <f t="shared" ref="G34:H34" si="20">D25/C25</f>
        <v>1.03125</v>
      </c>
      <c r="H34" s="26">
        <f t="shared" si="20"/>
        <v>1.0303030303030303</v>
      </c>
    </row>
    <row r="35" spans="2:10" s="8" customFormat="1" hidden="1" x14ac:dyDescent="0.3">
      <c r="B35" s="8" t="s">
        <v>77</v>
      </c>
      <c r="C35" s="18"/>
      <c r="D35" s="26">
        <f t="shared" si="19"/>
        <v>1.0571428571428572</v>
      </c>
      <c r="E35" s="26">
        <f t="shared" si="19"/>
        <v>1.0608108108108107</v>
      </c>
      <c r="F35" s="18"/>
      <c r="G35" s="26">
        <f t="shared" ref="G35:H35" si="21">D26/C26</f>
        <v>1.0571428571428569</v>
      </c>
      <c r="H35" s="26">
        <f t="shared" si="21"/>
        <v>1.060810810810811</v>
      </c>
    </row>
    <row r="36" spans="2:10" s="8" customFormat="1" hidden="1" x14ac:dyDescent="0.3">
      <c r="B36" s="22"/>
      <c r="C36" s="18"/>
      <c r="D36" s="26"/>
      <c r="E36" s="26"/>
      <c r="F36" s="18"/>
      <c r="G36" s="18"/>
    </row>
    <row r="37" spans="2:10" s="8" customFormat="1" hidden="1" x14ac:dyDescent="0.3">
      <c r="B37" s="8" t="s">
        <v>80</v>
      </c>
      <c r="C37" s="18"/>
      <c r="D37" s="26">
        <f>D8/C8</f>
        <v>1</v>
      </c>
      <c r="E37" s="26">
        <f>E8/D8</f>
        <v>1.3333333333333333</v>
      </c>
      <c r="F37" s="18"/>
      <c r="G37" s="18"/>
    </row>
    <row r="38" spans="2:10" s="8" customFormat="1" x14ac:dyDescent="0.3">
      <c r="B38" s="152" t="s">
        <v>212</v>
      </c>
      <c r="C38" s="18"/>
      <c r="D38" s="18"/>
      <c r="E38" s="18"/>
      <c r="F38" s="18"/>
      <c r="G38" s="18"/>
      <c r="J38" s="164"/>
    </row>
    <row r="39" spans="2:10" s="8" customFormat="1" x14ac:dyDescent="0.3">
      <c r="B39" s="152" t="s">
        <v>86</v>
      </c>
      <c r="C39" s="18"/>
      <c r="D39" s="18"/>
      <c r="E39" s="18"/>
      <c r="F39" s="18"/>
      <c r="G39" s="18"/>
    </row>
    <row r="40" spans="2:10" s="8" customFormat="1" x14ac:dyDescent="0.3">
      <c r="B40" s="151" t="s">
        <v>213</v>
      </c>
      <c r="C40" s="18"/>
      <c r="D40" s="161">
        <f t="shared" ref="D40:E42" si="22">+(D3/C3)-1</f>
        <v>4.8387096774193505E-2</v>
      </c>
      <c r="E40" s="161">
        <f t="shared" si="22"/>
        <v>4.9230769230769189E-2</v>
      </c>
      <c r="F40" s="30"/>
      <c r="G40" s="30"/>
      <c r="H40" s="30"/>
    </row>
    <row r="41" spans="2:10" s="8" customFormat="1" x14ac:dyDescent="0.3">
      <c r="B41" s="151" t="s">
        <v>214</v>
      </c>
      <c r="C41" s="18"/>
      <c r="D41" s="161">
        <f t="shared" si="22"/>
        <v>3.125E-2</v>
      </c>
      <c r="E41" s="161">
        <f t="shared" si="22"/>
        <v>3.0303030303030276E-2</v>
      </c>
      <c r="F41" s="18"/>
      <c r="G41" s="18"/>
      <c r="H41" s="18"/>
    </row>
    <row r="42" spans="2:10" s="8" customFormat="1" x14ac:dyDescent="0.3">
      <c r="B42" s="151" t="s">
        <v>215</v>
      </c>
      <c r="C42" s="18"/>
      <c r="D42" s="161">
        <f t="shared" si="22"/>
        <v>5.7142857142857162E-2</v>
      </c>
      <c r="E42" s="161">
        <f t="shared" si="22"/>
        <v>6.0810810810810745E-2</v>
      </c>
      <c r="F42" s="18"/>
      <c r="G42" s="18"/>
      <c r="H42" s="18"/>
    </row>
    <row r="43" spans="2:10" s="8" customFormat="1" x14ac:dyDescent="0.3">
      <c r="C43" s="18"/>
      <c r="D43" s="161">
        <f>+(D8/C8)-1</f>
        <v>0</v>
      </c>
      <c r="E43" s="161">
        <f>+(E8/D8)-1</f>
        <v>0.33333333333333326</v>
      </c>
      <c r="F43" s="26">
        <f>+(D43+E43)/2</f>
        <v>0.16666666666666663</v>
      </c>
      <c r="G43" s="18"/>
      <c r="H43" s="18"/>
    </row>
    <row r="44" spans="2:10" s="8" customFormat="1" x14ac:dyDescent="0.3">
      <c r="C44" s="18"/>
      <c r="D44" s="18"/>
      <c r="E44" s="18"/>
      <c r="F44" s="18"/>
      <c r="G44" s="18"/>
      <c r="H44" s="18"/>
    </row>
    <row r="45" spans="2:10" s="8" customFormat="1" x14ac:dyDescent="0.3">
      <c r="B45" s="152" t="s">
        <v>81</v>
      </c>
      <c r="C45" s="18"/>
      <c r="D45" s="161"/>
      <c r="E45" s="18"/>
      <c r="F45" s="18"/>
      <c r="G45" s="18"/>
      <c r="H45" s="18"/>
    </row>
    <row r="46" spans="2:10" s="8" customFormat="1" x14ac:dyDescent="0.3">
      <c r="C46" s="18"/>
      <c r="D46" s="18"/>
      <c r="E46" s="18"/>
      <c r="F46" s="18"/>
      <c r="G46" s="18"/>
      <c r="H46" s="18"/>
    </row>
    <row r="47" spans="2:10" s="8" customFormat="1" x14ac:dyDescent="0.3">
      <c r="C47" s="18"/>
      <c r="D47" s="18"/>
      <c r="E47" s="18"/>
      <c r="F47" s="18"/>
      <c r="G47" s="18"/>
      <c r="H47" s="18"/>
    </row>
    <row r="48" spans="2:10" s="8" customFormat="1" x14ac:dyDescent="0.3">
      <c r="C48" s="70">
        <f>+C9+C6</f>
        <v>7300</v>
      </c>
      <c r="D48" s="70">
        <f t="shared" ref="D48:H48" si="23">+D9+D6</f>
        <v>7580</v>
      </c>
      <c r="E48" s="70">
        <f t="shared" si="23"/>
        <v>8280</v>
      </c>
      <c r="F48" s="70">
        <f t="shared" si="23"/>
        <v>8834.8650475650484</v>
      </c>
      <c r="G48" s="70">
        <f t="shared" si="23"/>
        <v>9441.3616592837006</v>
      </c>
      <c r="H48" s="70">
        <f t="shared" si="23"/>
        <v>10105.697072925846</v>
      </c>
    </row>
    <row r="49" spans="2:8" s="8" customFormat="1" x14ac:dyDescent="0.3">
      <c r="C49" s="18">
        <v>608.33333333333337</v>
      </c>
      <c r="D49" s="18">
        <v>631.66666666666663</v>
      </c>
      <c r="E49" s="18">
        <v>690</v>
      </c>
      <c r="F49" s="18"/>
      <c r="G49" s="18"/>
    </row>
    <row r="50" spans="2:8" s="8" customFormat="1" x14ac:dyDescent="0.3">
      <c r="C50" s="18"/>
      <c r="D50" s="18"/>
      <c r="E50" s="18"/>
      <c r="F50" s="18"/>
      <c r="G50" s="18"/>
    </row>
    <row r="51" spans="2:8" s="8" customFormat="1" x14ac:dyDescent="0.3">
      <c r="B51" s="8" t="s">
        <v>252</v>
      </c>
      <c r="C51" s="174">
        <f>+C49/C48</f>
        <v>8.3333333333333343E-2</v>
      </c>
      <c r="D51" s="174">
        <f t="shared" ref="D51:E51" si="24">+D49/D48</f>
        <v>8.3333333333333329E-2</v>
      </c>
      <c r="E51" s="174">
        <f t="shared" si="24"/>
        <v>8.3333333333333329E-2</v>
      </c>
      <c r="F51" s="18">
        <f>+$E$51*F48</f>
        <v>736.23875396375399</v>
      </c>
      <c r="G51" s="18">
        <f>+$E$51*G48</f>
        <v>786.78013827364168</v>
      </c>
      <c r="H51" s="18">
        <f>+$E$51*H48</f>
        <v>842.1414227438205</v>
      </c>
    </row>
    <row r="52" spans="2:8" s="8" customFormat="1" x14ac:dyDescent="0.3">
      <c r="C52" s="18"/>
      <c r="D52" s="18"/>
      <c r="E52" s="18"/>
      <c r="F52" s="18"/>
      <c r="G52" s="18"/>
    </row>
    <row r="53" spans="2:8" s="8" customFormat="1" x14ac:dyDescent="0.3">
      <c r="C53" s="71"/>
      <c r="D53" s="71"/>
      <c r="E53" s="71"/>
      <c r="F53" s="18"/>
      <c r="G53" s="18"/>
    </row>
    <row r="54" spans="2:8" s="8" customFormat="1" x14ac:dyDescent="0.3">
      <c r="C54" s="18"/>
      <c r="D54" s="18"/>
      <c r="E54" s="18"/>
      <c r="F54" s="18"/>
      <c r="G54" s="18"/>
      <c r="H54" s="18"/>
    </row>
    <row r="55" spans="2:8" s="8" customFormat="1" x14ac:dyDescent="0.3">
      <c r="C55" s="18"/>
      <c r="D55" s="18"/>
      <c r="E55" s="18"/>
      <c r="F55" s="18"/>
      <c r="G55" s="18"/>
    </row>
    <row r="56" spans="2:8" s="8" customFormat="1" x14ac:dyDescent="0.3">
      <c r="C56" s="18"/>
      <c r="D56" s="18"/>
      <c r="E56" s="18"/>
      <c r="F56" s="18"/>
      <c r="G56" s="18"/>
    </row>
    <row r="57" spans="2:8" s="8" customFormat="1" x14ac:dyDescent="0.3">
      <c r="C57" s="18"/>
      <c r="D57" s="18"/>
      <c r="E57" s="18"/>
      <c r="F57" s="18"/>
      <c r="G57" s="18"/>
    </row>
    <row r="58" spans="2:8" s="8" customFormat="1" x14ac:dyDescent="0.3">
      <c r="C58" s="18"/>
      <c r="D58" s="18"/>
      <c r="E58" s="18"/>
      <c r="F58" s="18"/>
      <c r="G58" s="18"/>
    </row>
    <row r="59" spans="2:8" s="8" customFormat="1" x14ac:dyDescent="0.3">
      <c r="C59" s="18"/>
      <c r="D59" s="18"/>
      <c r="E59" s="18"/>
      <c r="F59" s="18"/>
      <c r="G59" s="18"/>
    </row>
    <row r="60" spans="2:8" s="8" customFormat="1" x14ac:dyDescent="0.3">
      <c r="C60" s="18"/>
      <c r="D60" s="18"/>
      <c r="E60" s="18"/>
      <c r="F60" s="18"/>
      <c r="G60" s="18"/>
      <c r="H60" s="18"/>
    </row>
    <row r="61" spans="2:8" s="8" customFormat="1" x14ac:dyDescent="0.3">
      <c r="C61" s="18"/>
      <c r="D61" s="18"/>
      <c r="E61" s="18"/>
      <c r="F61" s="18"/>
      <c r="G61" s="18"/>
      <c r="H61" s="18"/>
    </row>
    <row r="62" spans="2:8" s="8" customFormat="1" x14ac:dyDescent="0.3">
      <c r="C62" s="18"/>
      <c r="D62" s="18"/>
      <c r="E62" s="18"/>
      <c r="F62" s="18"/>
      <c r="G62" s="18"/>
    </row>
    <row r="63" spans="2:8" s="8" customFormat="1" x14ac:dyDescent="0.3">
      <c r="C63" s="26"/>
      <c r="D63" s="26"/>
      <c r="E63" s="26"/>
      <c r="F63" s="18"/>
      <c r="G63" s="18"/>
    </row>
    <row r="64" spans="2:8" s="8" customFormat="1" x14ac:dyDescent="0.3">
      <c r="C64" s="18"/>
      <c r="D64" s="18"/>
      <c r="E64" s="18"/>
      <c r="F64" s="18"/>
      <c r="G64" s="18"/>
    </row>
    <row r="65" spans="3:8" s="8" customFormat="1" x14ac:dyDescent="0.3">
      <c r="C65" s="18"/>
      <c r="D65" s="18"/>
      <c r="E65" s="18"/>
      <c r="F65" s="18"/>
      <c r="G65" s="18"/>
    </row>
    <row r="66" spans="3:8" s="8" customFormat="1" x14ac:dyDescent="0.3">
      <c r="C66" s="30"/>
      <c r="D66" s="30"/>
      <c r="E66" s="30"/>
      <c r="F66" s="18"/>
      <c r="G66" s="18"/>
    </row>
    <row r="67" spans="3:8" s="8" customFormat="1" x14ac:dyDescent="0.3">
      <c r="C67" s="18"/>
      <c r="D67" s="18"/>
      <c r="E67" s="18"/>
      <c r="F67" s="18"/>
      <c r="G67" s="18"/>
    </row>
    <row r="68" spans="3:8" s="8" customFormat="1" x14ac:dyDescent="0.3">
      <c r="C68" s="18"/>
      <c r="D68" s="18"/>
      <c r="E68" s="18"/>
      <c r="F68" s="18"/>
      <c r="G68" s="18"/>
    </row>
    <row r="69" spans="3:8" s="8" customFormat="1" x14ac:dyDescent="0.3">
      <c r="C69" s="18"/>
      <c r="D69" s="18"/>
      <c r="E69" s="18"/>
      <c r="F69" s="18"/>
      <c r="G69" s="18"/>
    </row>
    <row r="70" spans="3:8" s="8" customFormat="1" x14ac:dyDescent="0.3">
      <c r="C70" s="18"/>
      <c r="D70" s="18"/>
      <c r="E70" s="18"/>
      <c r="F70" s="18"/>
      <c r="G70" s="18"/>
    </row>
    <row r="71" spans="3:8" s="8" customFormat="1" x14ac:dyDescent="0.3">
      <c r="C71" s="30"/>
      <c r="D71" s="30"/>
      <c r="E71" s="30"/>
      <c r="F71" s="18"/>
      <c r="G71" s="18"/>
      <c r="H71" s="18"/>
    </row>
    <row r="72" spans="3:8" s="8" customFormat="1" x14ac:dyDescent="0.3">
      <c r="C72" s="18"/>
      <c r="D72" s="18"/>
      <c r="E72" s="18"/>
      <c r="F72" s="18"/>
      <c r="G72" s="18"/>
    </row>
    <row r="73" spans="3:8" s="8" customFormat="1" x14ac:dyDescent="0.3">
      <c r="C73" s="18"/>
      <c r="D73" s="18"/>
      <c r="E73" s="18"/>
      <c r="F73" s="18"/>
      <c r="G73" s="18"/>
    </row>
    <row r="74" spans="3:8" s="8" customFormat="1" x14ac:dyDescent="0.3">
      <c r="C74" s="18"/>
      <c r="D74" s="18"/>
      <c r="E74" s="18"/>
      <c r="F74" s="18"/>
      <c r="G74" s="18"/>
      <c r="H74" s="18"/>
    </row>
    <row r="75" spans="3:8" s="8" customFormat="1" x14ac:dyDescent="0.3">
      <c r="C75" s="18"/>
      <c r="D75" s="18"/>
      <c r="E75" s="18"/>
      <c r="F75" s="18"/>
      <c r="G75" s="18"/>
    </row>
    <row r="76" spans="3:8" s="8" customFormat="1" x14ac:dyDescent="0.3">
      <c r="C76" s="18"/>
      <c r="D76" s="18"/>
      <c r="E76" s="18"/>
      <c r="F76" s="18"/>
      <c r="G76" s="18"/>
    </row>
    <row r="77" spans="3:8" s="8" customFormat="1" x14ac:dyDescent="0.3">
      <c r="C77" s="18"/>
      <c r="D77" s="18"/>
      <c r="E77" s="18"/>
      <c r="F77" s="18"/>
      <c r="G77" s="18"/>
    </row>
    <row r="78" spans="3:8" s="8" customFormat="1" x14ac:dyDescent="0.3">
      <c r="C78" s="18"/>
      <c r="D78" s="18"/>
      <c r="E78" s="18"/>
      <c r="F78" s="18"/>
      <c r="G78" s="18"/>
    </row>
    <row r="79" spans="3:8" s="8" customFormat="1" x14ac:dyDescent="0.3">
      <c r="C79" s="18"/>
      <c r="D79" s="18"/>
      <c r="E79" s="18"/>
      <c r="F79" s="18"/>
      <c r="G79" s="18"/>
    </row>
    <row r="80" spans="3:8" s="8" customFormat="1" x14ac:dyDescent="0.3">
      <c r="C80" s="18"/>
      <c r="D80" s="18"/>
      <c r="E80" s="18"/>
      <c r="F80" s="18"/>
      <c r="G80" s="18"/>
    </row>
    <row r="81" spans="3:7" s="8" customFormat="1" x14ac:dyDescent="0.3">
      <c r="C81" s="18"/>
      <c r="D81" s="18"/>
      <c r="E81" s="18"/>
      <c r="F81" s="18"/>
      <c r="G81" s="18"/>
    </row>
    <row r="82" spans="3:7" s="8" customFormat="1" x14ac:dyDescent="0.3">
      <c r="C82" s="18"/>
      <c r="D82" s="18"/>
      <c r="E82" s="18"/>
      <c r="F82" s="18"/>
      <c r="G82" s="18"/>
    </row>
    <row r="83" spans="3:7" s="8" customFormat="1" x14ac:dyDescent="0.3">
      <c r="C83" s="18"/>
      <c r="D83" s="18"/>
      <c r="E83" s="18"/>
      <c r="F83" s="18"/>
      <c r="G83" s="18"/>
    </row>
    <row r="84" spans="3:7" s="8" customFormat="1" x14ac:dyDescent="0.3">
      <c r="C84" s="18"/>
      <c r="D84" s="18"/>
      <c r="E84" s="18"/>
      <c r="F84" s="18"/>
      <c r="G84" s="18"/>
    </row>
    <row r="85" spans="3:7" s="8" customFormat="1" x14ac:dyDescent="0.3">
      <c r="C85" s="18"/>
      <c r="D85" s="18"/>
      <c r="E85" s="18"/>
      <c r="F85" s="18"/>
      <c r="G85" s="18"/>
    </row>
    <row r="86" spans="3:7" s="8" customFormat="1" x14ac:dyDescent="0.3">
      <c r="C86" s="18"/>
      <c r="D86" s="18"/>
      <c r="E86" s="18"/>
      <c r="F86" s="18"/>
      <c r="G86" s="18"/>
    </row>
    <row r="87" spans="3:7" s="8" customFormat="1" x14ac:dyDescent="0.3">
      <c r="C87" s="18"/>
      <c r="D87" s="18"/>
      <c r="E87" s="18"/>
      <c r="F87" s="18"/>
      <c r="G87" s="18"/>
    </row>
    <row r="88" spans="3:7" s="8" customFormat="1" x14ac:dyDescent="0.3">
      <c r="C88" s="18"/>
      <c r="D88" s="18"/>
      <c r="E88" s="18"/>
      <c r="F88" s="18"/>
      <c r="G88" s="18"/>
    </row>
    <row r="89" spans="3:7" s="8" customFormat="1" x14ac:dyDescent="0.3">
      <c r="C89" s="18"/>
      <c r="D89" s="18"/>
      <c r="E89" s="18"/>
      <c r="F89" s="18"/>
      <c r="G89" s="18"/>
    </row>
    <row r="90" spans="3:7" s="8" customFormat="1" x14ac:dyDescent="0.3">
      <c r="C90" s="18"/>
      <c r="D90" s="18"/>
      <c r="E90" s="18"/>
      <c r="F90" s="18"/>
      <c r="G90" s="18"/>
    </row>
    <row r="91" spans="3:7" s="8" customFormat="1" x14ac:dyDescent="0.3">
      <c r="C91" s="18"/>
      <c r="D91" s="18"/>
      <c r="E91" s="18"/>
      <c r="F91" s="18"/>
      <c r="G91" s="18"/>
    </row>
    <row r="92" spans="3:7" s="8" customFormat="1" x14ac:dyDescent="0.3">
      <c r="C92" s="18"/>
      <c r="D92" s="18"/>
      <c r="E92" s="18"/>
      <c r="F92" s="18"/>
      <c r="G92" s="18"/>
    </row>
    <row r="93" spans="3:7" s="8" customFormat="1" x14ac:dyDescent="0.3">
      <c r="C93" s="18"/>
      <c r="D93" s="18"/>
      <c r="E93" s="18"/>
      <c r="F93" s="18"/>
      <c r="G93" s="18"/>
    </row>
    <row r="94" spans="3:7" s="8" customFormat="1" x14ac:dyDescent="0.3">
      <c r="C94" s="18"/>
      <c r="D94" s="18"/>
      <c r="E94" s="18"/>
      <c r="F94" s="18"/>
      <c r="G94" s="18"/>
    </row>
    <row r="95" spans="3:7" s="8" customFormat="1" x14ac:dyDescent="0.3">
      <c r="C95" s="18"/>
      <c r="D95" s="18"/>
      <c r="E95" s="18"/>
      <c r="F95" s="18"/>
      <c r="G95" s="18"/>
    </row>
    <row r="96" spans="3:7" s="8" customFormat="1" x14ac:dyDescent="0.3">
      <c r="C96" s="18"/>
      <c r="D96" s="18"/>
      <c r="E96" s="18"/>
      <c r="F96" s="18"/>
      <c r="G96" s="18"/>
    </row>
    <row r="97" spans="3:7" s="8" customFormat="1" x14ac:dyDescent="0.3">
      <c r="C97" s="18"/>
      <c r="D97" s="18"/>
      <c r="E97" s="18"/>
      <c r="F97" s="18"/>
      <c r="G97" s="18"/>
    </row>
    <row r="98" spans="3:7" s="8" customFormat="1" x14ac:dyDescent="0.3">
      <c r="C98" s="18"/>
      <c r="D98" s="18"/>
      <c r="E98" s="18"/>
      <c r="F98" s="18"/>
      <c r="G98" s="18"/>
    </row>
    <row r="99" spans="3:7" s="8" customFormat="1" x14ac:dyDescent="0.3">
      <c r="C99" s="18"/>
      <c r="D99" s="18"/>
      <c r="E99" s="18"/>
      <c r="F99" s="18"/>
      <c r="G99" s="18"/>
    </row>
    <row r="100" spans="3:7" s="8" customFormat="1" x14ac:dyDescent="0.3">
      <c r="C100" s="18"/>
      <c r="D100" s="18"/>
      <c r="E100" s="18"/>
      <c r="F100" s="18"/>
      <c r="G100" s="18"/>
    </row>
    <row r="101" spans="3:7" s="8" customFormat="1" x14ac:dyDescent="0.3">
      <c r="C101" s="18"/>
      <c r="D101" s="18"/>
      <c r="E101" s="18"/>
      <c r="F101" s="18"/>
      <c r="G101" s="18"/>
    </row>
    <row r="102" spans="3:7" s="8" customFormat="1" x14ac:dyDescent="0.3">
      <c r="C102" s="18"/>
      <c r="D102" s="18"/>
      <c r="E102" s="18"/>
      <c r="F102" s="18"/>
      <c r="G102" s="18"/>
    </row>
    <row r="103" spans="3:7" s="8" customFormat="1" x14ac:dyDescent="0.3">
      <c r="C103" s="18"/>
      <c r="D103" s="18"/>
      <c r="E103" s="18"/>
      <c r="F103" s="18"/>
      <c r="G103" s="18"/>
    </row>
    <row r="104" spans="3:7" s="8" customFormat="1" x14ac:dyDescent="0.3">
      <c r="C104" s="18"/>
      <c r="D104" s="18"/>
      <c r="E104" s="18"/>
      <c r="F104" s="18"/>
      <c r="G104" s="18"/>
    </row>
    <row r="105" spans="3:7" s="8" customFormat="1" x14ac:dyDescent="0.3">
      <c r="C105" s="18"/>
      <c r="D105" s="18"/>
      <c r="E105" s="18"/>
      <c r="F105" s="18"/>
      <c r="G105" s="18"/>
    </row>
    <row r="106" spans="3:7" s="8" customFormat="1" x14ac:dyDescent="0.3">
      <c r="C106" s="18"/>
      <c r="D106" s="18"/>
      <c r="E106" s="18"/>
      <c r="F106" s="18"/>
      <c r="G106" s="18"/>
    </row>
    <row r="107" spans="3:7" s="8" customFormat="1" x14ac:dyDescent="0.3">
      <c r="C107" s="18"/>
      <c r="D107" s="18"/>
      <c r="E107" s="18"/>
      <c r="F107" s="18"/>
      <c r="G107" s="18"/>
    </row>
    <row r="108" spans="3:7" s="8" customFormat="1" x14ac:dyDescent="0.3">
      <c r="C108" s="18"/>
      <c r="D108" s="18"/>
      <c r="E108" s="18"/>
      <c r="F108" s="18"/>
      <c r="G108" s="18"/>
    </row>
    <row r="109" spans="3:7" s="8" customFormat="1" x14ac:dyDescent="0.3">
      <c r="C109" s="18"/>
      <c r="D109" s="18"/>
      <c r="E109" s="18"/>
      <c r="F109" s="18"/>
      <c r="G109" s="18"/>
    </row>
    <row r="110" spans="3:7" s="8" customFormat="1" x14ac:dyDescent="0.3">
      <c r="C110" s="18"/>
      <c r="D110" s="18"/>
      <c r="E110" s="18"/>
      <c r="F110" s="18"/>
      <c r="G110" s="18"/>
    </row>
    <row r="111" spans="3:7" s="8" customFormat="1" x14ac:dyDescent="0.3">
      <c r="C111" s="18"/>
      <c r="D111" s="18"/>
      <c r="E111" s="18"/>
      <c r="F111" s="18"/>
      <c r="G111" s="18"/>
    </row>
    <row r="112" spans="3:7" s="8" customFormat="1" x14ac:dyDescent="0.3">
      <c r="C112" s="18"/>
      <c r="D112" s="18"/>
      <c r="E112" s="18"/>
      <c r="F112" s="18"/>
      <c r="G112" s="18"/>
    </row>
    <row r="113" spans="3:7" s="8" customFormat="1" x14ac:dyDescent="0.3">
      <c r="C113" s="18"/>
      <c r="D113" s="18"/>
      <c r="E113" s="18"/>
      <c r="F113" s="18"/>
      <c r="G113" s="18"/>
    </row>
    <row r="114" spans="3:7" s="8" customFormat="1" x14ac:dyDescent="0.3">
      <c r="C114" s="18"/>
      <c r="D114" s="18"/>
      <c r="E114" s="18"/>
      <c r="F114" s="18"/>
      <c r="G114" s="18"/>
    </row>
    <row r="115" spans="3:7" s="8" customFormat="1" x14ac:dyDescent="0.3">
      <c r="C115" s="18"/>
      <c r="D115" s="18"/>
      <c r="E115" s="18"/>
      <c r="F115" s="18"/>
      <c r="G115" s="18"/>
    </row>
    <row r="116" spans="3:7" s="8" customFormat="1" x14ac:dyDescent="0.3">
      <c r="C116" s="18"/>
      <c r="D116" s="18"/>
      <c r="E116" s="18"/>
      <c r="F116" s="18"/>
      <c r="G116" s="18"/>
    </row>
    <row r="117" spans="3:7" s="8" customFormat="1" x14ac:dyDescent="0.3">
      <c r="C117" s="18"/>
      <c r="D117" s="18"/>
      <c r="E117" s="18"/>
      <c r="F117" s="18"/>
      <c r="G117" s="18"/>
    </row>
    <row r="118" spans="3:7" s="8" customFormat="1" x14ac:dyDescent="0.3">
      <c r="C118" s="18"/>
      <c r="D118" s="18"/>
      <c r="E118" s="18"/>
      <c r="F118" s="18"/>
      <c r="G118" s="18"/>
    </row>
    <row r="119" spans="3:7" s="8" customFormat="1" x14ac:dyDescent="0.3">
      <c r="C119" s="18"/>
      <c r="D119" s="18"/>
      <c r="E119" s="18"/>
      <c r="F119" s="18"/>
      <c r="G119" s="18"/>
    </row>
    <row r="120" spans="3:7" s="8" customFormat="1" x14ac:dyDescent="0.3">
      <c r="C120" s="18"/>
      <c r="D120" s="18"/>
      <c r="E120" s="18"/>
      <c r="F120" s="18"/>
      <c r="G120" s="18"/>
    </row>
    <row r="121" spans="3:7" s="8" customFormat="1" x14ac:dyDescent="0.3">
      <c r="C121" s="18"/>
      <c r="D121" s="18"/>
      <c r="E121" s="18"/>
      <c r="F121" s="18"/>
      <c r="G121" s="18"/>
    </row>
    <row r="122" spans="3:7" s="8" customFormat="1" x14ac:dyDescent="0.3">
      <c r="C122" s="18"/>
      <c r="D122" s="18"/>
      <c r="E122" s="18"/>
      <c r="F122" s="18"/>
      <c r="G122" s="18"/>
    </row>
    <row r="123" spans="3:7" s="8" customFormat="1" x14ac:dyDescent="0.3">
      <c r="C123" s="18"/>
      <c r="D123" s="18"/>
      <c r="E123" s="18"/>
      <c r="F123" s="18"/>
      <c r="G123" s="18"/>
    </row>
    <row r="124" spans="3:7" s="8" customFormat="1" x14ac:dyDescent="0.3">
      <c r="C124" s="18"/>
      <c r="D124" s="18"/>
      <c r="E124" s="18"/>
      <c r="F124" s="18"/>
      <c r="G124" s="18"/>
    </row>
    <row r="125" spans="3:7" s="8" customFormat="1" x14ac:dyDescent="0.3">
      <c r="C125" s="18"/>
      <c r="D125" s="18"/>
      <c r="E125" s="18"/>
      <c r="F125" s="18"/>
      <c r="G125" s="18"/>
    </row>
    <row r="126" spans="3:7" s="8" customFormat="1" x14ac:dyDescent="0.3">
      <c r="C126" s="18"/>
      <c r="D126" s="18"/>
      <c r="E126" s="18"/>
      <c r="F126" s="18"/>
      <c r="G126" s="18"/>
    </row>
    <row r="127" spans="3:7" s="8" customFormat="1" x14ac:dyDescent="0.3">
      <c r="C127" s="18"/>
      <c r="D127" s="18"/>
      <c r="E127" s="18"/>
      <c r="F127" s="18"/>
      <c r="G127" s="18"/>
    </row>
    <row r="128" spans="3:7" s="8" customFormat="1" x14ac:dyDescent="0.3">
      <c r="C128" s="18"/>
      <c r="D128" s="18"/>
      <c r="E128" s="18"/>
      <c r="F128" s="18"/>
      <c r="G128" s="18"/>
    </row>
    <row r="129" spans="3:7" s="8" customFormat="1" x14ac:dyDescent="0.3">
      <c r="C129" s="18"/>
      <c r="D129" s="18"/>
      <c r="E129" s="18"/>
      <c r="F129" s="18"/>
      <c r="G129" s="18"/>
    </row>
    <row r="130" spans="3:7" s="8" customFormat="1" x14ac:dyDescent="0.3">
      <c r="C130" s="18"/>
      <c r="D130" s="18"/>
      <c r="E130" s="18"/>
      <c r="F130" s="18"/>
      <c r="G130" s="18"/>
    </row>
    <row r="131" spans="3:7" s="8" customFormat="1" x14ac:dyDescent="0.3">
      <c r="C131" s="18"/>
      <c r="D131" s="18"/>
      <c r="E131" s="18"/>
      <c r="F131" s="18"/>
      <c r="G131" s="18"/>
    </row>
    <row r="132" spans="3:7" s="8" customFormat="1" x14ac:dyDescent="0.3">
      <c r="C132" s="18"/>
      <c r="D132" s="18"/>
      <c r="E132" s="18"/>
      <c r="F132" s="18"/>
      <c r="G132" s="18"/>
    </row>
    <row r="133" spans="3:7" s="8" customFormat="1" x14ac:dyDescent="0.3">
      <c r="C133" s="18"/>
      <c r="D133" s="18"/>
      <c r="E133" s="18"/>
      <c r="F133" s="18"/>
      <c r="G133" s="18"/>
    </row>
    <row r="134" spans="3:7" s="8" customFormat="1" x14ac:dyDescent="0.3">
      <c r="C134" s="18"/>
      <c r="D134" s="18"/>
      <c r="E134" s="18"/>
      <c r="F134" s="18"/>
      <c r="G134" s="18"/>
    </row>
    <row r="135" spans="3:7" s="8" customFormat="1" x14ac:dyDescent="0.3">
      <c r="C135" s="18"/>
      <c r="D135" s="18"/>
      <c r="E135" s="18"/>
      <c r="F135" s="18"/>
      <c r="G135" s="18"/>
    </row>
    <row r="136" spans="3:7" s="8" customFormat="1" x14ac:dyDescent="0.3">
      <c r="C136" s="18"/>
      <c r="D136" s="18"/>
      <c r="E136" s="18"/>
      <c r="F136" s="18"/>
      <c r="G136" s="18"/>
    </row>
    <row r="137" spans="3:7" s="8" customFormat="1" x14ac:dyDescent="0.3">
      <c r="C137" s="18"/>
      <c r="D137" s="18"/>
      <c r="E137" s="18"/>
      <c r="F137" s="18"/>
      <c r="G137" s="18"/>
    </row>
    <row r="138" spans="3:7" s="8" customFormat="1" x14ac:dyDescent="0.3">
      <c r="C138" s="18"/>
      <c r="D138" s="18"/>
      <c r="E138" s="18"/>
      <c r="F138" s="18"/>
      <c r="G138" s="18"/>
    </row>
    <row r="139" spans="3:7" s="8" customFormat="1" x14ac:dyDescent="0.3">
      <c r="C139" s="18"/>
      <c r="D139" s="18"/>
      <c r="E139" s="18"/>
      <c r="F139" s="18"/>
      <c r="G139" s="18"/>
    </row>
    <row r="140" spans="3:7" s="8" customFormat="1" x14ac:dyDescent="0.3">
      <c r="C140" s="18"/>
      <c r="D140" s="18"/>
      <c r="E140" s="18"/>
      <c r="F140" s="18"/>
      <c r="G140" s="18"/>
    </row>
    <row r="141" spans="3:7" s="8" customFormat="1" x14ac:dyDescent="0.3">
      <c r="C141" s="18"/>
      <c r="D141" s="18"/>
      <c r="E141" s="18"/>
      <c r="F141" s="18"/>
      <c r="G141" s="18"/>
    </row>
    <row r="142" spans="3:7" s="8" customFormat="1" x14ac:dyDescent="0.3">
      <c r="C142" s="18"/>
      <c r="D142" s="18"/>
      <c r="E142" s="18"/>
      <c r="F142" s="18"/>
      <c r="G142" s="18"/>
    </row>
    <row r="143" spans="3:7" s="8" customFormat="1" x14ac:dyDescent="0.3">
      <c r="C143" s="18"/>
      <c r="D143" s="18"/>
      <c r="E143" s="18"/>
      <c r="F143" s="18"/>
      <c r="G143" s="18"/>
    </row>
    <row r="144" spans="3:7" s="8" customFormat="1" x14ac:dyDescent="0.3">
      <c r="C144" s="18"/>
      <c r="D144" s="18"/>
      <c r="E144" s="18"/>
      <c r="F144" s="18"/>
      <c r="G144" s="18"/>
    </row>
    <row r="145" spans="3:7" s="8" customFormat="1" x14ac:dyDescent="0.3">
      <c r="C145" s="18"/>
      <c r="D145" s="18"/>
      <c r="E145" s="18"/>
      <c r="F145" s="18"/>
      <c r="G145" s="18"/>
    </row>
    <row r="146" spans="3:7" s="8" customFormat="1" x14ac:dyDescent="0.3">
      <c r="C146" s="18"/>
      <c r="D146" s="18"/>
      <c r="E146" s="18"/>
      <c r="F146" s="18"/>
      <c r="G146" s="18"/>
    </row>
    <row r="147" spans="3:7" s="8" customFormat="1" x14ac:dyDescent="0.3">
      <c r="C147" s="18"/>
      <c r="D147" s="18"/>
      <c r="E147" s="18"/>
      <c r="F147" s="18"/>
      <c r="G147" s="18"/>
    </row>
    <row r="148" spans="3:7" s="8" customFormat="1" x14ac:dyDescent="0.3">
      <c r="C148" s="18"/>
      <c r="D148" s="18"/>
      <c r="E148" s="18"/>
      <c r="F148" s="18"/>
      <c r="G148" s="18"/>
    </row>
    <row r="149" spans="3:7" s="8" customFormat="1" x14ac:dyDescent="0.3">
      <c r="C149" s="18"/>
      <c r="D149" s="18"/>
      <c r="E149" s="18"/>
      <c r="F149" s="18"/>
      <c r="G149" s="18"/>
    </row>
    <row r="150" spans="3:7" s="8" customFormat="1" x14ac:dyDescent="0.3">
      <c r="C150" s="18"/>
      <c r="D150" s="18"/>
      <c r="E150" s="18"/>
      <c r="F150" s="18"/>
      <c r="G150" s="18"/>
    </row>
    <row r="151" spans="3:7" s="8" customFormat="1" x14ac:dyDescent="0.3">
      <c r="C151" s="18"/>
      <c r="D151" s="18"/>
      <c r="E151" s="18"/>
      <c r="F151" s="18"/>
      <c r="G151" s="18"/>
    </row>
    <row r="152" spans="3:7" s="8" customFormat="1" x14ac:dyDescent="0.3">
      <c r="C152" s="18"/>
      <c r="D152" s="18"/>
      <c r="E152" s="18"/>
      <c r="F152" s="18"/>
      <c r="G152" s="18"/>
    </row>
    <row r="153" spans="3:7" s="8" customFormat="1" x14ac:dyDescent="0.3">
      <c r="C153" s="18"/>
      <c r="D153" s="18"/>
      <c r="E153" s="18"/>
      <c r="F153" s="18"/>
      <c r="G153" s="18"/>
    </row>
    <row r="154" spans="3:7" s="8" customFormat="1" x14ac:dyDescent="0.3">
      <c r="C154" s="18"/>
      <c r="D154" s="18"/>
      <c r="E154" s="18"/>
      <c r="F154" s="18"/>
      <c r="G154" s="18"/>
    </row>
    <row r="155" spans="3:7" s="8" customFormat="1" x14ac:dyDescent="0.3">
      <c r="C155" s="18"/>
      <c r="D155" s="18"/>
      <c r="E155" s="18"/>
      <c r="F155" s="18"/>
      <c r="G155" s="18"/>
    </row>
    <row r="156" spans="3:7" s="8" customFormat="1" x14ac:dyDescent="0.3">
      <c r="C156" s="18"/>
      <c r="D156" s="18"/>
      <c r="E156" s="18"/>
      <c r="F156" s="18"/>
      <c r="G156" s="18"/>
    </row>
    <row r="157" spans="3:7" s="8" customFormat="1" x14ac:dyDescent="0.3">
      <c r="C157" s="18"/>
      <c r="D157" s="18"/>
      <c r="E157" s="18"/>
      <c r="F157" s="18"/>
      <c r="G157" s="18"/>
    </row>
    <row r="158" spans="3:7" s="8" customFormat="1" x14ac:dyDescent="0.3">
      <c r="C158" s="18"/>
      <c r="D158" s="18"/>
      <c r="E158" s="18"/>
      <c r="F158" s="18"/>
      <c r="G158" s="18"/>
    </row>
    <row r="159" spans="3:7" s="8" customFormat="1" x14ac:dyDescent="0.3">
      <c r="C159" s="18"/>
      <c r="D159" s="18"/>
      <c r="E159" s="18"/>
      <c r="F159" s="18"/>
      <c r="G159" s="18"/>
    </row>
    <row r="160" spans="3:7" s="8" customFormat="1" x14ac:dyDescent="0.3">
      <c r="C160" s="18"/>
      <c r="D160" s="18"/>
      <c r="E160" s="18"/>
      <c r="F160" s="18"/>
      <c r="G160" s="18"/>
    </row>
    <row r="161" spans="3:7" s="8" customFormat="1" x14ac:dyDescent="0.3">
      <c r="C161" s="18"/>
      <c r="D161" s="18"/>
      <c r="E161" s="18"/>
      <c r="F161" s="18"/>
      <c r="G161" s="18"/>
    </row>
    <row r="162" spans="3:7" s="8" customFormat="1" x14ac:dyDescent="0.3">
      <c r="C162" s="18"/>
      <c r="D162" s="18"/>
      <c r="E162" s="18"/>
      <c r="F162" s="18"/>
      <c r="G162" s="18"/>
    </row>
    <row r="163" spans="3:7" s="8" customFormat="1" x14ac:dyDescent="0.3">
      <c r="C163" s="18"/>
      <c r="D163" s="18"/>
      <c r="E163" s="18"/>
      <c r="F163" s="18"/>
      <c r="G163" s="18"/>
    </row>
    <row r="164" spans="3:7" s="8" customFormat="1" x14ac:dyDescent="0.3">
      <c r="C164" s="18"/>
      <c r="D164" s="18"/>
      <c r="E164" s="18"/>
      <c r="F164" s="18"/>
      <c r="G164" s="18"/>
    </row>
    <row r="165" spans="3:7" s="8" customFormat="1" x14ac:dyDescent="0.3">
      <c r="C165" s="18"/>
      <c r="D165" s="18"/>
      <c r="E165" s="18"/>
      <c r="F165" s="18"/>
      <c r="G165" s="18"/>
    </row>
    <row r="166" spans="3:7" s="8" customFormat="1" x14ac:dyDescent="0.3">
      <c r="C166" s="18"/>
      <c r="D166" s="18"/>
      <c r="E166" s="18"/>
      <c r="F166" s="18"/>
      <c r="G166" s="18"/>
    </row>
    <row r="167" spans="3:7" s="8" customFormat="1" x14ac:dyDescent="0.3">
      <c r="C167" s="18"/>
      <c r="D167" s="18"/>
      <c r="E167" s="18"/>
      <c r="F167" s="18"/>
      <c r="G167" s="18"/>
    </row>
    <row r="168" spans="3:7" s="8" customFormat="1" x14ac:dyDescent="0.3">
      <c r="C168" s="18"/>
      <c r="D168" s="18"/>
      <c r="E168" s="18"/>
      <c r="F168" s="18"/>
      <c r="G168" s="18"/>
    </row>
    <row r="169" spans="3:7" s="8" customFormat="1" x14ac:dyDescent="0.3">
      <c r="C169" s="18"/>
      <c r="D169" s="18"/>
      <c r="E169" s="18"/>
      <c r="F169" s="18"/>
      <c r="G169" s="18"/>
    </row>
    <row r="170" spans="3:7" s="8" customFormat="1" x14ac:dyDescent="0.3">
      <c r="C170" s="18"/>
      <c r="D170" s="18"/>
      <c r="E170" s="18"/>
      <c r="F170" s="18"/>
      <c r="G170" s="18"/>
    </row>
    <row r="171" spans="3:7" s="8" customFormat="1" x14ac:dyDescent="0.3">
      <c r="C171" s="18"/>
      <c r="D171" s="18"/>
      <c r="E171" s="18"/>
      <c r="F171" s="18"/>
      <c r="G171" s="18"/>
    </row>
    <row r="172" spans="3:7" s="8" customFormat="1" x14ac:dyDescent="0.3">
      <c r="C172" s="18"/>
      <c r="D172" s="18"/>
      <c r="E172" s="18"/>
      <c r="F172" s="18"/>
      <c r="G172" s="18"/>
    </row>
    <row r="173" spans="3:7" s="8" customFormat="1" x14ac:dyDescent="0.3">
      <c r="C173" s="18"/>
      <c r="D173" s="18"/>
      <c r="E173" s="18"/>
      <c r="F173" s="18"/>
      <c r="G173" s="18"/>
    </row>
    <row r="174" spans="3:7" s="8" customFormat="1" x14ac:dyDescent="0.3">
      <c r="C174" s="18"/>
      <c r="D174" s="18"/>
      <c r="E174" s="18"/>
      <c r="F174" s="18"/>
      <c r="G174" s="18"/>
    </row>
    <row r="175" spans="3:7" s="8" customFormat="1" x14ac:dyDescent="0.3">
      <c r="D175" s="18"/>
      <c r="E175" s="18"/>
    </row>
    <row r="176" spans="3:7" s="8" customFormat="1" x14ac:dyDescent="0.3">
      <c r="D176" s="18"/>
      <c r="E176" s="18"/>
    </row>
    <row r="177" spans="4:5" s="8" customFormat="1" x14ac:dyDescent="0.3">
      <c r="D177" s="18"/>
      <c r="E177" s="18"/>
    </row>
    <row r="178" spans="4:5" s="8" customFormat="1" x14ac:dyDescent="0.3">
      <c r="D178" s="18"/>
      <c r="E178" s="18"/>
    </row>
    <row r="179" spans="4:5" s="8" customFormat="1" x14ac:dyDescent="0.3">
      <c r="D179" s="18"/>
      <c r="E179" s="18"/>
    </row>
    <row r="180" spans="4:5" s="8" customFormat="1" x14ac:dyDescent="0.3">
      <c r="D180" s="18"/>
      <c r="E180" s="18"/>
    </row>
    <row r="181" spans="4:5" s="8" customFormat="1" x14ac:dyDescent="0.3">
      <c r="D181" s="18"/>
      <c r="E181" s="18"/>
    </row>
    <row r="182" spans="4:5" s="8" customFormat="1" x14ac:dyDescent="0.3">
      <c r="D182" s="18"/>
      <c r="E182" s="18"/>
    </row>
    <row r="183" spans="4:5" s="8" customFormat="1" x14ac:dyDescent="0.3">
      <c r="D183" s="18"/>
      <c r="E183" s="18"/>
    </row>
    <row r="184" spans="4:5" s="8" customFormat="1" x14ac:dyDescent="0.3">
      <c r="D184" s="18"/>
      <c r="E184" s="18"/>
    </row>
    <row r="185" spans="4:5" s="8" customFormat="1" x14ac:dyDescent="0.3">
      <c r="D185" s="18"/>
      <c r="E185" s="18"/>
    </row>
    <row r="186" spans="4:5" s="8" customFormat="1" x14ac:dyDescent="0.3">
      <c r="D186" s="18"/>
      <c r="E186" s="18"/>
    </row>
    <row r="187" spans="4:5" s="8" customFormat="1" x14ac:dyDescent="0.3">
      <c r="D187" s="18"/>
      <c r="E187" s="18"/>
    </row>
    <row r="188" spans="4:5" s="8" customFormat="1" x14ac:dyDescent="0.3">
      <c r="D188" s="18"/>
      <c r="E188" s="18"/>
    </row>
    <row r="189" spans="4:5" s="8" customFormat="1" x14ac:dyDescent="0.3">
      <c r="D189" s="18"/>
      <c r="E189" s="18"/>
    </row>
    <row r="190" spans="4:5" s="8" customFormat="1" x14ac:dyDescent="0.3">
      <c r="D190" s="18"/>
      <c r="E190" s="18"/>
    </row>
    <row r="191" spans="4:5" s="8" customFormat="1" x14ac:dyDescent="0.3">
      <c r="D191" s="18"/>
      <c r="E191" s="18"/>
    </row>
    <row r="192" spans="4:5" s="8" customFormat="1" x14ac:dyDescent="0.3">
      <c r="D192" s="18"/>
      <c r="E192" s="18"/>
    </row>
    <row r="193" spans="4:5" s="8" customFormat="1" x14ac:dyDescent="0.3">
      <c r="D193" s="18"/>
      <c r="E193" s="18"/>
    </row>
    <row r="194" spans="4:5" s="8" customFormat="1" x14ac:dyDescent="0.3">
      <c r="D194" s="18"/>
      <c r="E194" s="18"/>
    </row>
    <row r="195" spans="4:5" s="8" customFormat="1" x14ac:dyDescent="0.3">
      <c r="D195" s="18"/>
      <c r="E195" s="18"/>
    </row>
    <row r="196" spans="4:5" s="8" customFormat="1" x14ac:dyDescent="0.3">
      <c r="D196" s="18"/>
      <c r="E196" s="18"/>
    </row>
    <row r="197" spans="4:5" s="8" customFormat="1" x14ac:dyDescent="0.3">
      <c r="D197" s="18"/>
      <c r="E197" s="18"/>
    </row>
    <row r="198" spans="4:5" s="8" customFormat="1" x14ac:dyDescent="0.3">
      <c r="D198" s="18"/>
      <c r="E198" s="18"/>
    </row>
    <row r="199" spans="4:5" s="8" customFormat="1" x14ac:dyDescent="0.3">
      <c r="D199" s="18"/>
      <c r="E199" s="18"/>
    </row>
    <row r="200" spans="4:5" s="8" customFormat="1" x14ac:dyDescent="0.3">
      <c r="D200" s="18"/>
      <c r="E200" s="18"/>
    </row>
    <row r="201" spans="4:5" s="8" customFormat="1" x14ac:dyDescent="0.3">
      <c r="D201" s="18"/>
      <c r="E201" s="18"/>
    </row>
    <row r="202" spans="4:5" s="8" customFormat="1" x14ac:dyDescent="0.3">
      <c r="D202" s="18"/>
      <c r="E202" s="18"/>
    </row>
    <row r="203" spans="4:5" s="8" customFormat="1" x14ac:dyDescent="0.3">
      <c r="D203" s="18"/>
      <c r="E203" s="18"/>
    </row>
    <row r="204" spans="4:5" s="8" customFormat="1" x14ac:dyDescent="0.3">
      <c r="D204" s="18"/>
      <c r="E204" s="18"/>
    </row>
    <row r="205" spans="4:5" s="8" customFormat="1" x14ac:dyDescent="0.3">
      <c r="D205" s="18"/>
      <c r="E205" s="18"/>
    </row>
    <row r="206" spans="4:5" s="8" customFormat="1" x14ac:dyDescent="0.3">
      <c r="D206" s="18"/>
      <c r="E206" s="18"/>
    </row>
    <row r="207" spans="4:5" s="8" customFormat="1" x14ac:dyDescent="0.3">
      <c r="D207" s="18"/>
      <c r="E207" s="18"/>
    </row>
    <row r="208" spans="4:5" s="8" customFormat="1" x14ac:dyDescent="0.3">
      <c r="D208" s="18"/>
      <c r="E208" s="18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1293-3985-4B5F-A8B7-7B5D68591F1C}">
  <sheetPr>
    <tabColor theme="5" tint="0.79998168889431442"/>
  </sheetPr>
  <dimension ref="A1:AT191"/>
  <sheetViews>
    <sheetView zoomScale="135" zoomScaleNormal="100" workbookViewId="0">
      <pane ySplit="1" topLeftCell="A3" activePane="bottomLeft" state="frozen"/>
      <selection activeCell="B31" sqref="A31:XFD37"/>
      <selection pane="bottomLeft" activeCell="G6" sqref="G6"/>
    </sheetView>
  </sheetViews>
  <sheetFormatPr defaultColWidth="11" defaultRowHeight="15" x14ac:dyDescent="0.3"/>
  <cols>
    <col min="1" max="1" width="9.125" style="8" customWidth="1"/>
    <col min="2" max="2" width="30.125" style="8" bestFit="1" customWidth="1"/>
    <col min="3" max="9" width="11" style="1"/>
    <col min="10" max="46" width="11" style="8"/>
    <col min="47" max="16384" width="11" style="1"/>
  </cols>
  <sheetData>
    <row r="1" spans="1:11" x14ac:dyDescent="0.3">
      <c r="A1" s="3" t="s">
        <v>92</v>
      </c>
      <c r="B1" s="51"/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11" s="8" customFormat="1" ht="5.0999999999999996" customHeight="1" x14ac:dyDescent="0.3"/>
    <row r="3" spans="1:11" s="8" customFormat="1" x14ac:dyDescent="0.3">
      <c r="B3" s="8" t="s">
        <v>93</v>
      </c>
      <c r="C3" s="18"/>
      <c r="D3" s="66">
        <f>REV_sbE!C27*0.6</f>
        <v>1800</v>
      </c>
      <c r="E3" s="66">
        <f>REV_sbE!D27*0.6</f>
        <v>1882.0679723502299</v>
      </c>
      <c r="F3" s="66">
        <f>REV_sbE!E27*0.6</f>
        <v>1970.3571428571429</v>
      </c>
      <c r="G3" s="116">
        <f>+$J$3*G8</f>
        <v>2235.0083391833391</v>
      </c>
      <c r="H3" s="116">
        <f t="shared" ref="H3:I3" si="0">+$J$3*H8</f>
        <v>2340.5257575965238</v>
      </c>
      <c r="I3" s="116">
        <f t="shared" si="0"/>
        <v>2451.3742757305035</v>
      </c>
      <c r="J3" s="8">
        <v>0.65</v>
      </c>
    </row>
    <row r="4" spans="1:11" s="8" customFormat="1" x14ac:dyDescent="0.3">
      <c r="B4" s="8" t="s">
        <v>94</v>
      </c>
      <c r="C4" s="18"/>
      <c r="D4" s="66">
        <f>D3*0.1</f>
        <v>180</v>
      </c>
      <c r="E4" s="66">
        <f t="shared" ref="E4:F4" si="1">E3*0.1</f>
        <v>188.206797235023</v>
      </c>
      <c r="F4" s="66">
        <f t="shared" si="1"/>
        <v>197.03571428571431</v>
      </c>
      <c r="G4" s="116">
        <f>+G8*$J$4</f>
        <v>223.50083391833391</v>
      </c>
      <c r="H4" s="116">
        <f t="shared" ref="H4:I4" si="2">+H8*$J$4</f>
        <v>234.05257575965237</v>
      </c>
      <c r="I4" s="116">
        <f t="shared" si="2"/>
        <v>245.13742757305033</v>
      </c>
      <c r="J4" s="8">
        <v>6.5000000000000002E-2</v>
      </c>
    </row>
    <row r="5" spans="1:11" s="8" customFormat="1" x14ac:dyDescent="0.3">
      <c r="B5" s="8" t="s">
        <v>95</v>
      </c>
      <c r="C5" s="18"/>
      <c r="D5" s="66">
        <f>REV_sbE!C28*0.05</f>
        <v>500</v>
      </c>
      <c r="E5" s="66">
        <f>REV_sbE!D28*0.06</f>
        <v>600</v>
      </c>
      <c r="F5" s="66">
        <f>REV_sbE!E28*0.06</f>
        <v>800</v>
      </c>
      <c r="G5" s="124">
        <f>+E29</f>
        <v>919.99999999999989</v>
      </c>
      <c r="H5" s="124">
        <f>+I32</f>
        <v>857.99999999999977</v>
      </c>
      <c r="I5" s="124">
        <f>+M32</f>
        <v>1016.6999999999997</v>
      </c>
    </row>
    <row r="6" spans="1:11" s="8" customFormat="1" ht="15.75" thickBot="1" x14ac:dyDescent="0.35">
      <c r="A6" s="39" t="s">
        <v>96</v>
      </c>
      <c r="B6" s="39"/>
      <c r="C6" s="39"/>
      <c r="D6" s="108">
        <f t="shared" ref="D6:I6" si="3">+D5+D4+D3</f>
        <v>2480</v>
      </c>
      <c r="E6" s="108">
        <f t="shared" si="3"/>
        <v>2670.2747695852531</v>
      </c>
      <c r="F6" s="108">
        <f t="shared" si="3"/>
        <v>2967.3928571428573</v>
      </c>
      <c r="G6" s="108">
        <f t="shared" si="3"/>
        <v>3378.5091731016728</v>
      </c>
      <c r="H6" s="108">
        <f t="shared" si="3"/>
        <v>3432.5783333561758</v>
      </c>
      <c r="I6" s="108">
        <f t="shared" si="3"/>
        <v>3713.2117033035538</v>
      </c>
      <c r="K6" s="18"/>
    </row>
    <row r="7" spans="1:11" s="8" customFormat="1" ht="15.75" thickTop="1" x14ac:dyDescent="0.3">
      <c r="D7" s="66"/>
      <c r="E7" s="66"/>
      <c r="F7" s="66"/>
      <c r="G7" s="66"/>
      <c r="H7" s="66"/>
      <c r="I7" s="66"/>
      <c r="K7" s="18"/>
    </row>
    <row r="8" spans="1:11" s="8" customFormat="1" x14ac:dyDescent="0.3">
      <c r="B8" s="40"/>
      <c r="C8" s="41"/>
      <c r="D8" s="109"/>
      <c r="E8" s="109"/>
      <c r="F8" s="109"/>
      <c r="G8" s="109">
        <f>+SUM(REV_sbE!F24,REV_sbE!F25,REV_sbE!F26)</f>
        <v>3438.4743679743679</v>
      </c>
      <c r="H8" s="109">
        <f>+SUM(REV_sbE!G24,REV_sbE!G25,REV_sbE!G26)</f>
        <v>3600.8088578408056</v>
      </c>
      <c r="I8" s="109">
        <f>+SUM(REV_sbE!H24,REV_sbE!H25,REV_sbE!H26)</f>
        <v>3771.3450395853897</v>
      </c>
      <c r="K8" s="18"/>
    </row>
    <row r="9" spans="1:11" s="8" customFormat="1" x14ac:dyDescent="0.3">
      <c r="B9" s="40"/>
      <c r="C9" s="42"/>
      <c r="D9" s="109"/>
      <c r="E9" s="109"/>
      <c r="F9" s="109"/>
      <c r="G9" s="168"/>
      <c r="H9" s="109"/>
      <c r="I9" s="109"/>
    </row>
    <row r="10" spans="1:11" s="8" customFormat="1" x14ac:dyDescent="0.3">
      <c r="D10" s="66"/>
      <c r="E10" s="66"/>
      <c r="F10" s="66"/>
      <c r="G10" s="66"/>
      <c r="H10" s="66"/>
      <c r="I10" s="66"/>
    </row>
    <row r="11" spans="1:11" s="8" customFormat="1" x14ac:dyDescent="0.3">
      <c r="D11" s="66"/>
      <c r="E11" s="66"/>
      <c r="F11" s="66"/>
      <c r="G11" s="66"/>
      <c r="H11" s="66"/>
      <c r="I11" s="66"/>
    </row>
    <row r="12" spans="1:11" s="8" customFormat="1" x14ac:dyDescent="0.3">
      <c r="D12" s="66"/>
      <c r="E12" s="66"/>
      <c r="F12" s="66"/>
      <c r="G12" s="66"/>
      <c r="H12" s="66"/>
      <c r="I12" s="66"/>
      <c r="K12" s="18"/>
    </row>
    <row r="13" spans="1:11" s="8" customFormat="1" x14ac:dyDescent="0.3">
      <c r="D13" s="66"/>
      <c r="E13" s="66"/>
      <c r="F13" s="66"/>
      <c r="G13" s="66"/>
      <c r="H13" s="66"/>
      <c r="I13" s="66"/>
    </row>
    <row r="14" spans="1:11" x14ac:dyDescent="0.3">
      <c r="A14" s="3" t="s">
        <v>97</v>
      </c>
      <c r="B14" s="51"/>
      <c r="C14" s="3"/>
      <c r="D14" s="104" t="s">
        <v>4</v>
      </c>
      <c r="E14" s="104" t="s">
        <v>5</v>
      </c>
      <c r="F14" s="104" t="s">
        <v>6</v>
      </c>
      <c r="G14" s="110" t="s">
        <v>7</v>
      </c>
      <c r="H14" s="110" t="s">
        <v>8</v>
      </c>
      <c r="I14" s="111" t="s">
        <v>9</v>
      </c>
    </row>
    <row r="15" spans="1:11" s="8" customFormat="1" ht="5.0999999999999996" customHeight="1" x14ac:dyDescent="0.3">
      <c r="D15" s="66"/>
      <c r="E15" s="66"/>
      <c r="F15" s="66"/>
      <c r="G15" s="66"/>
      <c r="H15" s="66"/>
      <c r="I15" s="66"/>
    </row>
    <row r="16" spans="1:11" s="8" customFormat="1" x14ac:dyDescent="0.3">
      <c r="B16" s="8" t="s">
        <v>98</v>
      </c>
      <c r="C16" s="18"/>
      <c r="D16" s="66">
        <f>REV_sbE!C3*0.1</f>
        <v>310</v>
      </c>
      <c r="E16" s="66">
        <f>REV_sbE!D3*0.1</f>
        <v>325</v>
      </c>
      <c r="F16" s="66">
        <f>REV_sbE!E3*0.1</f>
        <v>341</v>
      </c>
      <c r="G16" s="116">
        <f>+AVERAGE(D16:F16)</f>
        <v>325.33333333333331</v>
      </c>
      <c r="H16" s="116">
        <f t="shared" ref="H16:I16" si="4">+AVERAGE(E16:G16)</f>
        <v>330.4444444444444</v>
      </c>
      <c r="I16" s="116">
        <f t="shared" si="4"/>
        <v>332.25925925925918</v>
      </c>
    </row>
    <row r="17" spans="1:13" s="8" customFormat="1" x14ac:dyDescent="0.3">
      <c r="B17" s="8" t="s">
        <v>99</v>
      </c>
      <c r="C17" s="18"/>
      <c r="D17" s="66">
        <f>REV_sbE!C4*0.1</f>
        <v>160</v>
      </c>
      <c r="E17" s="66">
        <f>REV_sbE!D4*0.1</f>
        <v>165</v>
      </c>
      <c r="F17" s="66">
        <v>70</v>
      </c>
      <c r="G17" s="116">
        <f t="shared" ref="G17:G19" si="5">+AVERAGE(D17:F17)</f>
        <v>131.66666666666666</v>
      </c>
      <c r="H17" s="116">
        <f t="shared" ref="H17:H19" si="6">+AVERAGE(E17:G17)</f>
        <v>122.22222222222221</v>
      </c>
      <c r="I17" s="116">
        <f t="shared" ref="I17:I19" si="7">+AVERAGE(F17:H17)</f>
        <v>107.96296296296295</v>
      </c>
    </row>
    <row r="18" spans="1:13" s="8" customFormat="1" x14ac:dyDescent="0.3">
      <c r="B18" s="8" t="s">
        <v>100</v>
      </c>
      <c r="C18" s="18"/>
      <c r="D18" s="66">
        <f>REV_sbE!C5*0.09</f>
        <v>126</v>
      </c>
      <c r="E18" s="66">
        <f>REV_sbE!D5*0.09</f>
        <v>133.19999999999999</v>
      </c>
      <c r="F18" s="66">
        <f>REV_sbE!E5*0.09</f>
        <v>141.29999999999998</v>
      </c>
      <c r="G18" s="116">
        <f t="shared" si="5"/>
        <v>133.5</v>
      </c>
      <c r="H18" s="116">
        <f t="shared" si="6"/>
        <v>136</v>
      </c>
      <c r="I18" s="116">
        <f t="shared" si="7"/>
        <v>136.93333333333331</v>
      </c>
    </row>
    <row r="19" spans="1:13" s="8" customFormat="1" x14ac:dyDescent="0.3">
      <c r="B19" s="8" t="s">
        <v>101</v>
      </c>
      <c r="C19" s="18"/>
      <c r="D19" s="66">
        <f>REV_sbE!C8*0.06</f>
        <v>72</v>
      </c>
      <c r="E19" s="66">
        <f>REV_sbE!D8*0.06</f>
        <v>72</v>
      </c>
      <c r="F19" s="66">
        <v>85</v>
      </c>
      <c r="G19" s="116">
        <f t="shared" si="5"/>
        <v>76.333333333333329</v>
      </c>
      <c r="H19" s="116">
        <f t="shared" si="6"/>
        <v>77.777777777777771</v>
      </c>
      <c r="I19" s="116">
        <f t="shared" si="7"/>
        <v>79.703703703703695</v>
      </c>
    </row>
    <row r="20" spans="1:13" s="8" customFormat="1" ht="15.75" thickBot="1" x14ac:dyDescent="0.35">
      <c r="A20" s="39" t="s">
        <v>96</v>
      </c>
      <c r="B20" s="39"/>
      <c r="C20" s="39"/>
      <c r="D20" s="108">
        <f>+D19+D17+D16+D18</f>
        <v>668</v>
      </c>
      <c r="E20" s="108">
        <f t="shared" ref="E20:I20" si="8">+E19+E17+E16+E18</f>
        <v>695.2</v>
      </c>
      <c r="F20" s="108">
        <f t="shared" si="8"/>
        <v>637.29999999999995</v>
      </c>
      <c r="G20" s="108">
        <f t="shared" si="8"/>
        <v>666.83333333333326</v>
      </c>
      <c r="H20" s="108">
        <f t="shared" si="8"/>
        <v>666.44444444444434</v>
      </c>
      <c r="I20" s="108">
        <f t="shared" si="8"/>
        <v>656.85925925925915</v>
      </c>
    </row>
    <row r="21" spans="1:13" s="8" customFormat="1" ht="15.75" thickTop="1" x14ac:dyDescent="0.3">
      <c r="D21" s="66"/>
      <c r="E21" s="66"/>
      <c r="F21" s="66"/>
      <c r="G21" s="66"/>
      <c r="H21" s="66"/>
      <c r="I21" s="66"/>
    </row>
    <row r="22" spans="1:13" s="8" customFormat="1" x14ac:dyDescent="0.3">
      <c r="D22" s="106">
        <f>D20+D6</f>
        <v>3148</v>
      </c>
      <c r="E22" s="106">
        <f>E20+E6</f>
        <v>3365.4747695852529</v>
      </c>
      <c r="F22" s="106">
        <f t="shared" ref="F22:I22" si="9">F20+F6</f>
        <v>3604.6928571428571</v>
      </c>
      <c r="G22" s="106">
        <f t="shared" si="9"/>
        <v>4045.3425064350058</v>
      </c>
      <c r="H22" s="106">
        <f t="shared" si="9"/>
        <v>4099.0227778006201</v>
      </c>
      <c r="I22" s="106">
        <f t="shared" si="9"/>
        <v>4370.0709625628133</v>
      </c>
    </row>
    <row r="23" spans="1:13" s="8" customFormat="1" x14ac:dyDescent="0.3">
      <c r="D23" s="66"/>
      <c r="E23" s="66"/>
      <c r="F23" s="66"/>
      <c r="G23" s="66"/>
      <c r="H23" s="66"/>
      <c r="I23" s="66"/>
    </row>
    <row r="24" spans="1:13" s="8" customFormat="1" x14ac:dyDescent="0.3">
      <c r="B24" s="8">
        <v>-1</v>
      </c>
      <c r="C24" s="8">
        <f>+BS!G33</f>
        <v>-230</v>
      </c>
      <c r="D24" s="8">
        <f>+C24*B24</f>
        <v>230</v>
      </c>
      <c r="E24" s="8">
        <v>245</v>
      </c>
      <c r="F24" s="8">
        <v>250</v>
      </c>
      <c r="G24" s="65">
        <f>+G22*$G$26</f>
        <v>283.17397545045043</v>
      </c>
      <c r="H24" s="65">
        <f>+H22*$G$26</f>
        <v>286.93159444604345</v>
      </c>
      <c r="I24" s="65">
        <f>+I22*$G$26</f>
        <v>305.90496737939696</v>
      </c>
    </row>
    <row r="25" spans="1:13" s="8" customFormat="1" x14ac:dyDescent="0.3">
      <c r="D25" s="26">
        <f>+D24/D22</f>
        <v>7.3062261753494284E-2</v>
      </c>
      <c r="E25" s="26">
        <f t="shared" ref="E25:F25" si="10">+E24/E22</f>
        <v>7.2798049836574105E-2</v>
      </c>
      <c r="F25" s="26">
        <f t="shared" si="10"/>
        <v>6.9354036504001723E-2</v>
      </c>
    </row>
    <row r="26" spans="1:13" s="8" customFormat="1" x14ac:dyDescent="0.3">
      <c r="G26" s="173">
        <v>7.0000000000000007E-2</v>
      </c>
    </row>
    <row r="27" spans="1:13" s="8" customFormat="1" x14ac:dyDescent="0.3">
      <c r="A27" s="152" t="s">
        <v>92</v>
      </c>
    </row>
    <row r="28" spans="1:13" s="8" customFormat="1" x14ac:dyDescent="0.3"/>
    <row r="29" spans="1:13" s="8" customFormat="1" x14ac:dyDescent="0.3">
      <c r="B29" s="8" t="s">
        <v>222</v>
      </c>
      <c r="C29" s="167">
        <v>15333.333333333332</v>
      </c>
      <c r="D29" s="8">
        <v>0.06</v>
      </c>
      <c r="E29" s="141">
        <f>+D29*C29</f>
        <v>919.99999999999989</v>
      </c>
      <c r="G29" s="8">
        <f>+REV_sbE!G28</f>
        <v>17633.333333333328</v>
      </c>
      <c r="K29" s="8">
        <f>+REV_sbE!H28</f>
        <v>20278.333333333328</v>
      </c>
    </row>
    <row r="30" spans="1:13" s="8" customFormat="1" x14ac:dyDescent="0.3">
      <c r="B30" s="8" t="s">
        <v>223</v>
      </c>
      <c r="G30" s="8">
        <v>10000</v>
      </c>
      <c r="H30" s="8">
        <v>0.04</v>
      </c>
      <c r="I30" s="8">
        <f>+G30*H30</f>
        <v>400</v>
      </c>
      <c r="K30" s="8">
        <v>10000</v>
      </c>
      <c r="L30" s="8">
        <v>0.04</v>
      </c>
      <c r="M30" s="8">
        <f>+K30*L30</f>
        <v>400</v>
      </c>
    </row>
    <row r="31" spans="1:13" s="8" customFormat="1" x14ac:dyDescent="0.3">
      <c r="B31" s="8" t="s">
        <v>224</v>
      </c>
      <c r="C31" s="167"/>
      <c r="G31" s="167">
        <f>+G29-G30</f>
        <v>7633.3333333333285</v>
      </c>
      <c r="H31" s="8">
        <v>0.06</v>
      </c>
      <c r="I31" s="8">
        <f>+G31*H31</f>
        <v>457.99999999999972</v>
      </c>
      <c r="K31" s="167">
        <f>+K29-K30</f>
        <v>10278.333333333328</v>
      </c>
      <c r="L31" s="8">
        <v>0.06</v>
      </c>
      <c r="M31" s="8">
        <f>+K31*L31</f>
        <v>616.6999999999997</v>
      </c>
    </row>
    <row r="32" spans="1:13" s="8" customFormat="1" x14ac:dyDescent="0.3">
      <c r="E32" s="141"/>
      <c r="I32" s="141">
        <f>+I30+I31</f>
        <v>857.99999999999977</v>
      </c>
      <c r="M32" s="141">
        <f>+M30+M31</f>
        <v>1016.6999999999997</v>
      </c>
    </row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  <row r="54" s="8" customFormat="1" x14ac:dyDescent="0.3"/>
    <row r="55" s="8" customFormat="1" x14ac:dyDescent="0.3"/>
    <row r="56" s="8" customFormat="1" x14ac:dyDescent="0.3"/>
    <row r="57" s="8" customFormat="1" x14ac:dyDescent="0.3"/>
    <row r="58" s="8" customFormat="1" x14ac:dyDescent="0.3"/>
    <row r="59" s="8" customFormat="1" x14ac:dyDescent="0.3"/>
    <row r="60" s="8" customFormat="1" x14ac:dyDescent="0.3"/>
    <row r="61" s="8" customFormat="1" x14ac:dyDescent="0.3"/>
    <row r="62" s="8" customFormat="1" x14ac:dyDescent="0.3"/>
    <row r="63" s="8" customFormat="1" x14ac:dyDescent="0.3"/>
    <row r="64" s="8" customFormat="1" x14ac:dyDescent="0.3"/>
    <row r="65" s="8" customFormat="1" x14ac:dyDescent="0.3"/>
    <row r="66" s="8" customFormat="1" x14ac:dyDescent="0.3"/>
    <row r="67" s="8" customFormat="1" x14ac:dyDescent="0.3"/>
    <row r="68" s="8" customFormat="1" x14ac:dyDescent="0.3"/>
    <row r="69" s="8" customFormat="1" x14ac:dyDescent="0.3"/>
    <row r="70" s="8" customFormat="1" x14ac:dyDescent="0.3"/>
    <row r="71" s="8" customFormat="1" x14ac:dyDescent="0.3"/>
    <row r="72" s="8" customFormat="1" x14ac:dyDescent="0.3"/>
    <row r="73" s="8" customFormat="1" x14ac:dyDescent="0.3"/>
    <row r="74" s="8" customFormat="1" x14ac:dyDescent="0.3"/>
    <row r="75" s="8" customFormat="1" x14ac:dyDescent="0.3"/>
    <row r="76" s="8" customFormat="1" x14ac:dyDescent="0.3"/>
    <row r="77" s="8" customFormat="1" x14ac:dyDescent="0.3"/>
    <row r="78" s="8" customFormat="1" x14ac:dyDescent="0.3"/>
    <row r="79" s="8" customFormat="1" x14ac:dyDescent="0.3"/>
    <row r="80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  <row r="119" s="8" customFormat="1" x14ac:dyDescent="0.3"/>
    <row r="120" s="8" customFormat="1" x14ac:dyDescent="0.3"/>
    <row r="121" s="8" customFormat="1" x14ac:dyDescent="0.3"/>
    <row r="122" s="8" customFormat="1" x14ac:dyDescent="0.3"/>
    <row r="123" s="8" customFormat="1" x14ac:dyDescent="0.3"/>
    <row r="124" s="8" customFormat="1" x14ac:dyDescent="0.3"/>
    <row r="125" s="8" customFormat="1" x14ac:dyDescent="0.3"/>
    <row r="126" s="8" customFormat="1" x14ac:dyDescent="0.3"/>
    <row r="127" s="8" customFormat="1" x14ac:dyDescent="0.3"/>
    <row r="128" s="8" customFormat="1" x14ac:dyDescent="0.3"/>
    <row r="129" s="8" customFormat="1" x14ac:dyDescent="0.3"/>
    <row r="130" s="8" customFormat="1" x14ac:dyDescent="0.3"/>
    <row r="131" s="8" customFormat="1" x14ac:dyDescent="0.3"/>
    <row r="132" s="8" customFormat="1" x14ac:dyDescent="0.3"/>
    <row r="133" s="8" customFormat="1" x14ac:dyDescent="0.3"/>
    <row r="134" s="8" customFormat="1" x14ac:dyDescent="0.3"/>
    <row r="135" s="8" customFormat="1" x14ac:dyDescent="0.3"/>
    <row r="136" s="8" customFormat="1" x14ac:dyDescent="0.3"/>
    <row r="137" s="8" customFormat="1" x14ac:dyDescent="0.3"/>
    <row r="138" s="8" customFormat="1" x14ac:dyDescent="0.3"/>
    <row r="139" s="8" customFormat="1" x14ac:dyDescent="0.3"/>
    <row r="140" s="8" customFormat="1" x14ac:dyDescent="0.3"/>
    <row r="141" s="8" customFormat="1" x14ac:dyDescent="0.3"/>
    <row r="142" s="8" customFormat="1" x14ac:dyDescent="0.3"/>
    <row r="143" s="8" customFormat="1" x14ac:dyDescent="0.3"/>
    <row r="144" s="8" customFormat="1" x14ac:dyDescent="0.3"/>
    <row r="145" s="8" customFormat="1" x14ac:dyDescent="0.3"/>
    <row r="146" s="8" customFormat="1" x14ac:dyDescent="0.3"/>
    <row r="147" s="8" customFormat="1" x14ac:dyDescent="0.3"/>
    <row r="148" s="8" customFormat="1" x14ac:dyDescent="0.3"/>
    <row r="149" s="8" customFormat="1" x14ac:dyDescent="0.3"/>
    <row r="150" s="8" customFormat="1" x14ac:dyDescent="0.3"/>
    <row r="151" s="8" customFormat="1" x14ac:dyDescent="0.3"/>
    <row r="152" s="8" customFormat="1" x14ac:dyDescent="0.3"/>
    <row r="153" s="8" customFormat="1" x14ac:dyDescent="0.3"/>
    <row r="154" s="8" customFormat="1" x14ac:dyDescent="0.3"/>
    <row r="155" s="8" customFormat="1" x14ac:dyDescent="0.3"/>
    <row r="156" s="8" customFormat="1" x14ac:dyDescent="0.3"/>
    <row r="157" s="8" customFormat="1" x14ac:dyDescent="0.3"/>
    <row r="158" s="8" customFormat="1" x14ac:dyDescent="0.3"/>
    <row r="159" s="8" customFormat="1" x14ac:dyDescent="0.3"/>
    <row r="160" s="8" customFormat="1" x14ac:dyDescent="0.3"/>
    <row r="161" s="8" customFormat="1" x14ac:dyDescent="0.3"/>
    <row r="162" s="8" customFormat="1" x14ac:dyDescent="0.3"/>
    <row r="163" s="8" customFormat="1" x14ac:dyDescent="0.3"/>
    <row r="164" s="8" customFormat="1" x14ac:dyDescent="0.3"/>
    <row r="165" s="8" customFormat="1" x14ac:dyDescent="0.3"/>
    <row r="166" s="8" customFormat="1" x14ac:dyDescent="0.3"/>
    <row r="167" s="8" customFormat="1" x14ac:dyDescent="0.3"/>
    <row r="168" s="8" customFormat="1" x14ac:dyDescent="0.3"/>
    <row r="169" s="8" customFormat="1" x14ac:dyDescent="0.3"/>
    <row r="170" s="8" customFormat="1" x14ac:dyDescent="0.3"/>
    <row r="171" s="8" customFormat="1" x14ac:dyDescent="0.3"/>
    <row r="172" s="8" customFormat="1" x14ac:dyDescent="0.3"/>
    <row r="173" s="8" customFormat="1" x14ac:dyDescent="0.3"/>
    <row r="174" s="8" customFormat="1" x14ac:dyDescent="0.3"/>
    <row r="175" s="8" customFormat="1" x14ac:dyDescent="0.3"/>
    <row r="176" s="8" customFormat="1" x14ac:dyDescent="0.3"/>
    <row r="177" s="8" customFormat="1" x14ac:dyDescent="0.3"/>
    <row r="178" s="8" customFormat="1" x14ac:dyDescent="0.3"/>
    <row r="179" s="8" customFormat="1" x14ac:dyDescent="0.3"/>
    <row r="180" s="8" customFormat="1" x14ac:dyDescent="0.3"/>
    <row r="181" s="8" customFormat="1" x14ac:dyDescent="0.3"/>
    <row r="182" s="8" customFormat="1" x14ac:dyDescent="0.3"/>
    <row r="183" s="8" customFormat="1" x14ac:dyDescent="0.3"/>
    <row r="184" s="8" customFormat="1" x14ac:dyDescent="0.3"/>
    <row r="185" s="8" customFormat="1" x14ac:dyDescent="0.3"/>
    <row r="186" s="8" customFormat="1" x14ac:dyDescent="0.3"/>
    <row r="187" s="8" customFormat="1" x14ac:dyDescent="0.3"/>
    <row r="188" s="8" customFormat="1" x14ac:dyDescent="0.3"/>
    <row r="189" s="8" customFormat="1" x14ac:dyDescent="0.3"/>
    <row r="190" s="8" customFormat="1" x14ac:dyDescent="0.3"/>
    <row r="191" s="8" customFormat="1" x14ac:dyDescent="0.3"/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AB9-AD2F-4B12-9394-160F61FB4AE0}">
  <sheetPr>
    <tabColor theme="5" tint="0.79998168889431442"/>
  </sheetPr>
  <dimension ref="A1:AJ73"/>
  <sheetViews>
    <sheetView showGridLines="0" zoomScale="150" zoomScaleNormal="100" workbookViewId="0">
      <pane ySplit="1" topLeftCell="A2" activePane="bottomLeft" state="frozen"/>
      <selection activeCell="B31" sqref="A31:XFD37"/>
      <selection pane="bottomLeft" activeCell="D32" sqref="D32"/>
    </sheetView>
  </sheetViews>
  <sheetFormatPr defaultColWidth="11" defaultRowHeight="15" x14ac:dyDescent="0.3"/>
  <cols>
    <col min="1" max="1" width="34.125" style="8" bestFit="1" customWidth="1"/>
    <col min="2" max="7" width="11" style="1"/>
    <col min="8" max="8" width="11" style="8"/>
    <col min="9" max="9" width="11" style="31"/>
    <col min="10" max="36" width="11" style="8"/>
    <col min="37" max="16384" width="11" style="1"/>
  </cols>
  <sheetData>
    <row r="1" spans="1:15" x14ac:dyDescent="0.3">
      <c r="A1" s="3" t="s">
        <v>102</v>
      </c>
      <c r="B1" s="5" t="s">
        <v>4</v>
      </c>
      <c r="C1" s="5" t="s">
        <v>5</v>
      </c>
      <c r="D1" s="5" t="s">
        <v>6</v>
      </c>
      <c r="E1" s="28" t="s">
        <v>7</v>
      </c>
      <c r="F1" s="28" t="s">
        <v>8</v>
      </c>
      <c r="G1" s="29" t="s">
        <v>9</v>
      </c>
    </row>
    <row r="2" spans="1:15" s="8" customFormat="1" x14ac:dyDescent="0.3">
      <c r="I2" s="31"/>
    </row>
    <row r="3" spans="1:15" s="8" customFormat="1" x14ac:dyDescent="0.3">
      <c r="A3" s="22" t="s">
        <v>103</v>
      </c>
      <c r="B3" s="102">
        <v>800</v>
      </c>
      <c r="C3" s="66">
        <v>0</v>
      </c>
      <c r="D3" s="66">
        <v>0</v>
      </c>
      <c r="E3" s="117">
        <v>0</v>
      </c>
      <c r="F3" s="117">
        <v>0</v>
      </c>
      <c r="G3" s="117">
        <v>0</v>
      </c>
      <c r="I3" s="31"/>
    </row>
    <row r="4" spans="1:15" s="8" customFormat="1" x14ac:dyDescent="0.3">
      <c r="A4" s="8" t="s">
        <v>104</v>
      </c>
      <c r="B4" s="102">
        <v>110</v>
      </c>
      <c r="C4" s="66">
        <v>120</v>
      </c>
      <c r="D4" s="66">
        <v>120</v>
      </c>
      <c r="E4" s="171">
        <f>+D4*(1+$M4)</f>
        <v>126</v>
      </c>
      <c r="F4" s="171">
        <f t="shared" ref="F4:G4" si="0">+E4*(1+$M4)</f>
        <v>132.30000000000001</v>
      </c>
      <c r="G4" s="171">
        <f t="shared" si="0"/>
        <v>138.91500000000002</v>
      </c>
      <c r="I4" s="163" t="s">
        <v>236</v>
      </c>
      <c r="M4" s="26">
        <v>0.05</v>
      </c>
    </row>
    <row r="5" spans="1:15" s="8" customFormat="1" x14ac:dyDescent="0.3">
      <c r="A5" s="8" t="s">
        <v>105</v>
      </c>
      <c r="B5" s="102">
        <v>90</v>
      </c>
      <c r="C5" s="66">
        <v>95</v>
      </c>
      <c r="D5" s="66">
        <v>95</v>
      </c>
      <c r="E5" s="171">
        <f t="shared" ref="E5:G5" si="1">+D5*(1+$M5)</f>
        <v>97.850000000000009</v>
      </c>
      <c r="F5" s="171">
        <f t="shared" si="1"/>
        <v>100.78550000000001</v>
      </c>
      <c r="G5" s="171">
        <f t="shared" si="1"/>
        <v>103.80906500000002</v>
      </c>
      <c r="I5" s="163" t="s">
        <v>218</v>
      </c>
      <c r="M5" s="26">
        <v>0.03</v>
      </c>
    </row>
    <row r="6" spans="1:15" s="8" customFormat="1" x14ac:dyDescent="0.3">
      <c r="A6" s="8" t="s">
        <v>106</v>
      </c>
      <c r="B6" s="102">
        <v>90</v>
      </c>
      <c r="C6" s="66">
        <v>90</v>
      </c>
      <c r="D6" s="66">
        <v>100</v>
      </c>
      <c r="E6" s="171">
        <f t="shared" ref="E6:G6" si="2">+D6*(1+$M6)</f>
        <v>111.00000000000001</v>
      </c>
      <c r="F6" s="171">
        <f t="shared" si="2"/>
        <v>123.21000000000002</v>
      </c>
      <c r="G6" s="171">
        <f t="shared" si="2"/>
        <v>136.76310000000004</v>
      </c>
      <c r="I6" s="163" t="s">
        <v>237</v>
      </c>
      <c r="M6" s="26">
        <v>0.11</v>
      </c>
      <c r="O6" s="8" t="s">
        <v>238</v>
      </c>
    </row>
    <row r="7" spans="1:15" s="8" customFormat="1" x14ac:dyDescent="0.3">
      <c r="A7" s="8" t="s">
        <v>107</v>
      </c>
      <c r="B7" s="102">
        <v>100</v>
      </c>
      <c r="C7" s="102">
        <v>100</v>
      </c>
      <c r="D7" s="102">
        <v>100</v>
      </c>
      <c r="E7" s="172">
        <f>+D7</f>
        <v>100</v>
      </c>
      <c r="F7" s="172">
        <f t="shared" ref="F7:G7" si="3">+E7</f>
        <v>100</v>
      </c>
      <c r="G7" s="172">
        <f t="shared" si="3"/>
        <v>100</v>
      </c>
      <c r="I7" s="31"/>
    </row>
    <row r="8" spans="1:15" s="8" customFormat="1" x14ac:dyDescent="0.3">
      <c r="A8" s="8" t="s">
        <v>108</v>
      </c>
      <c r="B8" s="102">
        <v>30</v>
      </c>
      <c r="C8" s="66">
        <v>37</v>
      </c>
      <c r="D8" s="66">
        <v>40</v>
      </c>
      <c r="E8" s="117">
        <f>+D8*(1+$M$8)</f>
        <v>46.4</v>
      </c>
      <c r="F8" s="117">
        <f>+E8*(1+$M$8)</f>
        <v>53.823999999999998</v>
      </c>
      <c r="G8" s="117">
        <f>+F8*(1+$M$8)</f>
        <v>62.435839999999992</v>
      </c>
      <c r="I8" s="176" t="s">
        <v>247</v>
      </c>
      <c r="M8" s="26">
        <v>0.16</v>
      </c>
    </row>
    <row r="9" spans="1:15" s="8" customFormat="1" x14ac:dyDescent="0.3">
      <c r="A9" s="8" t="s">
        <v>109</v>
      </c>
      <c r="B9" s="102">
        <v>15</v>
      </c>
      <c r="C9" s="102">
        <f t="shared" ref="C9:D9" si="4">C7*0.15</f>
        <v>15</v>
      </c>
      <c r="D9" s="102">
        <f t="shared" si="4"/>
        <v>15</v>
      </c>
      <c r="E9" s="117">
        <f>+D9</f>
        <v>15</v>
      </c>
      <c r="F9" s="117">
        <v>20</v>
      </c>
      <c r="G9" s="117">
        <v>25</v>
      </c>
      <c r="I9" s="32"/>
      <c r="J9" s="18"/>
      <c r="K9" s="18"/>
      <c r="L9" s="18"/>
      <c r="M9" s="18"/>
      <c r="N9" s="18"/>
    </row>
    <row r="10" spans="1:15" s="8" customFormat="1" x14ac:dyDescent="0.3">
      <c r="A10" s="8" t="s">
        <v>110</v>
      </c>
      <c r="B10" s="102">
        <v>15</v>
      </c>
      <c r="C10" s="66">
        <v>22</v>
      </c>
      <c r="D10" s="66">
        <v>15</v>
      </c>
      <c r="E10" s="117">
        <v>15</v>
      </c>
      <c r="F10" s="117">
        <v>15</v>
      </c>
      <c r="G10" s="117">
        <v>15</v>
      </c>
      <c r="I10" s="32"/>
      <c r="J10" s="32"/>
      <c r="K10" s="32"/>
      <c r="L10" s="32"/>
      <c r="M10" s="32"/>
    </row>
    <row r="11" spans="1:15" s="8" customFormat="1" x14ac:dyDescent="0.3">
      <c r="A11" s="8" t="s">
        <v>111</v>
      </c>
      <c r="B11" s="102">
        <v>190</v>
      </c>
      <c r="C11" s="66"/>
      <c r="D11" s="66">
        <v>-190</v>
      </c>
      <c r="E11" s="117">
        <v>0</v>
      </c>
      <c r="F11" s="117">
        <v>0</v>
      </c>
      <c r="G11" s="117">
        <v>0</v>
      </c>
      <c r="I11" s="32"/>
      <c r="J11" s="18"/>
      <c r="K11" s="18"/>
      <c r="L11" s="18"/>
      <c r="M11" s="18"/>
    </row>
    <row r="12" spans="1:15" s="8" customFormat="1" x14ac:dyDescent="0.3">
      <c r="A12" s="8" t="s">
        <v>112</v>
      </c>
      <c r="B12" s="102">
        <v>0</v>
      </c>
      <c r="C12" s="66">
        <v>0</v>
      </c>
      <c r="D12" s="66">
        <v>0</v>
      </c>
      <c r="E12" s="117">
        <v>70</v>
      </c>
      <c r="F12" s="117">
        <v>0</v>
      </c>
      <c r="G12" s="117">
        <v>0</v>
      </c>
      <c r="I12" s="32"/>
      <c r="J12" s="18"/>
      <c r="K12" s="18"/>
      <c r="L12" s="18"/>
      <c r="M12" s="18"/>
    </row>
    <row r="13" spans="1:15" s="8" customFormat="1" x14ac:dyDescent="0.3">
      <c r="A13" s="8" t="s">
        <v>113</v>
      </c>
      <c r="B13" s="102">
        <f>(PnL!C4+PnL!C6)*0.15</f>
        <v>1177.5</v>
      </c>
      <c r="C13" s="102">
        <f>(PnL!D4+PnL!D6)*0.15</f>
        <v>1272</v>
      </c>
      <c r="D13" s="102">
        <f>(PnL!E4+PnL!E6)*0.15</f>
        <v>1362</v>
      </c>
      <c r="E13" s="117">
        <f>+E31*$M$13</f>
        <v>1413.5784076104078</v>
      </c>
      <c r="F13" s="117">
        <f t="shared" ref="F13:G13" si="5">+F31*$M$13</f>
        <v>1510.617865485392</v>
      </c>
      <c r="G13" s="117">
        <f t="shared" si="5"/>
        <v>1616.9115316681355</v>
      </c>
      <c r="I13" s="176" t="s">
        <v>242</v>
      </c>
      <c r="J13" s="18"/>
      <c r="K13" s="18"/>
      <c r="L13" s="18"/>
      <c r="M13" s="26">
        <v>0.16</v>
      </c>
    </row>
    <row r="14" spans="1:15" s="8" customFormat="1" x14ac:dyDescent="0.3">
      <c r="B14" s="102"/>
      <c r="C14" s="66"/>
      <c r="D14" s="66"/>
      <c r="E14" s="112"/>
      <c r="F14" s="112"/>
      <c r="G14" s="112"/>
      <c r="I14" s="32"/>
      <c r="J14" s="18"/>
      <c r="K14" s="18"/>
      <c r="L14" s="18"/>
      <c r="M14" s="18"/>
    </row>
    <row r="15" spans="1:15" ht="15.75" thickBot="1" x14ac:dyDescent="0.35">
      <c r="A15" s="27"/>
      <c r="B15" s="73">
        <f>SUM(B3:B13)</f>
        <v>2617.5</v>
      </c>
      <c r="C15" s="73">
        <f t="shared" ref="C15:G15" si="6">SUM(C3:C13)</f>
        <v>1751</v>
      </c>
      <c r="D15" s="73">
        <f t="shared" si="6"/>
        <v>1657</v>
      </c>
      <c r="E15" s="73">
        <f t="shared" si="6"/>
        <v>1994.8284076104078</v>
      </c>
      <c r="F15" s="73">
        <f t="shared" si="6"/>
        <v>2055.7373654853918</v>
      </c>
      <c r="G15" s="73">
        <f t="shared" si="6"/>
        <v>2198.8345366681356</v>
      </c>
      <c r="I15" s="33"/>
      <c r="J15" s="26"/>
      <c r="K15" s="26"/>
      <c r="L15" s="26"/>
      <c r="M15" s="26"/>
    </row>
    <row r="16" spans="1:15" s="8" customFormat="1" ht="15.75" thickTop="1" x14ac:dyDescent="0.3">
      <c r="B16" s="102"/>
      <c r="C16" s="66"/>
      <c r="D16" s="66"/>
      <c r="E16" s="66"/>
      <c r="F16" s="66"/>
      <c r="G16" s="66"/>
      <c r="I16" s="31"/>
    </row>
    <row r="17" spans="1:9" s="8" customFormat="1" x14ac:dyDescent="0.3">
      <c r="B17" s="66"/>
      <c r="C17" s="66"/>
      <c r="D17" s="66"/>
      <c r="E17" s="66"/>
      <c r="F17" s="66"/>
      <c r="G17" s="66"/>
      <c r="I17" s="31"/>
    </row>
    <row r="18" spans="1:9" s="8" customFormat="1" x14ac:dyDescent="0.3">
      <c r="B18" s="66"/>
      <c r="C18" s="66"/>
      <c r="D18" s="66"/>
      <c r="E18" s="66"/>
      <c r="F18" s="66"/>
      <c r="G18" s="66"/>
      <c r="I18" s="31"/>
    </row>
    <row r="19" spans="1:9" x14ac:dyDescent="0.3">
      <c r="A19" s="16"/>
      <c r="B19" s="78">
        <f>B15</f>
        <v>2617.5</v>
      </c>
      <c r="C19" s="78">
        <f t="shared" ref="C19:G19" si="7">C15</f>
        <v>1751</v>
      </c>
      <c r="D19" s="78">
        <f t="shared" si="7"/>
        <v>1657</v>
      </c>
      <c r="E19" s="78">
        <f t="shared" si="7"/>
        <v>1994.8284076104078</v>
      </c>
      <c r="F19" s="78">
        <f t="shared" si="7"/>
        <v>2055.7373654853918</v>
      </c>
      <c r="G19" s="78">
        <f t="shared" si="7"/>
        <v>2198.8345366681356</v>
      </c>
    </row>
    <row r="20" spans="1:9" s="8" customFormat="1" x14ac:dyDescent="0.3">
      <c r="B20" s="66"/>
      <c r="C20" s="66"/>
      <c r="D20" s="66"/>
      <c r="E20" s="66"/>
      <c r="F20" s="66"/>
      <c r="G20" s="66"/>
      <c r="I20" s="31"/>
    </row>
    <row r="21" spans="1:9" s="8" customFormat="1" x14ac:dyDescent="0.3">
      <c r="B21" s="66"/>
      <c r="C21" s="66"/>
      <c r="D21" s="66"/>
      <c r="E21" s="66"/>
      <c r="F21" s="66"/>
      <c r="G21" s="66"/>
      <c r="I21" s="31"/>
    </row>
    <row r="22" spans="1:9" s="49" customFormat="1" ht="8.25" x14ac:dyDescent="0.15">
      <c r="B22" s="113">
        <f>+B19+PnL!C14</f>
        <v>0</v>
      </c>
      <c r="C22" s="113">
        <f>+C19+PnL!D14</f>
        <v>0</v>
      </c>
      <c r="D22" s="113">
        <f>+D19+PnL!E14</f>
        <v>0</v>
      </c>
      <c r="E22" s="113">
        <f>+E19+PnL!J14</f>
        <v>0</v>
      </c>
      <c r="F22" s="113">
        <f>+F19+PnL!K14</f>
        <v>0</v>
      </c>
      <c r="G22" s="113">
        <f>+G19+PnL!L14</f>
        <v>0</v>
      </c>
      <c r="I22" s="52"/>
    </row>
    <row r="23" spans="1:9" s="8" customFormat="1" x14ac:dyDescent="0.3">
      <c r="B23" s="66"/>
      <c r="C23" s="66"/>
      <c r="D23" s="66"/>
      <c r="E23" s="66"/>
      <c r="F23" s="66"/>
      <c r="G23" s="66"/>
      <c r="I23" s="31"/>
    </row>
    <row r="24" spans="1:9" s="8" customFormat="1" x14ac:dyDescent="0.3">
      <c r="C24" s="30"/>
      <c r="D24" s="30"/>
      <c r="I24" s="31"/>
    </row>
    <row r="25" spans="1:9" s="8" customFormat="1" x14ac:dyDescent="0.3">
      <c r="C25" s="30"/>
      <c r="D25" s="30" t="s">
        <v>239</v>
      </c>
      <c r="E25" s="8">
        <v>350</v>
      </c>
      <c r="I25" s="31"/>
    </row>
    <row r="26" spans="1:9" s="8" customFormat="1" x14ac:dyDescent="0.3">
      <c r="D26" s="8" t="s">
        <v>240</v>
      </c>
      <c r="E26" s="8">
        <v>200</v>
      </c>
      <c r="F26" s="151" t="s">
        <v>241</v>
      </c>
      <c r="I26" s="31"/>
    </row>
    <row r="27" spans="1:9" s="8" customFormat="1" x14ac:dyDescent="0.3">
      <c r="E27" s="8">
        <f>+E25*E26</f>
        <v>70000</v>
      </c>
      <c r="I27" s="31"/>
    </row>
    <row r="28" spans="1:9" s="8" customFormat="1" x14ac:dyDescent="0.3">
      <c r="C28" s="30"/>
      <c r="D28" s="30"/>
      <c r="I28" s="31"/>
    </row>
    <row r="29" spans="1:9" s="8" customFormat="1" x14ac:dyDescent="0.3">
      <c r="B29" s="65">
        <f>+REV_sbE!C6</f>
        <v>6100</v>
      </c>
      <c r="C29" s="65">
        <f>+REV_sbE!D6</f>
        <v>6380</v>
      </c>
      <c r="D29" s="65">
        <f>+REV_sbE!E6</f>
        <v>6680</v>
      </c>
      <c r="E29" s="65">
        <f>+REV_sbE!F6</f>
        <v>6994.8650475650484</v>
      </c>
      <c r="F29" s="65">
        <f>+REV_sbE!G6</f>
        <v>7325.3616592837006</v>
      </c>
      <c r="G29" s="65">
        <f>+REV_sbE!H6</f>
        <v>7672.2970729258468</v>
      </c>
      <c r="I29" s="31"/>
    </row>
    <row r="30" spans="1:9" s="8" customFormat="1" x14ac:dyDescent="0.3">
      <c r="B30" s="65">
        <f>+REV_sbE!C9</f>
        <v>1200</v>
      </c>
      <c r="C30" s="65">
        <f>+REV_sbE!D9</f>
        <v>1200</v>
      </c>
      <c r="D30" s="65">
        <f>+REV_sbE!E9</f>
        <v>1600</v>
      </c>
      <c r="E30" s="65">
        <f>+REV_sbE!F9</f>
        <v>1839.9999999999998</v>
      </c>
      <c r="F30" s="65">
        <f>+REV_sbE!G9</f>
        <v>2115.9999999999995</v>
      </c>
      <c r="G30" s="65">
        <f>+REV_sbE!H9</f>
        <v>2433.3999999999992</v>
      </c>
      <c r="I30" s="31"/>
    </row>
    <row r="31" spans="1:9" s="8" customFormat="1" x14ac:dyDescent="0.3">
      <c r="A31" s="8" t="s">
        <v>243</v>
      </c>
      <c r="B31" s="65">
        <f>+SUM(B29:B30)</f>
        <v>7300</v>
      </c>
      <c r="C31" s="65">
        <f t="shared" ref="C31:G31" si="8">+SUM(C29:C30)</f>
        <v>7580</v>
      </c>
      <c r="D31" s="65">
        <f t="shared" si="8"/>
        <v>8280</v>
      </c>
      <c r="E31" s="65">
        <f t="shared" si="8"/>
        <v>8834.8650475650484</v>
      </c>
      <c r="F31" s="65">
        <f t="shared" si="8"/>
        <v>9441.3616592837006</v>
      </c>
      <c r="G31" s="65">
        <f t="shared" si="8"/>
        <v>10105.697072925846</v>
      </c>
      <c r="I31" s="31"/>
    </row>
    <row r="32" spans="1:9" s="152" customFormat="1" x14ac:dyDescent="0.3">
      <c r="A32" s="152" t="s">
        <v>244</v>
      </c>
      <c r="B32" s="178">
        <f>+B13/B31</f>
        <v>0.16130136986301369</v>
      </c>
      <c r="C32" s="178">
        <f t="shared" ref="C32:D32" si="9">+C13/C31</f>
        <v>0.16781002638522427</v>
      </c>
      <c r="D32" s="178">
        <f t="shared" si="9"/>
        <v>0.16449275362318841</v>
      </c>
      <c r="E32" s="162"/>
      <c r="F32" s="162"/>
      <c r="G32" s="162"/>
      <c r="I32" s="177"/>
    </row>
    <row r="33" spans="1:9" s="8" customFormat="1" x14ac:dyDescent="0.3">
      <c r="C33" s="30"/>
      <c r="D33" s="30"/>
      <c r="I33" s="31"/>
    </row>
    <row r="34" spans="1:9" s="8" customFormat="1" x14ac:dyDescent="0.3">
      <c r="C34" s="30"/>
      <c r="D34" s="30"/>
      <c r="I34" s="31"/>
    </row>
    <row r="35" spans="1:9" s="8" customFormat="1" x14ac:dyDescent="0.3">
      <c r="A35" s="8" t="s">
        <v>245</v>
      </c>
      <c r="C35" s="161">
        <f>+(C8/B8)-1</f>
        <v>0.23333333333333339</v>
      </c>
      <c r="D35" s="161">
        <f>+(D8/C8)-1</f>
        <v>8.1081081081081141E-2</v>
      </c>
      <c r="I35" s="31"/>
    </row>
    <row r="36" spans="1:9" s="8" customFormat="1" x14ac:dyDescent="0.3">
      <c r="C36" s="30" t="s">
        <v>246</v>
      </c>
      <c r="D36" s="162">
        <f>+AVERAGE(C35:D35)</f>
        <v>0.15720720720720727</v>
      </c>
      <c r="I36" s="31"/>
    </row>
    <row r="37" spans="1:9" s="8" customFormat="1" x14ac:dyDescent="0.3">
      <c r="C37" s="30"/>
      <c r="D37" s="30"/>
      <c r="I37" s="31"/>
    </row>
    <row r="38" spans="1:9" s="8" customFormat="1" x14ac:dyDescent="0.3">
      <c r="C38" s="30"/>
      <c r="D38" s="30"/>
      <c r="I38" s="31"/>
    </row>
    <row r="39" spans="1:9" s="8" customFormat="1" x14ac:dyDescent="0.3">
      <c r="C39" s="30"/>
      <c r="D39" s="30"/>
      <c r="I39" s="31"/>
    </row>
    <row r="40" spans="1:9" s="8" customFormat="1" x14ac:dyDescent="0.3">
      <c r="C40" s="30"/>
      <c r="D40" s="30"/>
      <c r="I40" s="31"/>
    </row>
    <row r="41" spans="1:9" s="8" customFormat="1" x14ac:dyDescent="0.3">
      <c r="C41" s="30"/>
      <c r="D41" s="30"/>
      <c r="I41" s="31"/>
    </row>
    <row r="42" spans="1:9" s="8" customFormat="1" x14ac:dyDescent="0.3">
      <c r="C42" s="30"/>
      <c r="D42" s="30"/>
      <c r="I42" s="31"/>
    </row>
    <row r="43" spans="1:9" s="8" customFormat="1" x14ac:dyDescent="0.3">
      <c r="C43" s="30"/>
      <c r="D43" s="30"/>
      <c r="I43" s="31"/>
    </row>
    <row r="44" spans="1:9" s="8" customFormat="1" x14ac:dyDescent="0.3">
      <c r="C44" s="30"/>
      <c r="D44" s="30"/>
      <c r="I44" s="31"/>
    </row>
    <row r="45" spans="1:9" s="8" customFormat="1" x14ac:dyDescent="0.3">
      <c r="C45" s="30"/>
      <c r="D45" s="30"/>
      <c r="I45" s="31"/>
    </row>
    <row r="46" spans="1:9" s="8" customFormat="1" x14ac:dyDescent="0.3">
      <c r="C46" s="30"/>
      <c r="D46" s="30"/>
      <c r="I46" s="31"/>
    </row>
    <row r="47" spans="1:9" s="8" customFormat="1" x14ac:dyDescent="0.3">
      <c r="C47" s="30"/>
      <c r="D47" s="30"/>
      <c r="I47" s="31"/>
    </row>
    <row r="48" spans="1:9" s="8" customFormat="1" x14ac:dyDescent="0.3">
      <c r="C48" s="30"/>
      <c r="D48" s="30"/>
      <c r="I48" s="31"/>
    </row>
    <row r="49" spans="3:9" s="8" customFormat="1" x14ac:dyDescent="0.3">
      <c r="C49" s="30"/>
      <c r="D49" s="30"/>
      <c r="I49" s="31"/>
    </row>
    <row r="50" spans="3:9" s="8" customFormat="1" x14ac:dyDescent="0.3">
      <c r="C50" s="30"/>
      <c r="D50" s="30"/>
      <c r="I50" s="31"/>
    </row>
    <row r="51" spans="3:9" s="8" customFormat="1" x14ac:dyDescent="0.3">
      <c r="C51" s="30"/>
      <c r="D51" s="30"/>
      <c r="I51" s="31"/>
    </row>
    <row r="52" spans="3:9" s="8" customFormat="1" x14ac:dyDescent="0.3">
      <c r="C52" s="30"/>
      <c r="D52" s="30"/>
      <c r="I52" s="31"/>
    </row>
    <row r="53" spans="3:9" s="8" customFormat="1" x14ac:dyDescent="0.3">
      <c r="C53" s="30"/>
      <c r="D53" s="30"/>
      <c r="I53" s="31"/>
    </row>
    <row r="54" spans="3:9" s="8" customFormat="1" x14ac:dyDescent="0.3">
      <c r="C54" s="30"/>
      <c r="D54" s="30"/>
      <c r="I54" s="31"/>
    </row>
    <row r="55" spans="3:9" s="8" customFormat="1" x14ac:dyDescent="0.3">
      <c r="C55" s="30"/>
      <c r="D55" s="30"/>
      <c r="I55" s="31"/>
    </row>
    <row r="56" spans="3:9" s="8" customFormat="1" x14ac:dyDescent="0.3">
      <c r="C56" s="30"/>
      <c r="D56" s="30"/>
      <c r="I56" s="31"/>
    </row>
    <row r="57" spans="3:9" s="8" customFormat="1" x14ac:dyDescent="0.3">
      <c r="C57" s="30"/>
      <c r="D57" s="30"/>
      <c r="I57" s="31"/>
    </row>
    <row r="58" spans="3:9" s="8" customFormat="1" x14ac:dyDescent="0.3">
      <c r="C58" s="30"/>
      <c r="D58" s="30"/>
      <c r="I58" s="31"/>
    </row>
    <row r="59" spans="3:9" s="8" customFormat="1" x14ac:dyDescent="0.3">
      <c r="C59" s="30"/>
      <c r="D59" s="30"/>
      <c r="I59" s="31"/>
    </row>
    <row r="60" spans="3:9" s="8" customFormat="1" x14ac:dyDescent="0.3">
      <c r="C60" s="30"/>
      <c r="D60" s="30"/>
      <c r="I60" s="31"/>
    </row>
    <row r="61" spans="3:9" s="8" customFormat="1" x14ac:dyDescent="0.3">
      <c r="C61" s="30"/>
      <c r="D61" s="30"/>
      <c r="I61" s="31"/>
    </row>
    <row r="62" spans="3:9" s="8" customFormat="1" x14ac:dyDescent="0.3">
      <c r="C62" s="30"/>
      <c r="D62" s="30"/>
      <c r="I62" s="31"/>
    </row>
    <row r="63" spans="3:9" s="8" customFormat="1" x14ac:dyDescent="0.3">
      <c r="C63" s="30"/>
      <c r="D63" s="30"/>
      <c r="I63" s="31"/>
    </row>
    <row r="64" spans="3:9" s="8" customFormat="1" x14ac:dyDescent="0.3">
      <c r="C64" s="30"/>
      <c r="D64" s="30"/>
      <c r="I64" s="31"/>
    </row>
    <row r="65" spans="3:9" s="8" customFormat="1" x14ac:dyDescent="0.3">
      <c r="C65" s="30"/>
      <c r="D65" s="30"/>
      <c r="I65" s="31"/>
    </row>
    <row r="66" spans="3:9" s="8" customFormat="1" x14ac:dyDescent="0.3">
      <c r="C66" s="30"/>
      <c r="D66" s="30"/>
      <c r="I66" s="31"/>
    </row>
    <row r="67" spans="3:9" s="8" customFormat="1" x14ac:dyDescent="0.3">
      <c r="C67" s="30"/>
      <c r="D67" s="30"/>
      <c r="I67" s="31"/>
    </row>
    <row r="68" spans="3:9" s="8" customFormat="1" x14ac:dyDescent="0.3">
      <c r="C68" s="30"/>
      <c r="D68" s="30"/>
      <c r="I68" s="31"/>
    </row>
    <row r="69" spans="3:9" s="8" customFormat="1" x14ac:dyDescent="0.3">
      <c r="C69" s="30"/>
      <c r="D69" s="30"/>
      <c r="I69" s="31"/>
    </row>
    <row r="70" spans="3:9" s="8" customFormat="1" x14ac:dyDescent="0.3">
      <c r="C70" s="30"/>
      <c r="D70" s="30"/>
      <c r="I70" s="31"/>
    </row>
    <row r="71" spans="3:9" s="8" customFormat="1" x14ac:dyDescent="0.3">
      <c r="C71" s="30"/>
      <c r="D71" s="30"/>
      <c r="I71" s="31"/>
    </row>
    <row r="72" spans="3:9" s="8" customFormat="1" x14ac:dyDescent="0.3">
      <c r="C72" s="30"/>
      <c r="D72" s="30"/>
      <c r="I72" s="31"/>
    </row>
    <row r="73" spans="3:9" s="8" customFormat="1" x14ac:dyDescent="0.3">
      <c r="C73" s="30"/>
      <c r="D73" s="30"/>
      <c r="I73" s="31"/>
    </row>
  </sheetData>
  <sortState xmlns:xlrd2="http://schemas.microsoft.com/office/spreadsheetml/2017/richdata2" ref="A4:D16">
    <sortCondition ref="A3:A16"/>
  </sortState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86A1-7263-4FCD-9570-7CB5AA9E0BBF}">
  <sheetPr>
    <tabColor theme="5" tint="0.79998168889431442"/>
  </sheetPr>
  <dimension ref="A1:S96"/>
  <sheetViews>
    <sheetView showGridLines="0" topLeftCell="A78" zoomScale="125" zoomScaleNormal="100" workbookViewId="0">
      <selection activeCell="O84" sqref="O84"/>
    </sheetView>
  </sheetViews>
  <sheetFormatPr defaultColWidth="11" defaultRowHeight="15" x14ac:dyDescent="0.3"/>
  <cols>
    <col min="1" max="1" width="8.625" style="8" customWidth="1"/>
    <col min="2" max="2" width="33.5" style="8" customWidth="1"/>
    <col min="3" max="3" width="15.125" style="8" customWidth="1"/>
    <col min="4" max="10" width="12.5" style="8" customWidth="1"/>
    <col min="11" max="11" width="4.625" style="8" hidden="1" customWidth="1"/>
    <col min="12" max="13" width="2.375" style="8" hidden="1" customWidth="1"/>
    <col min="14" max="14" width="11.875" style="8" hidden="1" customWidth="1"/>
    <col min="15" max="16384" width="11" style="8"/>
  </cols>
  <sheetData>
    <row r="1" spans="1:9" x14ac:dyDescent="0.3">
      <c r="B1" s="3" t="s">
        <v>114</v>
      </c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9" ht="5.0999999999999996" customHeight="1" x14ac:dyDescent="0.3">
      <c r="C2" s="43"/>
      <c r="D2" s="43"/>
      <c r="E2" s="19"/>
      <c r="F2" s="19"/>
      <c r="G2" s="44"/>
      <c r="H2" s="44"/>
      <c r="I2" s="45"/>
    </row>
    <row r="3" spans="1:9" x14ac:dyDescent="0.3">
      <c r="A3" s="8" t="s">
        <v>115</v>
      </c>
      <c r="C3" s="18"/>
      <c r="D3" s="66">
        <v>0</v>
      </c>
      <c r="E3" s="66">
        <v>0</v>
      </c>
      <c r="F3" s="66">
        <v>600</v>
      </c>
      <c r="G3" s="116">
        <v>0</v>
      </c>
      <c r="H3" s="116">
        <v>0</v>
      </c>
      <c r="I3" s="116">
        <v>0</v>
      </c>
    </row>
    <row r="4" spans="1:9" x14ac:dyDescent="0.3">
      <c r="A4" s="8" t="s">
        <v>116</v>
      </c>
      <c r="C4" s="18"/>
      <c r="D4" s="66">
        <v>50</v>
      </c>
      <c r="E4" s="66">
        <v>35</v>
      </c>
      <c r="F4" s="66">
        <v>0</v>
      </c>
      <c r="G4" s="116">
        <v>50</v>
      </c>
      <c r="H4" s="116">
        <v>50</v>
      </c>
      <c r="I4" s="116">
        <v>50</v>
      </c>
    </row>
    <row r="5" spans="1:9" x14ac:dyDescent="0.3">
      <c r="A5" s="8" t="s">
        <v>117</v>
      </c>
      <c r="C5" s="18"/>
      <c r="D5" s="66"/>
      <c r="E5" s="66">
        <v>115</v>
      </c>
      <c r="F5" s="66">
        <v>440</v>
      </c>
      <c r="G5" s="116">
        <v>100</v>
      </c>
      <c r="H5" s="116">
        <v>100</v>
      </c>
      <c r="I5" s="116">
        <v>100</v>
      </c>
    </row>
    <row r="6" spans="1:9" x14ac:dyDescent="0.3">
      <c r="A6" s="8" t="s">
        <v>118</v>
      </c>
      <c r="C6" s="18"/>
      <c r="D6" s="66"/>
      <c r="E6" s="66">
        <v>500</v>
      </c>
      <c r="F6" s="66">
        <v>0</v>
      </c>
      <c r="G6" s="116">
        <v>0</v>
      </c>
      <c r="H6" s="116">
        <v>500</v>
      </c>
      <c r="I6" s="116">
        <v>0</v>
      </c>
    </row>
    <row r="7" spans="1:9" ht="15.75" thickBot="1" x14ac:dyDescent="0.35">
      <c r="A7" s="27" t="s">
        <v>78</v>
      </c>
      <c r="B7" s="27"/>
      <c r="C7" s="39"/>
      <c r="D7" s="108">
        <f>SUM(D3:D6)</f>
        <v>50</v>
      </c>
      <c r="E7" s="108">
        <f t="shared" ref="E7:I7" si="0">SUM(E3:E6)</f>
        <v>650</v>
      </c>
      <c r="F7" s="108">
        <f t="shared" si="0"/>
        <v>1040</v>
      </c>
      <c r="G7" s="108">
        <f t="shared" si="0"/>
        <v>150</v>
      </c>
      <c r="H7" s="108">
        <f t="shared" si="0"/>
        <v>650</v>
      </c>
      <c r="I7" s="108">
        <f t="shared" si="0"/>
        <v>150</v>
      </c>
    </row>
    <row r="8" spans="1:9" ht="15.75" thickTop="1" x14ac:dyDescent="0.3">
      <c r="C8" s="18"/>
      <c r="D8" s="66"/>
      <c r="E8" s="66"/>
      <c r="F8" s="66"/>
      <c r="G8" s="98"/>
      <c r="H8" s="98"/>
      <c r="I8" s="98"/>
    </row>
    <row r="9" spans="1:9" x14ac:dyDescent="0.3">
      <c r="A9" s="16" t="s">
        <v>119</v>
      </c>
      <c r="B9" s="16"/>
      <c r="C9" s="17"/>
      <c r="D9" s="78">
        <f t="shared" ref="D9:I9" si="1">+D7</f>
        <v>50</v>
      </c>
      <c r="E9" s="78">
        <f t="shared" si="1"/>
        <v>650</v>
      </c>
      <c r="F9" s="78">
        <f t="shared" si="1"/>
        <v>1040</v>
      </c>
      <c r="G9" s="78">
        <f t="shared" si="1"/>
        <v>150</v>
      </c>
      <c r="H9" s="78">
        <f t="shared" si="1"/>
        <v>650</v>
      </c>
      <c r="I9" s="78">
        <f t="shared" si="1"/>
        <v>150</v>
      </c>
    </row>
    <row r="11" spans="1:9" x14ac:dyDescent="0.3">
      <c r="E11" s="40"/>
      <c r="G11" s="41"/>
      <c r="H11" s="41"/>
      <c r="I11" s="41"/>
    </row>
    <row r="12" spans="1:9" x14ac:dyDescent="0.3">
      <c r="E12" s="40"/>
      <c r="G12" s="41"/>
      <c r="H12" s="41"/>
      <c r="I12" s="41"/>
    </row>
    <row r="13" spans="1:9" x14ac:dyDescent="0.3">
      <c r="E13" s="40"/>
      <c r="G13" s="41"/>
      <c r="H13" s="41"/>
      <c r="I13" s="41"/>
    </row>
    <row r="17" spans="1:18" x14ac:dyDescent="0.3">
      <c r="A17" s="264" t="s">
        <v>120</v>
      </c>
      <c r="B17" s="264"/>
      <c r="C17" s="264"/>
      <c r="D17" s="264"/>
      <c r="E17" s="264"/>
      <c r="F17" s="264"/>
      <c r="G17" s="264"/>
      <c r="H17" s="264"/>
      <c r="I17" s="264"/>
    </row>
    <row r="18" spans="1:18" x14ac:dyDescent="0.3">
      <c r="A18" s="3"/>
      <c r="B18" s="3" t="s">
        <v>121</v>
      </c>
      <c r="C18" s="46" t="s">
        <v>122</v>
      </c>
      <c r="D18" s="46" t="s">
        <v>123</v>
      </c>
      <c r="E18" s="46" t="s">
        <v>124</v>
      </c>
      <c r="F18" s="46" t="s">
        <v>125</v>
      </c>
      <c r="G18" s="28" t="s">
        <v>7</v>
      </c>
      <c r="H18" s="28" t="s">
        <v>8</v>
      </c>
      <c r="I18" s="29" t="s">
        <v>9</v>
      </c>
    </row>
    <row r="19" spans="1:18" x14ac:dyDescent="0.3">
      <c r="A19" s="48"/>
      <c r="B19" s="48" t="s">
        <v>115</v>
      </c>
      <c r="C19" s="8">
        <v>0</v>
      </c>
      <c r="D19" s="66">
        <v>600000</v>
      </c>
      <c r="E19" s="103">
        <v>8</v>
      </c>
      <c r="F19" s="66">
        <f>+D19/E19</f>
        <v>75000</v>
      </c>
      <c r="G19" s="118">
        <f t="shared" ref="G19:G50" si="2">IF(K19&lt;0,0,$F19)</f>
        <v>75000</v>
      </c>
      <c r="H19" s="118">
        <f t="shared" ref="H19:H50" si="3">IF(L19&lt;0,0,$F19)</f>
        <v>75000</v>
      </c>
      <c r="I19" s="118">
        <f t="shared" ref="I19:I50" si="4">IF(M19&lt;0,0,$F19)</f>
        <v>75000</v>
      </c>
      <c r="J19" s="47"/>
      <c r="K19" s="8">
        <f t="shared" ref="K19:K50" si="5">E19-C19-1</f>
        <v>7</v>
      </c>
      <c r="L19" s="8">
        <f>K19-1</f>
        <v>6</v>
      </c>
      <c r="M19" s="8">
        <f>L19-1</f>
        <v>5</v>
      </c>
      <c r="N19" s="66">
        <f>MAX(D19-(D19-F19*(E19-C19-1)),0)</f>
        <v>525000</v>
      </c>
      <c r="O19" s="66"/>
      <c r="P19" s="70"/>
      <c r="Q19" s="70"/>
      <c r="R19" s="18"/>
    </row>
    <row r="20" spans="1:18" x14ac:dyDescent="0.3">
      <c r="A20" s="64"/>
      <c r="B20" s="48" t="s">
        <v>115</v>
      </c>
      <c r="C20" s="8">
        <v>3</v>
      </c>
      <c r="D20" s="66">
        <v>180000</v>
      </c>
      <c r="E20" s="103">
        <v>3</v>
      </c>
      <c r="F20" s="66">
        <f>+D20/E20</f>
        <v>60000</v>
      </c>
      <c r="G20" s="118">
        <f>IF(K20&lt;0,0,$F20)</f>
        <v>0</v>
      </c>
      <c r="H20" s="118">
        <f t="shared" si="3"/>
        <v>0</v>
      </c>
      <c r="I20" s="118">
        <f t="shared" si="4"/>
        <v>0</v>
      </c>
      <c r="J20" s="47"/>
      <c r="K20" s="8">
        <f t="shared" si="5"/>
        <v>-1</v>
      </c>
      <c r="L20" s="8">
        <f>K20-1</f>
        <v>-2</v>
      </c>
      <c r="M20" s="8">
        <f>L20-1</f>
        <v>-3</v>
      </c>
      <c r="N20" s="66">
        <f t="shared" ref="N20:N83" si="6">MAX(D20-(D20-F20*(E20-C20-1)),0)</f>
        <v>0</v>
      </c>
      <c r="O20" s="66"/>
      <c r="P20" s="70"/>
      <c r="Q20" s="70"/>
      <c r="R20" s="18"/>
    </row>
    <row r="21" spans="1:18" x14ac:dyDescent="0.3">
      <c r="B21" s="8" t="s">
        <v>116</v>
      </c>
      <c r="C21" s="8">
        <v>11</v>
      </c>
      <c r="D21" s="66">
        <v>942.36</v>
      </c>
      <c r="E21" s="103">
        <v>13</v>
      </c>
      <c r="F21" s="66">
        <f t="shared" ref="F21:F78" si="7">+D21/E21</f>
        <v>72.489230769230772</v>
      </c>
      <c r="G21" s="118">
        <f t="shared" si="2"/>
        <v>72.489230769230772</v>
      </c>
      <c r="H21" s="118">
        <f t="shared" si="3"/>
        <v>72.489230769230772</v>
      </c>
      <c r="I21" s="118">
        <f t="shared" si="4"/>
        <v>0</v>
      </c>
      <c r="J21" s="47"/>
      <c r="K21" s="8">
        <f t="shared" si="5"/>
        <v>1</v>
      </c>
      <c r="L21" s="8">
        <f t="shared" ref="L21:M21" si="8">K21-1</f>
        <v>0</v>
      </c>
      <c r="M21" s="8">
        <f t="shared" si="8"/>
        <v>-1</v>
      </c>
      <c r="N21" s="66">
        <f t="shared" si="6"/>
        <v>72.489230769230744</v>
      </c>
      <c r="O21" s="66"/>
      <c r="P21" s="70"/>
      <c r="Q21" s="70"/>
      <c r="R21" s="18"/>
    </row>
    <row r="22" spans="1:18" x14ac:dyDescent="0.3">
      <c r="B22" s="8" t="s">
        <v>116</v>
      </c>
      <c r="C22" s="8">
        <v>11</v>
      </c>
      <c r="D22" s="66">
        <v>942.36</v>
      </c>
      <c r="E22" s="103">
        <v>13</v>
      </c>
      <c r="F22" s="66">
        <f>+D22/E22</f>
        <v>72.489230769230772</v>
      </c>
      <c r="G22" s="118">
        <f t="shared" si="2"/>
        <v>72.489230769230772</v>
      </c>
      <c r="H22" s="118">
        <f t="shared" si="3"/>
        <v>72.489230769230772</v>
      </c>
      <c r="I22" s="118">
        <f t="shared" si="4"/>
        <v>0</v>
      </c>
      <c r="J22" s="47"/>
      <c r="K22" s="8">
        <f t="shared" si="5"/>
        <v>1</v>
      </c>
      <c r="L22" s="8">
        <f t="shared" ref="L22:M22" si="9">K22-1</f>
        <v>0</v>
      </c>
      <c r="M22" s="8">
        <f t="shared" si="9"/>
        <v>-1</v>
      </c>
      <c r="N22" s="66">
        <f t="shared" si="6"/>
        <v>72.489230769230744</v>
      </c>
      <c r="O22" s="66"/>
      <c r="P22" s="70"/>
      <c r="Q22" s="70"/>
      <c r="R22" s="18"/>
    </row>
    <row r="23" spans="1:18" x14ac:dyDescent="0.3">
      <c r="B23" s="8" t="s">
        <v>116</v>
      </c>
      <c r="C23" s="8">
        <v>11</v>
      </c>
      <c r="D23" s="66">
        <v>942.36</v>
      </c>
      <c r="E23" s="103">
        <v>13</v>
      </c>
      <c r="F23" s="66">
        <f t="shared" si="7"/>
        <v>72.489230769230772</v>
      </c>
      <c r="G23" s="118">
        <f t="shared" si="2"/>
        <v>72.489230769230772</v>
      </c>
      <c r="H23" s="118">
        <f t="shared" si="3"/>
        <v>72.489230769230772</v>
      </c>
      <c r="I23" s="118">
        <f t="shared" si="4"/>
        <v>0</v>
      </c>
      <c r="J23" s="47"/>
      <c r="K23" s="8">
        <f t="shared" si="5"/>
        <v>1</v>
      </c>
      <c r="L23" s="8">
        <f t="shared" ref="L23:M23" si="10">K23-1</f>
        <v>0</v>
      </c>
      <c r="M23" s="8">
        <f t="shared" si="10"/>
        <v>-1</v>
      </c>
      <c r="N23" s="66">
        <f t="shared" si="6"/>
        <v>72.489230769230744</v>
      </c>
      <c r="O23" s="66"/>
      <c r="P23" s="70"/>
      <c r="Q23" s="70"/>
      <c r="R23" s="18"/>
    </row>
    <row r="24" spans="1:18" x14ac:dyDescent="0.3">
      <c r="B24" s="8" t="s">
        <v>116</v>
      </c>
      <c r="C24" s="8">
        <v>11</v>
      </c>
      <c r="D24" s="66">
        <v>942.36</v>
      </c>
      <c r="E24" s="103">
        <v>13</v>
      </c>
      <c r="F24" s="66">
        <f t="shared" si="7"/>
        <v>72.489230769230772</v>
      </c>
      <c r="G24" s="118">
        <f t="shared" si="2"/>
        <v>72.489230769230772</v>
      </c>
      <c r="H24" s="118">
        <f t="shared" si="3"/>
        <v>72.489230769230772</v>
      </c>
      <c r="I24" s="118">
        <f t="shared" si="4"/>
        <v>0</v>
      </c>
      <c r="J24" s="47"/>
      <c r="K24" s="8">
        <f t="shared" si="5"/>
        <v>1</v>
      </c>
      <c r="L24" s="8">
        <f t="shared" ref="L24:M24" si="11">K24-1</f>
        <v>0</v>
      </c>
      <c r="M24" s="8">
        <f t="shared" si="11"/>
        <v>-1</v>
      </c>
      <c r="N24" s="66">
        <f t="shared" si="6"/>
        <v>72.489230769230744</v>
      </c>
      <c r="O24" s="66"/>
      <c r="P24" s="70"/>
      <c r="Q24" s="70"/>
      <c r="R24" s="18"/>
    </row>
    <row r="25" spans="1:18" x14ac:dyDescent="0.3">
      <c r="B25" s="8" t="s">
        <v>116</v>
      </c>
      <c r="C25" s="8">
        <v>11</v>
      </c>
      <c r="D25" s="66">
        <v>942.36</v>
      </c>
      <c r="E25" s="103">
        <v>13</v>
      </c>
      <c r="F25" s="66">
        <f t="shared" si="7"/>
        <v>72.489230769230772</v>
      </c>
      <c r="G25" s="118">
        <f t="shared" si="2"/>
        <v>72.489230769230772</v>
      </c>
      <c r="H25" s="118">
        <f t="shared" si="3"/>
        <v>72.489230769230772</v>
      </c>
      <c r="I25" s="118">
        <f t="shared" si="4"/>
        <v>0</v>
      </c>
      <c r="J25" s="47"/>
      <c r="K25" s="8">
        <f t="shared" si="5"/>
        <v>1</v>
      </c>
      <c r="L25" s="8">
        <f t="shared" ref="L25:M25" si="12">K25-1</f>
        <v>0</v>
      </c>
      <c r="M25" s="8">
        <f t="shared" si="12"/>
        <v>-1</v>
      </c>
      <c r="N25" s="66">
        <f t="shared" si="6"/>
        <v>72.489230769230744</v>
      </c>
      <c r="O25" s="66"/>
      <c r="P25" s="70"/>
      <c r="Q25" s="70"/>
      <c r="R25" s="18"/>
    </row>
    <row r="26" spans="1:18" x14ac:dyDescent="0.3">
      <c r="B26" s="8" t="s">
        <v>116</v>
      </c>
      <c r="C26" s="8">
        <v>5</v>
      </c>
      <c r="D26" s="66">
        <v>7786.8</v>
      </c>
      <c r="E26" s="103">
        <v>10</v>
      </c>
      <c r="F26" s="66">
        <f t="shared" si="7"/>
        <v>778.68000000000006</v>
      </c>
      <c r="G26" s="118">
        <f t="shared" si="2"/>
        <v>778.68000000000006</v>
      </c>
      <c r="H26" s="118">
        <f t="shared" si="3"/>
        <v>778.68000000000006</v>
      </c>
      <c r="I26" s="118">
        <f t="shared" si="4"/>
        <v>778.68000000000006</v>
      </c>
      <c r="J26" s="47"/>
      <c r="K26" s="8">
        <f t="shared" si="5"/>
        <v>4</v>
      </c>
      <c r="L26" s="8">
        <f t="shared" ref="L26:M26" si="13">K26-1</f>
        <v>3</v>
      </c>
      <c r="M26" s="8">
        <f t="shared" si="13"/>
        <v>2</v>
      </c>
      <c r="N26" s="66">
        <f t="shared" si="6"/>
        <v>3114.7200000000003</v>
      </c>
      <c r="O26" s="66"/>
      <c r="P26" s="70"/>
      <c r="Q26" s="70"/>
      <c r="R26" s="18"/>
    </row>
    <row r="27" spans="1:18" x14ac:dyDescent="0.3">
      <c r="B27" s="8" t="s">
        <v>116</v>
      </c>
      <c r="C27" s="8">
        <v>4</v>
      </c>
      <c r="D27" s="66">
        <v>5081.72</v>
      </c>
      <c r="E27" s="103">
        <v>10</v>
      </c>
      <c r="F27" s="66">
        <f>+D27/E27</f>
        <v>508.17200000000003</v>
      </c>
      <c r="G27" s="118">
        <f t="shared" si="2"/>
        <v>508.17200000000003</v>
      </c>
      <c r="H27" s="118">
        <f t="shared" si="3"/>
        <v>508.17200000000003</v>
      </c>
      <c r="I27" s="118">
        <f t="shared" si="4"/>
        <v>508.17200000000003</v>
      </c>
      <c r="J27" s="47"/>
      <c r="K27" s="8">
        <f t="shared" si="5"/>
        <v>5</v>
      </c>
      <c r="L27" s="8">
        <f t="shared" ref="L27:M27" si="14">K27-1</f>
        <v>4</v>
      </c>
      <c r="M27" s="8">
        <f t="shared" si="14"/>
        <v>3</v>
      </c>
      <c r="N27" s="66">
        <f t="shared" si="6"/>
        <v>2540.86</v>
      </c>
      <c r="O27" s="66"/>
      <c r="P27" s="70"/>
      <c r="Q27" s="70"/>
      <c r="R27" s="18"/>
    </row>
    <row r="28" spans="1:18" x14ac:dyDescent="0.3">
      <c r="B28" s="8" t="s">
        <v>116</v>
      </c>
      <c r="C28" s="8">
        <v>4</v>
      </c>
      <c r="D28" s="66">
        <v>8935.2000000000007</v>
      </c>
      <c r="E28" s="103">
        <v>10</v>
      </c>
      <c r="F28" s="66">
        <f t="shared" si="7"/>
        <v>893.5200000000001</v>
      </c>
      <c r="G28" s="118">
        <f t="shared" si="2"/>
        <v>893.5200000000001</v>
      </c>
      <c r="H28" s="118">
        <f t="shared" si="3"/>
        <v>893.5200000000001</v>
      </c>
      <c r="I28" s="118">
        <f t="shared" si="4"/>
        <v>893.5200000000001</v>
      </c>
      <c r="J28" s="47"/>
      <c r="K28" s="8">
        <f t="shared" si="5"/>
        <v>5</v>
      </c>
      <c r="L28" s="8">
        <f t="shared" ref="L28:M28" si="15">K28-1</f>
        <v>4</v>
      </c>
      <c r="M28" s="8">
        <f t="shared" si="15"/>
        <v>3</v>
      </c>
      <c r="N28" s="66">
        <f t="shared" si="6"/>
        <v>4467.6000000000004</v>
      </c>
      <c r="O28" s="66"/>
      <c r="P28" s="70"/>
      <c r="Q28" s="70"/>
      <c r="R28" s="18"/>
    </row>
    <row r="29" spans="1:18" x14ac:dyDescent="0.3">
      <c r="B29" s="8" t="s">
        <v>116</v>
      </c>
      <c r="C29" s="8">
        <v>4</v>
      </c>
      <c r="D29" s="66">
        <v>5528.64</v>
      </c>
      <c r="E29" s="103">
        <v>10</v>
      </c>
      <c r="F29" s="66">
        <f t="shared" si="7"/>
        <v>552.86400000000003</v>
      </c>
      <c r="G29" s="118">
        <f t="shared" si="2"/>
        <v>552.86400000000003</v>
      </c>
      <c r="H29" s="118">
        <f t="shared" si="3"/>
        <v>552.86400000000003</v>
      </c>
      <c r="I29" s="118">
        <f>IF(M29&lt;0,0,$F29)</f>
        <v>552.86400000000003</v>
      </c>
      <c r="J29" s="47"/>
      <c r="K29" s="8">
        <f t="shared" si="5"/>
        <v>5</v>
      </c>
      <c r="L29" s="8">
        <f t="shared" ref="L29:M29" si="16">K29-1</f>
        <v>4</v>
      </c>
      <c r="M29" s="8">
        <f t="shared" si="16"/>
        <v>3</v>
      </c>
      <c r="N29" s="66">
        <f t="shared" si="6"/>
        <v>2764.32</v>
      </c>
      <c r="O29" s="66"/>
      <c r="P29" s="70"/>
      <c r="Q29" s="70"/>
      <c r="R29" s="18"/>
    </row>
    <row r="30" spans="1:18" x14ac:dyDescent="0.3">
      <c r="B30" s="8" t="s">
        <v>116</v>
      </c>
      <c r="C30" s="8">
        <v>4</v>
      </c>
      <c r="D30" s="66">
        <v>1798</v>
      </c>
      <c r="E30" s="103">
        <v>10</v>
      </c>
      <c r="F30" s="66">
        <f t="shared" si="7"/>
        <v>179.8</v>
      </c>
      <c r="G30" s="118">
        <f t="shared" si="2"/>
        <v>179.8</v>
      </c>
      <c r="H30" s="118">
        <f t="shared" si="3"/>
        <v>179.8</v>
      </c>
      <c r="I30" s="118">
        <f t="shared" si="4"/>
        <v>179.8</v>
      </c>
      <c r="J30" s="47"/>
      <c r="K30" s="8">
        <f t="shared" si="5"/>
        <v>5</v>
      </c>
      <c r="L30" s="8">
        <f t="shared" ref="L30:M30" si="17">K30-1</f>
        <v>4</v>
      </c>
      <c r="M30" s="8">
        <f t="shared" si="17"/>
        <v>3</v>
      </c>
      <c r="N30" s="66">
        <f t="shared" si="6"/>
        <v>899</v>
      </c>
      <c r="O30" s="66"/>
      <c r="P30" s="70"/>
      <c r="Q30" s="70"/>
      <c r="R30" s="18"/>
    </row>
    <row r="31" spans="1:18" x14ac:dyDescent="0.3">
      <c r="B31" s="8" t="s">
        <v>116</v>
      </c>
      <c r="C31" s="8">
        <v>4</v>
      </c>
      <c r="D31" s="66">
        <v>16343.44</v>
      </c>
      <c r="E31" s="103">
        <v>10</v>
      </c>
      <c r="F31" s="66">
        <f t="shared" si="7"/>
        <v>1634.3440000000001</v>
      </c>
      <c r="G31" s="118">
        <f t="shared" si="2"/>
        <v>1634.3440000000001</v>
      </c>
      <c r="H31" s="118">
        <f t="shared" si="3"/>
        <v>1634.3440000000001</v>
      </c>
      <c r="I31" s="118">
        <f t="shared" si="4"/>
        <v>1634.3440000000001</v>
      </c>
      <c r="J31" s="47"/>
      <c r="K31" s="8">
        <f t="shared" si="5"/>
        <v>5</v>
      </c>
      <c r="L31" s="8">
        <f t="shared" ref="L31:M31" si="18">K31-1</f>
        <v>4</v>
      </c>
      <c r="M31" s="8">
        <f t="shared" si="18"/>
        <v>3</v>
      </c>
      <c r="N31" s="66">
        <f t="shared" si="6"/>
        <v>8171.72</v>
      </c>
      <c r="O31" s="66"/>
      <c r="P31" s="70"/>
      <c r="Q31" s="70"/>
      <c r="R31" s="18"/>
    </row>
    <row r="32" spans="1:18" x14ac:dyDescent="0.3">
      <c r="B32" s="8" t="s">
        <v>116</v>
      </c>
      <c r="C32" s="8">
        <v>4</v>
      </c>
      <c r="D32" s="66">
        <v>7506</v>
      </c>
      <c r="E32" s="103">
        <v>10</v>
      </c>
      <c r="F32" s="66">
        <f t="shared" si="7"/>
        <v>750.6</v>
      </c>
      <c r="G32" s="118">
        <f t="shared" si="2"/>
        <v>750.6</v>
      </c>
      <c r="H32" s="118">
        <f t="shared" si="3"/>
        <v>750.6</v>
      </c>
      <c r="I32" s="118">
        <f t="shared" si="4"/>
        <v>750.6</v>
      </c>
      <c r="J32" s="47"/>
      <c r="K32" s="8">
        <f t="shared" si="5"/>
        <v>5</v>
      </c>
      <c r="L32" s="8">
        <f t="shared" ref="L32:M32" si="19">K32-1</f>
        <v>4</v>
      </c>
      <c r="M32" s="8">
        <f t="shared" si="19"/>
        <v>3</v>
      </c>
      <c r="N32" s="66">
        <f t="shared" si="6"/>
        <v>3753</v>
      </c>
      <c r="O32" s="66"/>
      <c r="P32" s="70"/>
      <c r="Q32" s="70"/>
      <c r="R32" s="18"/>
    </row>
    <row r="33" spans="2:19" x14ac:dyDescent="0.3">
      <c r="B33" s="8" t="s">
        <v>116</v>
      </c>
      <c r="C33" s="8">
        <v>4</v>
      </c>
      <c r="D33" s="66">
        <v>3027.24</v>
      </c>
      <c r="E33" s="103">
        <v>10</v>
      </c>
      <c r="F33" s="66">
        <f t="shared" si="7"/>
        <v>302.72399999999999</v>
      </c>
      <c r="G33" s="118">
        <f t="shared" si="2"/>
        <v>302.72399999999999</v>
      </c>
      <c r="H33" s="118">
        <f t="shared" si="3"/>
        <v>302.72399999999999</v>
      </c>
      <c r="I33" s="118">
        <f t="shared" si="4"/>
        <v>302.72399999999999</v>
      </c>
      <c r="J33" s="47"/>
      <c r="K33" s="8">
        <f t="shared" si="5"/>
        <v>5</v>
      </c>
      <c r="L33" s="8">
        <f t="shared" ref="L33:M33" si="20">K33-1</f>
        <v>4</v>
      </c>
      <c r="M33" s="8">
        <f t="shared" si="20"/>
        <v>3</v>
      </c>
      <c r="N33" s="66">
        <f t="shared" si="6"/>
        <v>1513.62</v>
      </c>
      <c r="O33" s="66"/>
      <c r="P33" s="70"/>
      <c r="Q33" s="70"/>
      <c r="R33" s="18"/>
      <c r="S33" s="18"/>
    </row>
    <row r="34" spans="2:19" x14ac:dyDescent="0.3">
      <c r="B34" s="8" t="s">
        <v>117</v>
      </c>
      <c r="C34" s="8">
        <v>11</v>
      </c>
      <c r="D34" s="66">
        <v>1561.5</v>
      </c>
      <c r="E34" s="103">
        <v>13</v>
      </c>
      <c r="F34" s="66">
        <f t="shared" si="7"/>
        <v>120.11538461538461</v>
      </c>
      <c r="G34" s="118">
        <f t="shared" si="2"/>
        <v>120.11538461538461</v>
      </c>
      <c r="H34" s="118">
        <f t="shared" si="3"/>
        <v>120.11538461538461</v>
      </c>
      <c r="I34" s="118">
        <f t="shared" si="4"/>
        <v>0</v>
      </c>
      <c r="J34" s="47"/>
      <c r="K34" s="8">
        <f t="shared" si="5"/>
        <v>1</v>
      </c>
      <c r="L34" s="8">
        <f t="shared" ref="L34:M34" si="21">K34-1</f>
        <v>0</v>
      </c>
      <c r="M34" s="8">
        <f t="shared" si="21"/>
        <v>-1</v>
      </c>
      <c r="N34" s="66">
        <f t="shared" si="6"/>
        <v>120.11538461538453</v>
      </c>
      <c r="O34" s="66"/>
      <c r="P34" s="70"/>
      <c r="Q34" s="70"/>
      <c r="R34" s="18"/>
      <c r="S34" s="18"/>
    </row>
    <row r="35" spans="2:19" x14ac:dyDescent="0.3">
      <c r="B35" s="8" t="s">
        <v>117</v>
      </c>
      <c r="C35" s="8">
        <v>11</v>
      </c>
      <c r="D35" s="66">
        <v>2307.36</v>
      </c>
      <c r="E35" s="103">
        <v>13</v>
      </c>
      <c r="F35" s="66">
        <f t="shared" si="7"/>
        <v>177.48923076923077</v>
      </c>
      <c r="G35" s="118">
        <f t="shared" si="2"/>
        <v>177.48923076923077</v>
      </c>
      <c r="H35" s="118">
        <f t="shared" si="3"/>
        <v>177.48923076923077</v>
      </c>
      <c r="I35" s="118">
        <f t="shared" si="4"/>
        <v>0</v>
      </c>
      <c r="J35" s="47"/>
      <c r="K35" s="8">
        <f t="shared" si="5"/>
        <v>1</v>
      </c>
      <c r="L35" s="8">
        <f t="shared" ref="L35:M35" si="22">K35-1</f>
        <v>0</v>
      </c>
      <c r="M35" s="8">
        <f t="shared" si="22"/>
        <v>-1</v>
      </c>
      <c r="N35" s="66">
        <f t="shared" si="6"/>
        <v>177.48923076923074</v>
      </c>
      <c r="O35" s="66"/>
      <c r="P35" s="70"/>
      <c r="Q35" s="70"/>
      <c r="R35" s="18"/>
      <c r="S35" s="18"/>
    </row>
    <row r="36" spans="2:19" x14ac:dyDescent="0.3">
      <c r="B36" s="8" t="s">
        <v>117</v>
      </c>
      <c r="C36" s="8">
        <v>7</v>
      </c>
      <c r="D36" s="66">
        <v>1043.0999999999999</v>
      </c>
      <c r="E36" s="103">
        <v>13</v>
      </c>
      <c r="F36" s="66">
        <f t="shared" si="7"/>
        <v>80.238461538461536</v>
      </c>
      <c r="G36" s="118">
        <f t="shared" si="2"/>
        <v>80.238461538461536</v>
      </c>
      <c r="H36" s="118">
        <f t="shared" si="3"/>
        <v>80.238461538461536</v>
      </c>
      <c r="I36" s="118">
        <f t="shared" si="4"/>
        <v>80.238461538461536</v>
      </c>
      <c r="J36" s="47"/>
      <c r="K36" s="8">
        <f t="shared" si="5"/>
        <v>5</v>
      </c>
      <c r="L36" s="8">
        <f t="shared" ref="L36:M36" si="23">K36-1</f>
        <v>4</v>
      </c>
      <c r="M36" s="8">
        <f t="shared" si="23"/>
        <v>3</v>
      </c>
      <c r="N36" s="66">
        <f t="shared" si="6"/>
        <v>401.19230769230762</v>
      </c>
      <c r="O36" s="66"/>
      <c r="P36" s="70"/>
      <c r="Q36" s="70"/>
      <c r="R36" s="18"/>
      <c r="S36" s="18"/>
    </row>
    <row r="37" spans="2:19" x14ac:dyDescent="0.3">
      <c r="B37" s="8" t="s">
        <v>117</v>
      </c>
      <c r="C37" s="8">
        <v>7</v>
      </c>
      <c r="D37" s="66">
        <v>2041.22</v>
      </c>
      <c r="E37" s="103">
        <v>13</v>
      </c>
      <c r="F37" s="66">
        <f t="shared" si="7"/>
        <v>157.01692307692309</v>
      </c>
      <c r="G37" s="118">
        <f t="shared" si="2"/>
        <v>157.01692307692309</v>
      </c>
      <c r="H37" s="118">
        <f t="shared" si="3"/>
        <v>157.01692307692309</v>
      </c>
      <c r="I37" s="118">
        <f t="shared" si="4"/>
        <v>157.01692307692309</v>
      </c>
      <c r="J37" s="47"/>
      <c r="K37" s="8">
        <f t="shared" si="5"/>
        <v>5</v>
      </c>
      <c r="L37" s="8">
        <f t="shared" ref="L37:M37" si="24">K37-1</f>
        <v>4</v>
      </c>
      <c r="M37" s="8">
        <f t="shared" si="24"/>
        <v>3</v>
      </c>
      <c r="N37" s="66">
        <f t="shared" si="6"/>
        <v>785.08461538461552</v>
      </c>
      <c r="O37" s="66"/>
      <c r="P37" s="70"/>
      <c r="Q37" s="70"/>
      <c r="R37" s="18"/>
      <c r="S37" s="18"/>
    </row>
    <row r="38" spans="2:19" x14ac:dyDescent="0.3">
      <c r="B38" s="8" t="s">
        <v>117</v>
      </c>
      <c r="C38" s="8">
        <v>6</v>
      </c>
      <c r="D38" s="66">
        <v>3140</v>
      </c>
      <c r="E38" s="103">
        <v>10</v>
      </c>
      <c r="F38" s="66">
        <f t="shared" si="7"/>
        <v>314</v>
      </c>
      <c r="G38" s="118">
        <f t="shared" si="2"/>
        <v>314</v>
      </c>
      <c r="H38" s="118">
        <f t="shared" si="3"/>
        <v>314</v>
      </c>
      <c r="I38" s="118">
        <f t="shared" si="4"/>
        <v>314</v>
      </c>
      <c r="J38" s="47"/>
      <c r="K38" s="8">
        <f t="shared" si="5"/>
        <v>3</v>
      </c>
      <c r="L38" s="8">
        <f t="shared" ref="L38:M38" si="25">K38-1</f>
        <v>2</v>
      </c>
      <c r="M38" s="8">
        <f t="shared" si="25"/>
        <v>1</v>
      </c>
      <c r="N38" s="66">
        <f t="shared" si="6"/>
        <v>942</v>
      </c>
      <c r="O38" s="66"/>
      <c r="P38" s="70"/>
      <c r="Q38" s="70"/>
      <c r="R38" s="18"/>
    </row>
    <row r="39" spans="2:19" x14ac:dyDescent="0.3">
      <c r="B39" s="8" t="s">
        <v>117</v>
      </c>
      <c r="C39" s="8">
        <v>6</v>
      </c>
      <c r="D39" s="66">
        <v>3389.5</v>
      </c>
      <c r="E39" s="103">
        <v>13</v>
      </c>
      <c r="F39" s="66">
        <f t="shared" si="7"/>
        <v>260.73076923076923</v>
      </c>
      <c r="G39" s="118">
        <f t="shared" si="2"/>
        <v>260.73076923076923</v>
      </c>
      <c r="H39" s="118">
        <f t="shared" si="3"/>
        <v>260.73076923076923</v>
      </c>
      <c r="I39" s="118">
        <f t="shared" si="4"/>
        <v>260.73076923076923</v>
      </c>
      <c r="J39" s="47"/>
      <c r="K39" s="8">
        <f t="shared" si="5"/>
        <v>6</v>
      </c>
      <c r="L39" s="8">
        <f t="shared" ref="L39:M39" si="26">K39-1</f>
        <v>5</v>
      </c>
      <c r="M39" s="8">
        <f t="shared" si="26"/>
        <v>4</v>
      </c>
      <c r="N39" s="66">
        <f t="shared" si="6"/>
        <v>1564.3846153846152</v>
      </c>
      <c r="O39" s="66"/>
      <c r="P39" s="70"/>
      <c r="Q39" s="70"/>
      <c r="R39" s="18"/>
    </row>
    <row r="40" spans="2:19" x14ac:dyDescent="0.3">
      <c r="B40" s="8" t="s">
        <v>117</v>
      </c>
      <c r="C40" s="8">
        <v>5</v>
      </c>
      <c r="D40" s="66">
        <v>10877.76</v>
      </c>
      <c r="E40" s="103">
        <v>10</v>
      </c>
      <c r="F40" s="66">
        <f t="shared" si="7"/>
        <v>1087.7760000000001</v>
      </c>
      <c r="G40" s="118">
        <f t="shared" si="2"/>
        <v>1087.7760000000001</v>
      </c>
      <c r="H40" s="118">
        <f t="shared" si="3"/>
        <v>1087.7760000000001</v>
      </c>
      <c r="I40" s="118">
        <f t="shared" si="4"/>
        <v>1087.7760000000001</v>
      </c>
      <c r="J40" s="47"/>
      <c r="K40" s="8">
        <f t="shared" si="5"/>
        <v>4</v>
      </c>
      <c r="L40" s="8">
        <f t="shared" ref="L40:M40" si="27">K40-1</f>
        <v>3</v>
      </c>
      <c r="M40" s="8">
        <f t="shared" si="27"/>
        <v>2</v>
      </c>
      <c r="N40" s="66">
        <f t="shared" si="6"/>
        <v>4351.1040000000003</v>
      </c>
      <c r="O40" s="66"/>
      <c r="P40" s="70"/>
      <c r="Q40" s="70"/>
      <c r="R40" s="18"/>
    </row>
    <row r="41" spans="2:19" x14ac:dyDescent="0.3">
      <c r="B41" s="8" t="s">
        <v>117</v>
      </c>
      <c r="C41" s="8">
        <v>5</v>
      </c>
      <c r="D41" s="66">
        <v>28987.200000000001</v>
      </c>
      <c r="E41" s="103">
        <v>10</v>
      </c>
      <c r="F41" s="66">
        <f t="shared" si="7"/>
        <v>2898.7200000000003</v>
      </c>
      <c r="G41" s="118">
        <f t="shared" si="2"/>
        <v>2898.7200000000003</v>
      </c>
      <c r="H41" s="118">
        <f t="shared" si="3"/>
        <v>2898.7200000000003</v>
      </c>
      <c r="I41" s="118">
        <f t="shared" si="4"/>
        <v>2898.7200000000003</v>
      </c>
      <c r="J41" s="47"/>
      <c r="K41" s="8">
        <f t="shared" si="5"/>
        <v>4</v>
      </c>
      <c r="L41" s="8">
        <f t="shared" ref="L41:M41" si="28">K41-1</f>
        <v>3</v>
      </c>
      <c r="M41" s="8">
        <f t="shared" si="28"/>
        <v>2</v>
      </c>
      <c r="N41" s="66">
        <f t="shared" si="6"/>
        <v>11594.880000000001</v>
      </c>
      <c r="O41" s="66"/>
      <c r="P41" s="70"/>
      <c r="Q41" s="70"/>
      <c r="R41" s="18"/>
    </row>
    <row r="42" spans="2:19" x14ac:dyDescent="0.3">
      <c r="B42" s="8" t="s">
        <v>117</v>
      </c>
      <c r="C42" s="8">
        <v>5</v>
      </c>
      <c r="D42" s="66">
        <v>6718</v>
      </c>
      <c r="E42" s="103">
        <v>8</v>
      </c>
      <c r="F42" s="66">
        <f t="shared" si="7"/>
        <v>839.75</v>
      </c>
      <c r="G42" s="118">
        <f t="shared" si="2"/>
        <v>839.75</v>
      </c>
      <c r="H42" s="118">
        <f t="shared" si="3"/>
        <v>839.75</v>
      </c>
      <c r="I42" s="118">
        <f t="shared" si="4"/>
        <v>839.75</v>
      </c>
      <c r="J42" s="47"/>
      <c r="K42" s="8">
        <f t="shared" si="5"/>
        <v>2</v>
      </c>
      <c r="L42" s="8">
        <f t="shared" ref="L42:M42" si="29">K42-1</f>
        <v>1</v>
      </c>
      <c r="M42" s="8">
        <f t="shared" si="29"/>
        <v>0</v>
      </c>
      <c r="N42" s="66">
        <f t="shared" si="6"/>
        <v>1679.5</v>
      </c>
      <c r="O42" s="66"/>
      <c r="P42" s="70"/>
      <c r="Q42" s="70"/>
      <c r="R42" s="18"/>
    </row>
    <row r="43" spans="2:19" x14ac:dyDescent="0.3">
      <c r="B43" s="8" t="s">
        <v>117</v>
      </c>
      <c r="C43" s="8">
        <v>5</v>
      </c>
      <c r="D43" s="66">
        <v>5094</v>
      </c>
      <c r="E43" s="103">
        <v>10</v>
      </c>
      <c r="F43" s="66">
        <f t="shared" si="7"/>
        <v>509.4</v>
      </c>
      <c r="G43" s="118">
        <f t="shared" si="2"/>
        <v>509.4</v>
      </c>
      <c r="H43" s="118">
        <f t="shared" si="3"/>
        <v>509.4</v>
      </c>
      <c r="I43" s="118">
        <f t="shared" si="4"/>
        <v>509.4</v>
      </c>
      <c r="J43" s="47"/>
      <c r="K43" s="8">
        <f t="shared" si="5"/>
        <v>4</v>
      </c>
      <c r="L43" s="8">
        <f t="shared" ref="L43:M43" si="30">K43-1</f>
        <v>3</v>
      </c>
      <c r="M43" s="8">
        <f t="shared" si="30"/>
        <v>2</v>
      </c>
      <c r="N43" s="66">
        <f t="shared" si="6"/>
        <v>2037.6</v>
      </c>
      <c r="O43" s="66"/>
      <c r="P43" s="70"/>
      <c r="Q43" s="70"/>
      <c r="R43" s="18"/>
    </row>
    <row r="44" spans="2:19" x14ac:dyDescent="0.3">
      <c r="B44" s="8" t="s">
        <v>118</v>
      </c>
      <c r="C44" s="8">
        <v>5</v>
      </c>
      <c r="D44" s="66">
        <v>560800</v>
      </c>
      <c r="E44" s="103">
        <v>10</v>
      </c>
      <c r="F44" s="66">
        <f t="shared" si="7"/>
        <v>56080</v>
      </c>
      <c r="G44" s="118">
        <f t="shared" si="2"/>
        <v>56080</v>
      </c>
      <c r="H44" s="118">
        <f t="shared" si="3"/>
        <v>56080</v>
      </c>
      <c r="I44" s="118">
        <f t="shared" si="4"/>
        <v>56080</v>
      </c>
      <c r="J44" s="47"/>
      <c r="K44" s="8">
        <f t="shared" si="5"/>
        <v>4</v>
      </c>
      <c r="L44" s="8">
        <f t="shared" ref="L44:M44" si="31">K44-1</f>
        <v>3</v>
      </c>
      <c r="M44" s="8">
        <f t="shared" si="31"/>
        <v>2</v>
      </c>
      <c r="N44" s="66">
        <f t="shared" si="6"/>
        <v>224320</v>
      </c>
      <c r="O44" s="66"/>
      <c r="P44" s="70"/>
      <c r="Q44" s="70"/>
      <c r="R44" s="18"/>
    </row>
    <row r="45" spans="2:19" x14ac:dyDescent="0.3">
      <c r="B45" s="8" t="s">
        <v>118</v>
      </c>
      <c r="C45" s="8">
        <v>5</v>
      </c>
      <c r="D45" s="66">
        <v>2700</v>
      </c>
      <c r="E45" s="103">
        <v>8</v>
      </c>
      <c r="F45" s="66">
        <f t="shared" si="7"/>
        <v>337.5</v>
      </c>
      <c r="G45" s="118">
        <f t="shared" si="2"/>
        <v>337.5</v>
      </c>
      <c r="H45" s="118">
        <f t="shared" si="3"/>
        <v>337.5</v>
      </c>
      <c r="I45" s="118">
        <f t="shared" si="4"/>
        <v>337.5</v>
      </c>
      <c r="J45" s="47"/>
      <c r="K45" s="8">
        <f t="shared" si="5"/>
        <v>2</v>
      </c>
      <c r="L45" s="8">
        <f t="shared" ref="L45:M45" si="32">K45-1</f>
        <v>1</v>
      </c>
      <c r="M45" s="8">
        <f t="shared" si="32"/>
        <v>0</v>
      </c>
      <c r="N45" s="66">
        <f t="shared" si="6"/>
        <v>675</v>
      </c>
      <c r="O45" s="66"/>
      <c r="P45" s="70"/>
      <c r="Q45" s="70"/>
      <c r="R45" s="18"/>
    </row>
    <row r="46" spans="2:19" x14ac:dyDescent="0.3">
      <c r="B46" s="8" t="s">
        <v>118</v>
      </c>
      <c r="C46" s="8">
        <v>5</v>
      </c>
      <c r="D46" s="66">
        <v>5045.46</v>
      </c>
      <c r="E46" s="103">
        <v>10</v>
      </c>
      <c r="F46" s="66">
        <f t="shared" si="7"/>
        <v>504.54599999999999</v>
      </c>
      <c r="G46" s="118">
        <f t="shared" si="2"/>
        <v>504.54599999999999</v>
      </c>
      <c r="H46" s="118">
        <f t="shared" si="3"/>
        <v>504.54599999999999</v>
      </c>
      <c r="I46" s="118">
        <f t="shared" si="4"/>
        <v>504.54599999999999</v>
      </c>
      <c r="J46" s="47"/>
      <c r="K46" s="8">
        <f t="shared" si="5"/>
        <v>4</v>
      </c>
      <c r="L46" s="8">
        <f t="shared" ref="L46:M46" si="33">K46-1</f>
        <v>3</v>
      </c>
      <c r="M46" s="8">
        <f t="shared" si="33"/>
        <v>2</v>
      </c>
      <c r="N46" s="66">
        <f t="shared" si="6"/>
        <v>2018.1840000000002</v>
      </c>
      <c r="O46" s="66"/>
      <c r="P46" s="70"/>
      <c r="Q46" s="70"/>
      <c r="R46" s="18"/>
    </row>
    <row r="47" spans="2:19" x14ac:dyDescent="0.3">
      <c r="B47" s="8" t="s">
        <v>118</v>
      </c>
      <c r="C47" s="8">
        <v>5</v>
      </c>
      <c r="D47" s="66">
        <v>2072</v>
      </c>
      <c r="E47" s="103">
        <v>10</v>
      </c>
      <c r="F47" s="66">
        <f t="shared" si="7"/>
        <v>207.2</v>
      </c>
      <c r="G47" s="118">
        <f t="shared" si="2"/>
        <v>207.2</v>
      </c>
      <c r="H47" s="118">
        <f t="shared" si="3"/>
        <v>207.2</v>
      </c>
      <c r="I47" s="118">
        <f t="shared" si="4"/>
        <v>207.2</v>
      </c>
      <c r="J47" s="47"/>
      <c r="K47" s="8">
        <f t="shared" si="5"/>
        <v>4</v>
      </c>
      <c r="L47" s="8">
        <f t="shared" ref="L47:M47" si="34">K47-1</f>
        <v>3</v>
      </c>
      <c r="M47" s="8">
        <f t="shared" si="34"/>
        <v>2</v>
      </c>
      <c r="N47" s="66">
        <f t="shared" si="6"/>
        <v>828.8</v>
      </c>
      <c r="O47" s="66"/>
      <c r="P47" s="70"/>
      <c r="Q47" s="70"/>
      <c r="R47" s="18"/>
    </row>
    <row r="48" spans="2:19" x14ac:dyDescent="0.3">
      <c r="B48" s="8" t="s">
        <v>118</v>
      </c>
      <c r="C48" s="1">
        <v>5</v>
      </c>
      <c r="D48" s="77">
        <v>120780</v>
      </c>
      <c r="E48" s="114">
        <v>10</v>
      </c>
      <c r="F48" s="77">
        <f t="shared" si="7"/>
        <v>12078</v>
      </c>
      <c r="G48" s="118">
        <f t="shared" si="2"/>
        <v>12078</v>
      </c>
      <c r="H48" s="118">
        <f t="shared" si="3"/>
        <v>12078</v>
      </c>
      <c r="I48" s="118">
        <f t="shared" si="4"/>
        <v>12078</v>
      </c>
      <c r="J48" s="47"/>
      <c r="K48" s="8">
        <f t="shared" si="5"/>
        <v>4</v>
      </c>
      <c r="L48" s="8">
        <f t="shared" ref="L48:M48" si="35">K48-1</f>
        <v>3</v>
      </c>
      <c r="M48" s="8">
        <f t="shared" si="35"/>
        <v>2</v>
      </c>
      <c r="N48" s="66">
        <f t="shared" si="6"/>
        <v>48312</v>
      </c>
      <c r="O48" s="66"/>
      <c r="P48" s="70"/>
      <c r="Q48" s="70"/>
      <c r="R48" s="18"/>
    </row>
    <row r="49" spans="2:18" x14ac:dyDescent="0.3">
      <c r="B49" s="8" t="s">
        <v>118</v>
      </c>
      <c r="C49" s="8">
        <v>4</v>
      </c>
      <c r="D49" s="66">
        <v>990</v>
      </c>
      <c r="E49" s="103">
        <v>6</v>
      </c>
      <c r="F49" s="66">
        <f t="shared" si="7"/>
        <v>165</v>
      </c>
      <c r="G49" s="118">
        <f t="shared" si="2"/>
        <v>165</v>
      </c>
      <c r="H49" s="118">
        <f t="shared" si="3"/>
        <v>165</v>
      </c>
      <c r="I49" s="118">
        <f t="shared" si="4"/>
        <v>0</v>
      </c>
      <c r="J49" s="47"/>
      <c r="K49" s="8">
        <f t="shared" si="5"/>
        <v>1</v>
      </c>
      <c r="L49" s="8">
        <f t="shared" ref="L49:M49" si="36">K49-1</f>
        <v>0</v>
      </c>
      <c r="M49" s="8">
        <f t="shared" si="36"/>
        <v>-1</v>
      </c>
      <c r="N49" s="66">
        <f t="shared" si="6"/>
        <v>165</v>
      </c>
      <c r="O49" s="66"/>
      <c r="P49" s="70"/>
      <c r="Q49" s="70"/>
      <c r="R49" s="18"/>
    </row>
    <row r="50" spans="2:18" x14ac:dyDescent="0.3">
      <c r="B50" s="8" t="s">
        <v>118</v>
      </c>
      <c r="C50" s="8">
        <v>4</v>
      </c>
      <c r="D50" s="66">
        <v>39720.379999999997</v>
      </c>
      <c r="E50" s="103">
        <v>10</v>
      </c>
      <c r="F50" s="66">
        <f t="shared" si="7"/>
        <v>3972.0379999999996</v>
      </c>
      <c r="G50" s="118">
        <f t="shared" si="2"/>
        <v>3972.0379999999996</v>
      </c>
      <c r="H50" s="118">
        <f t="shared" si="3"/>
        <v>3972.0379999999996</v>
      </c>
      <c r="I50" s="118">
        <f t="shared" si="4"/>
        <v>3972.0379999999996</v>
      </c>
      <c r="J50" s="47"/>
      <c r="K50" s="8">
        <f t="shared" si="5"/>
        <v>5</v>
      </c>
      <c r="L50" s="8">
        <f t="shared" ref="L50:M50" si="37">K50-1</f>
        <v>4</v>
      </c>
      <c r="M50" s="8">
        <f t="shared" si="37"/>
        <v>3</v>
      </c>
      <c r="N50" s="66">
        <f t="shared" si="6"/>
        <v>19860.189999999999</v>
      </c>
      <c r="O50" s="66"/>
      <c r="P50" s="70"/>
      <c r="Q50" s="70"/>
      <c r="R50" s="18"/>
    </row>
    <row r="51" spans="2:18" x14ac:dyDescent="0.3">
      <c r="B51" s="8" t="s">
        <v>118</v>
      </c>
      <c r="C51" s="8">
        <v>4</v>
      </c>
      <c r="D51" s="66">
        <v>2151</v>
      </c>
      <c r="E51" s="103">
        <v>10</v>
      </c>
      <c r="F51" s="66">
        <f t="shared" si="7"/>
        <v>215.1</v>
      </c>
      <c r="G51" s="118">
        <f t="shared" ref="G51:G83" si="38">IF(K51&lt;0,0,$F51)</f>
        <v>215.1</v>
      </c>
      <c r="H51" s="118">
        <f t="shared" ref="H51:H83" si="39">IF(L51&lt;0,0,$F51)</f>
        <v>215.1</v>
      </c>
      <c r="I51" s="118">
        <f t="shared" ref="I51:I83" si="40">IF(M51&lt;0,0,$F51)</f>
        <v>215.1</v>
      </c>
      <c r="J51" s="47"/>
      <c r="K51" s="8">
        <f t="shared" ref="K51:K83" si="41">E51-C51-1</f>
        <v>5</v>
      </c>
      <c r="L51" s="8">
        <f t="shared" ref="L51:M51" si="42">K51-1</f>
        <v>4</v>
      </c>
      <c r="M51" s="8">
        <f t="shared" si="42"/>
        <v>3</v>
      </c>
      <c r="N51" s="66">
        <f t="shared" si="6"/>
        <v>1075.5</v>
      </c>
      <c r="O51" s="66"/>
      <c r="P51" s="70"/>
      <c r="Q51" s="70"/>
      <c r="R51" s="18"/>
    </row>
    <row r="52" spans="2:18" x14ac:dyDescent="0.3">
      <c r="B52" s="8" t="s">
        <v>118</v>
      </c>
      <c r="C52" s="8">
        <v>4</v>
      </c>
      <c r="D52" s="66">
        <v>4131</v>
      </c>
      <c r="E52" s="103">
        <v>10</v>
      </c>
      <c r="F52" s="66">
        <f t="shared" si="7"/>
        <v>413.1</v>
      </c>
      <c r="G52" s="118">
        <f t="shared" si="38"/>
        <v>413.1</v>
      </c>
      <c r="H52" s="118">
        <f t="shared" si="39"/>
        <v>413.1</v>
      </c>
      <c r="I52" s="118">
        <f t="shared" si="40"/>
        <v>413.1</v>
      </c>
      <c r="J52" s="47"/>
      <c r="K52" s="8">
        <f t="shared" si="41"/>
        <v>5</v>
      </c>
      <c r="L52" s="8">
        <f t="shared" ref="L52:M52" si="43">K52-1</f>
        <v>4</v>
      </c>
      <c r="M52" s="8">
        <f t="shared" si="43"/>
        <v>3</v>
      </c>
      <c r="N52" s="66">
        <f t="shared" si="6"/>
        <v>2065.5</v>
      </c>
      <c r="O52" s="66"/>
      <c r="P52" s="70"/>
      <c r="Q52" s="70"/>
      <c r="R52" s="18"/>
    </row>
    <row r="53" spans="2:18" x14ac:dyDescent="0.3">
      <c r="B53" s="8" t="s">
        <v>118</v>
      </c>
      <c r="C53" s="8">
        <v>4</v>
      </c>
      <c r="D53" s="66">
        <v>23850</v>
      </c>
      <c r="E53" s="103">
        <v>10</v>
      </c>
      <c r="F53" s="66">
        <f t="shared" si="7"/>
        <v>2385</v>
      </c>
      <c r="G53" s="118">
        <f t="shared" si="38"/>
        <v>2385</v>
      </c>
      <c r="H53" s="118">
        <f t="shared" si="39"/>
        <v>2385</v>
      </c>
      <c r="I53" s="118">
        <f t="shared" si="40"/>
        <v>2385</v>
      </c>
      <c r="J53" s="47"/>
      <c r="K53" s="8">
        <f t="shared" si="41"/>
        <v>5</v>
      </c>
      <c r="L53" s="8">
        <f t="shared" ref="L53:M53" si="44">K53-1</f>
        <v>4</v>
      </c>
      <c r="M53" s="8">
        <f t="shared" si="44"/>
        <v>3</v>
      </c>
      <c r="N53" s="66">
        <f t="shared" si="6"/>
        <v>11925</v>
      </c>
      <c r="O53" s="66"/>
      <c r="P53" s="70"/>
      <c r="Q53" s="70"/>
      <c r="R53" s="18"/>
    </row>
    <row r="54" spans="2:18" x14ac:dyDescent="0.3">
      <c r="B54" s="8" t="s">
        <v>118</v>
      </c>
      <c r="C54" s="8">
        <v>4</v>
      </c>
      <c r="D54" s="77">
        <f>14743.04-3191.41</f>
        <v>11551.630000000001</v>
      </c>
      <c r="E54" s="103">
        <v>10</v>
      </c>
      <c r="F54" s="66">
        <f t="shared" si="7"/>
        <v>1155.163</v>
      </c>
      <c r="G54" s="118">
        <f t="shared" si="38"/>
        <v>1155.163</v>
      </c>
      <c r="H54" s="118">
        <f t="shared" si="39"/>
        <v>1155.163</v>
      </c>
      <c r="I54" s="118">
        <f t="shared" si="40"/>
        <v>1155.163</v>
      </c>
      <c r="J54" s="47"/>
      <c r="K54" s="8">
        <f t="shared" si="41"/>
        <v>5</v>
      </c>
      <c r="L54" s="8">
        <f t="shared" ref="L54:M54" si="45">K54-1</f>
        <v>4</v>
      </c>
      <c r="M54" s="8">
        <f t="shared" si="45"/>
        <v>3</v>
      </c>
      <c r="N54" s="66">
        <f t="shared" si="6"/>
        <v>5775.8150000000005</v>
      </c>
      <c r="O54" s="66"/>
      <c r="P54" s="70"/>
      <c r="Q54" s="70"/>
      <c r="R54" s="18"/>
    </row>
    <row r="55" spans="2:18" x14ac:dyDescent="0.3">
      <c r="B55" s="8" t="s">
        <v>118</v>
      </c>
      <c r="C55" s="8">
        <v>4</v>
      </c>
      <c r="D55" s="77">
        <f>2318+2965.3</f>
        <v>5283.3</v>
      </c>
      <c r="E55" s="103">
        <v>10</v>
      </c>
      <c r="F55" s="66">
        <f t="shared" si="7"/>
        <v>528.33000000000004</v>
      </c>
      <c r="G55" s="118">
        <f t="shared" si="38"/>
        <v>528.33000000000004</v>
      </c>
      <c r="H55" s="118">
        <f t="shared" si="39"/>
        <v>528.33000000000004</v>
      </c>
      <c r="I55" s="118">
        <f t="shared" si="40"/>
        <v>528.33000000000004</v>
      </c>
      <c r="J55" s="47"/>
      <c r="K55" s="8">
        <f t="shared" si="41"/>
        <v>5</v>
      </c>
      <c r="L55" s="8">
        <f t="shared" ref="L55:M55" si="46">K55-1</f>
        <v>4</v>
      </c>
      <c r="M55" s="8">
        <f t="shared" si="46"/>
        <v>3</v>
      </c>
      <c r="N55" s="66">
        <f t="shared" si="6"/>
        <v>2641.65</v>
      </c>
      <c r="O55" s="66"/>
      <c r="P55" s="70"/>
      <c r="Q55" s="70"/>
      <c r="R55" s="18"/>
    </row>
    <row r="56" spans="2:18" x14ac:dyDescent="0.3">
      <c r="B56" s="8" t="s">
        <v>118</v>
      </c>
      <c r="C56" s="8">
        <v>6</v>
      </c>
      <c r="D56" s="66">
        <v>72460.800000000003</v>
      </c>
      <c r="E56" s="103">
        <v>10</v>
      </c>
      <c r="F56" s="66">
        <f t="shared" si="7"/>
        <v>7246.08</v>
      </c>
      <c r="G56" s="118">
        <f t="shared" si="38"/>
        <v>7246.08</v>
      </c>
      <c r="H56" s="118">
        <f t="shared" si="39"/>
        <v>7246.08</v>
      </c>
      <c r="I56" s="118">
        <f t="shared" si="40"/>
        <v>7246.08</v>
      </c>
      <c r="J56" s="47"/>
      <c r="K56" s="8">
        <f t="shared" si="41"/>
        <v>3</v>
      </c>
      <c r="L56" s="8">
        <f t="shared" ref="L56:M56" si="47">K56-1</f>
        <v>2</v>
      </c>
      <c r="M56" s="8">
        <f t="shared" si="47"/>
        <v>1</v>
      </c>
      <c r="N56" s="66">
        <f t="shared" si="6"/>
        <v>21738.239999999998</v>
      </c>
      <c r="O56" s="66"/>
      <c r="P56" s="70"/>
      <c r="Q56" s="70"/>
      <c r="R56" s="18"/>
    </row>
    <row r="57" spans="2:18" x14ac:dyDescent="0.3">
      <c r="B57" s="8" t="s">
        <v>118</v>
      </c>
      <c r="C57" s="8">
        <v>6</v>
      </c>
      <c r="D57" s="66">
        <v>10200</v>
      </c>
      <c r="E57" s="103">
        <v>8</v>
      </c>
      <c r="F57" s="66">
        <f t="shared" si="7"/>
        <v>1275</v>
      </c>
      <c r="G57" s="118">
        <f t="shared" si="38"/>
        <v>1275</v>
      </c>
      <c r="H57" s="118">
        <f t="shared" si="39"/>
        <v>1275</v>
      </c>
      <c r="I57" s="118">
        <f t="shared" si="40"/>
        <v>0</v>
      </c>
      <c r="J57" s="47"/>
      <c r="K57" s="8">
        <f t="shared" si="41"/>
        <v>1</v>
      </c>
      <c r="L57" s="8">
        <f t="shared" ref="L57:M57" si="48">K57-1</f>
        <v>0</v>
      </c>
      <c r="M57" s="8">
        <f t="shared" si="48"/>
        <v>-1</v>
      </c>
      <c r="N57" s="66">
        <f t="shared" si="6"/>
        <v>1275</v>
      </c>
      <c r="O57" s="66"/>
      <c r="P57" s="70"/>
      <c r="Q57" s="70"/>
      <c r="R57" s="18"/>
    </row>
    <row r="58" spans="2:18" x14ac:dyDescent="0.3">
      <c r="B58" s="8" t="s">
        <v>117</v>
      </c>
      <c r="C58" s="8">
        <v>0</v>
      </c>
      <c r="D58" s="66">
        <v>42910</v>
      </c>
      <c r="E58" s="103">
        <v>5</v>
      </c>
      <c r="F58" s="66">
        <f t="shared" si="7"/>
        <v>8582</v>
      </c>
      <c r="G58" s="118">
        <f t="shared" si="38"/>
        <v>8582</v>
      </c>
      <c r="H58" s="118">
        <f t="shared" si="39"/>
        <v>8582</v>
      </c>
      <c r="I58" s="118">
        <f t="shared" si="40"/>
        <v>8582</v>
      </c>
      <c r="J58" s="47"/>
      <c r="K58" s="8">
        <f t="shared" si="41"/>
        <v>4</v>
      </c>
      <c r="L58" s="8">
        <f t="shared" ref="L58:M58" si="49">K58-1</f>
        <v>3</v>
      </c>
      <c r="M58" s="8">
        <f t="shared" si="49"/>
        <v>2</v>
      </c>
      <c r="N58" s="66">
        <f t="shared" si="6"/>
        <v>34328</v>
      </c>
      <c r="O58" s="66"/>
      <c r="P58" s="70"/>
      <c r="Q58" s="70"/>
      <c r="R58" s="18"/>
    </row>
    <row r="59" spans="2:18" x14ac:dyDescent="0.3">
      <c r="B59" s="8" t="s">
        <v>117</v>
      </c>
      <c r="C59" s="8">
        <v>1</v>
      </c>
      <c r="D59" s="66">
        <v>23660.799999999999</v>
      </c>
      <c r="E59" s="103">
        <v>3</v>
      </c>
      <c r="F59" s="66">
        <f t="shared" si="7"/>
        <v>7886.9333333333334</v>
      </c>
      <c r="G59" s="118">
        <f t="shared" si="38"/>
        <v>7886.9333333333334</v>
      </c>
      <c r="H59" s="118">
        <f t="shared" si="39"/>
        <v>7886.9333333333334</v>
      </c>
      <c r="I59" s="118">
        <f t="shared" si="40"/>
        <v>0</v>
      </c>
      <c r="J59" s="47"/>
      <c r="K59" s="8">
        <f t="shared" si="41"/>
        <v>1</v>
      </c>
      <c r="L59" s="8">
        <f t="shared" ref="L59:M59" si="50">K59-1</f>
        <v>0</v>
      </c>
      <c r="M59" s="8">
        <f t="shared" si="50"/>
        <v>-1</v>
      </c>
      <c r="N59" s="66">
        <f t="shared" si="6"/>
        <v>7886.9333333333343</v>
      </c>
      <c r="O59" s="66"/>
      <c r="P59" s="70"/>
      <c r="Q59" s="70"/>
      <c r="R59" s="18"/>
    </row>
    <row r="60" spans="2:18" x14ac:dyDescent="0.3">
      <c r="B60" s="8" t="s">
        <v>116</v>
      </c>
      <c r="C60" s="8">
        <v>1</v>
      </c>
      <c r="D60" s="66">
        <v>2366.8000000000002</v>
      </c>
      <c r="E60" s="103">
        <v>2</v>
      </c>
      <c r="F60" s="66">
        <f t="shared" si="7"/>
        <v>1183.4000000000001</v>
      </c>
      <c r="G60" s="118">
        <f t="shared" si="38"/>
        <v>1183.4000000000001</v>
      </c>
      <c r="H60" s="118">
        <f t="shared" si="39"/>
        <v>0</v>
      </c>
      <c r="I60" s="118">
        <f t="shared" si="40"/>
        <v>0</v>
      </c>
      <c r="J60" s="47"/>
      <c r="K60" s="8">
        <f t="shared" si="41"/>
        <v>0</v>
      </c>
      <c r="L60" s="8">
        <f t="shared" ref="L60:M60" si="51">K60-1</f>
        <v>-1</v>
      </c>
      <c r="M60" s="8">
        <f t="shared" si="51"/>
        <v>-2</v>
      </c>
      <c r="N60" s="66">
        <f t="shared" si="6"/>
        <v>0</v>
      </c>
      <c r="O60" s="66"/>
      <c r="P60" s="70"/>
      <c r="Q60" s="70"/>
      <c r="R60" s="18"/>
    </row>
    <row r="61" spans="2:18" x14ac:dyDescent="0.3">
      <c r="B61" s="8" t="s">
        <v>117</v>
      </c>
      <c r="C61" s="8">
        <v>1</v>
      </c>
      <c r="D61" s="66">
        <v>43700.58</v>
      </c>
      <c r="E61" s="103">
        <v>8</v>
      </c>
      <c r="F61" s="66">
        <f t="shared" si="7"/>
        <v>5462.5725000000002</v>
      </c>
      <c r="G61" s="118">
        <f t="shared" si="38"/>
        <v>5462.5725000000002</v>
      </c>
      <c r="H61" s="118">
        <f t="shared" si="39"/>
        <v>5462.5725000000002</v>
      </c>
      <c r="I61" s="118">
        <f t="shared" si="40"/>
        <v>5462.5725000000002</v>
      </c>
      <c r="J61" s="47"/>
      <c r="K61" s="8">
        <f t="shared" si="41"/>
        <v>6</v>
      </c>
      <c r="L61" s="8">
        <f t="shared" ref="L61:M61" si="52">K61-1</f>
        <v>5</v>
      </c>
      <c r="M61" s="8">
        <f t="shared" si="52"/>
        <v>4</v>
      </c>
      <c r="N61" s="66">
        <f t="shared" si="6"/>
        <v>32775.434999999998</v>
      </c>
      <c r="O61" s="66"/>
      <c r="P61" s="70"/>
      <c r="Q61" s="70"/>
      <c r="R61" s="18"/>
    </row>
    <row r="62" spans="2:18" x14ac:dyDescent="0.3">
      <c r="B62" s="8" t="s">
        <v>117</v>
      </c>
      <c r="C62" s="8">
        <v>1</v>
      </c>
      <c r="D62" s="66">
        <v>22210.720000000001</v>
      </c>
      <c r="E62" s="103">
        <v>8</v>
      </c>
      <c r="F62" s="66">
        <f t="shared" si="7"/>
        <v>2776.34</v>
      </c>
      <c r="G62" s="118">
        <f t="shared" si="38"/>
        <v>2776.34</v>
      </c>
      <c r="H62" s="118">
        <f t="shared" si="39"/>
        <v>2776.34</v>
      </c>
      <c r="I62" s="118">
        <f t="shared" si="40"/>
        <v>2776.34</v>
      </c>
      <c r="J62" s="47"/>
      <c r="K62" s="8">
        <f t="shared" si="41"/>
        <v>6</v>
      </c>
      <c r="L62" s="8">
        <f t="shared" ref="L62:M62" si="53">K62-1</f>
        <v>5</v>
      </c>
      <c r="M62" s="8">
        <f t="shared" si="53"/>
        <v>4</v>
      </c>
      <c r="N62" s="66">
        <f t="shared" si="6"/>
        <v>16658.04</v>
      </c>
      <c r="O62" s="66"/>
      <c r="P62" s="70"/>
      <c r="Q62" s="70"/>
      <c r="R62" s="18"/>
    </row>
    <row r="63" spans="2:18" x14ac:dyDescent="0.3">
      <c r="B63" s="8" t="s">
        <v>117</v>
      </c>
      <c r="C63" s="8">
        <v>0</v>
      </c>
      <c r="D63" s="66">
        <v>40022</v>
      </c>
      <c r="E63" s="103">
        <v>8</v>
      </c>
      <c r="F63" s="66">
        <f t="shared" si="7"/>
        <v>5002.75</v>
      </c>
      <c r="G63" s="118">
        <f t="shared" si="38"/>
        <v>5002.75</v>
      </c>
      <c r="H63" s="118">
        <f t="shared" si="39"/>
        <v>5002.75</v>
      </c>
      <c r="I63" s="118">
        <f t="shared" si="40"/>
        <v>5002.75</v>
      </c>
      <c r="J63" s="47"/>
      <c r="K63" s="8">
        <f t="shared" si="41"/>
        <v>7</v>
      </c>
      <c r="L63" s="8">
        <f t="shared" ref="L63:M63" si="54">K63-1</f>
        <v>6</v>
      </c>
      <c r="M63" s="8">
        <f t="shared" si="54"/>
        <v>5</v>
      </c>
      <c r="N63" s="66">
        <f t="shared" si="6"/>
        <v>35019.25</v>
      </c>
      <c r="O63" s="66"/>
      <c r="P63" s="70"/>
      <c r="Q63" s="70"/>
      <c r="R63" s="18"/>
    </row>
    <row r="64" spans="2:18" x14ac:dyDescent="0.3">
      <c r="B64" s="8" t="s">
        <v>117</v>
      </c>
      <c r="C64" s="8">
        <v>0</v>
      </c>
      <c r="D64" s="66">
        <f>38078.9+3125.94</f>
        <v>41204.840000000004</v>
      </c>
      <c r="E64" s="103">
        <v>8</v>
      </c>
      <c r="F64" s="66">
        <f t="shared" si="7"/>
        <v>5150.6050000000005</v>
      </c>
      <c r="G64" s="118">
        <f t="shared" si="38"/>
        <v>5150.6050000000005</v>
      </c>
      <c r="H64" s="118">
        <f t="shared" si="39"/>
        <v>5150.6050000000005</v>
      </c>
      <c r="I64" s="118">
        <f t="shared" si="40"/>
        <v>5150.6050000000005</v>
      </c>
      <c r="J64" s="47"/>
      <c r="K64" s="8">
        <f t="shared" si="41"/>
        <v>7</v>
      </c>
      <c r="L64" s="8">
        <f t="shared" ref="L64:M64" si="55">K64-1</f>
        <v>6</v>
      </c>
      <c r="M64" s="8">
        <f t="shared" si="55"/>
        <v>5</v>
      </c>
      <c r="N64" s="66">
        <f t="shared" si="6"/>
        <v>36054.235000000001</v>
      </c>
      <c r="O64" s="66"/>
      <c r="P64" s="70"/>
      <c r="Q64" s="70"/>
      <c r="R64" s="18"/>
    </row>
    <row r="65" spans="2:18" x14ac:dyDescent="0.3">
      <c r="B65" s="8" t="s">
        <v>117</v>
      </c>
      <c r="C65" s="8">
        <v>0</v>
      </c>
      <c r="D65" s="66">
        <v>3845.28</v>
      </c>
      <c r="E65" s="103">
        <v>3</v>
      </c>
      <c r="F65" s="66">
        <f t="shared" si="7"/>
        <v>1281.76</v>
      </c>
      <c r="G65" s="118">
        <f t="shared" si="38"/>
        <v>1281.76</v>
      </c>
      <c r="H65" s="118">
        <f t="shared" si="39"/>
        <v>1281.76</v>
      </c>
      <c r="I65" s="118">
        <f t="shared" si="40"/>
        <v>1281.76</v>
      </c>
      <c r="J65" s="47"/>
      <c r="K65" s="8">
        <f t="shared" si="41"/>
        <v>2</v>
      </c>
      <c r="L65" s="8">
        <f t="shared" ref="L65:M65" si="56">K65-1</f>
        <v>1</v>
      </c>
      <c r="M65" s="8">
        <f t="shared" si="56"/>
        <v>0</v>
      </c>
      <c r="N65" s="66">
        <f t="shared" si="6"/>
        <v>2563.52</v>
      </c>
      <c r="O65" s="66"/>
      <c r="P65" s="70"/>
      <c r="Q65" s="70"/>
      <c r="R65" s="18"/>
    </row>
    <row r="66" spans="2:18" x14ac:dyDescent="0.3">
      <c r="B66" s="8" t="s">
        <v>117</v>
      </c>
      <c r="C66" s="8">
        <v>0</v>
      </c>
      <c r="D66" s="66">
        <f>2429+1416</f>
        <v>3845</v>
      </c>
      <c r="E66" s="103">
        <v>3</v>
      </c>
      <c r="F66" s="66">
        <f t="shared" si="7"/>
        <v>1281.6666666666667</v>
      </c>
      <c r="G66" s="118">
        <f t="shared" si="38"/>
        <v>1281.6666666666667</v>
      </c>
      <c r="H66" s="118">
        <f t="shared" si="39"/>
        <v>1281.6666666666667</v>
      </c>
      <c r="I66" s="118">
        <f t="shared" si="40"/>
        <v>1281.6666666666667</v>
      </c>
      <c r="J66" s="47"/>
      <c r="K66" s="8">
        <f t="shared" si="41"/>
        <v>2</v>
      </c>
      <c r="L66" s="8">
        <f t="shared" ref="L66:M66" si="57">K66-1</f>
        <v>1</v>
      </c>
      <c r="M66" s="8">
        <f t="shared" si="57"/>
        <v>0</v>
      </c>
      <c r="N66" s="66">
        <f t="shared" si="6"/>
        <v>2563.3333333333335</v>
      </c>
      <c r="O66" s="66"/>
      <c r="P66" s="70"/>
      <c r="Q66" s="70"/>
      <c r="R66" s="18"/>
    </row>
    <row r="67" spans="2:18" x14ac:dyDescent="0.3">
      <c r="B67" s="8" t="s">
        <v>126</v>
      </c>
      <c r="C67" s="8">
        <v>0</v>
      </c>
      <c r="D67" s="66">
        <v>280000</v>
      </c>
      <c r="E67" s="103">
        <v>3</v>
      </c>
      <c r="F67" s="66">
        <f t="shared" si="7"/>
        <v>93333.333333333328</v>
      </c>
      <c r="G67" s="118">
        <f t="shared" si="38"/>
        <v>93333.333333333328</v>
      </c>
      <c r="H67" s="118">
        <f t="shared" si="39"/>
        <v>93333.333333333328</v>
      </c>
      <c r="I67" s="118">
        <f t="shared" si="40"/>
        <v>93333.333333333328</v>
      </c>
      <c r="J67" s="47"/>
      <c r="K67" s="8">
        <f t="shared" si="41"/>
        <v>2</v>
      </c>
      <c r="L67" s="8">
        <f t="shared" ref="L67:M67" si="58">K67-1</f>
        <v>1</v>
      </c>
      <c r="M67" s="8">
        <f t="shared" si="58"/>
        <v>0</v>
      </c>
      <c r="N67" s="66">
        <f>D67/2-F67/2</f>
        <v>93333.333333333343</v>
      </c>
      <c r="O67" s="66"/>
      <c r="P67" s="70"/>
      <c r="Q67" s="70"/>
      <c r="R67" s="18"/>
    </row>
    <row r="68" spans="2:18" x14ac:dyDescent="0.3">
      <c r="B68" s="8" t="s">
        <v>117</v>
      </c>
      <c r="C68" s="8">
        <v>1</v>
      </c>
      <c r="D68" s="66">
        <v>25450.68</v>
      </c>
      <c r="E68" s="103">
        <v>5</v>
      </c>
      <c r="F68" s="66">
        <f t="shared" si="7"/>
        <v>5090.1360000000004</v>
      </c>
      <c r="G68" s="118">
        <f t="shared" si="38"/>
        <v>5090.1360000000004</v>
      </c>
      <c r="H68" s="118">
        <f t="shared" si="39"/>
        <v>5090.1360000000004</v>
      </c>
      <c r="I68" s="118">
        <f t="shared" si="40"/>
        <v>5090.1360000000004</v>
      </c>
      <c r="J68" s="47"/>
      <c r="K68" s="8">
        <f t="shared" si="41"/>
        <v>3</v>
      </c>
      <c r="L68" s="8">
        <f t="shared" ref="L68:M68" si="59">K68-1</f>
        <v>2</v>
      </c>
      <c r="M68" s="8">
        <f t="shared" si="59"/>
        <v>1</v>
      </c>
      <c r="N68" s="66">
        <f t="shared" si="6"/>
        <v>15270.408000000001</v>
      </c>
      <c r="O68" s="66"/>
      <c r="P68" s="70"/>
      <c r="Q68" s="70"/>
      <c r="R68" s="18"/>
    </row>
    <row r="69" spans="2:18" x14ac:dyDescent="0.3">
      <c r="B69" s="8" t="s">
        <v>116</v>
      </c>
      <c r="C69" s="8">
        <v>1</v>
      </c>
      <c r="D69" s="66">
        <v>2545.6799999999998</v>
      </c>
      <c r="E69" s="103">
        <v>3</v>
      </c>
      <c r="F69" s="66">
        <f t="shared" si="7"/>
        <v>848.56</v>
      </c>
      <c r="G69" s="118">
        <f t="shared" si="38"/>
        <v>848.56</v>
      </c>
      <c r="H69" s="118">
        <f t="shared" si="39"/>
        <v>848.56</v>
      </c>
      <c r="I69" s="118">
        <f t="shared" si="40"/>
        <v>0</v>
      </c>
      <c r="J69" s="47"/>
      <c r="K69" s="8">
        <f t="shared" si="41"/>
        <v>1</v>
      </c>
      <c r="L69" s="8">
        <f t="shared" ref="L69:M69" si="60">K69-1</f>
        <v>0</v>
      </c>
      <c r="M69" s="8">
        <f t="shared" si="60"/>
        <v>-1</v>
      </c>
      <c r="N69" s="66">
        <f t="shared" si="6"/>
        <v>848.56</v>
      </c>
      <c r="O69" s="66"/>
      <c r="P69" s="70"/>
      <c r="Q69" s="70"/>
      <c r="R69" s="18"/>
    </row>
    <row r="70" spans="2:18" x14ac:dyDescent="0.3">
      <c r="B70" s="8" t="s">
        <v>116</v>
      </c>
      <c r="C70" s="8">
        <v>1</v>
      </c>
      <c r="D70" s="66">
        <v>2545.6799999999998</v>
      </c>
      <c r="E70" s="103">
        <v>3</v>
      </c>
      <c r="F70" s="66">
        <f t="shared" si="7"/>
        <v>848.56</v>
      </c>
      <c r="G70" s="118">
        <f t="shared" si="38"/>
        <v>848.56</v>
      </c>
      <c r="H70" s="118">
        <f t="shared" si="39"/>
        <v>848.56</v>
      </c>
      <c r="I70" s="118">
        <f t="shared" si="40"/>
        <v>0</v>
      </c>
      <c r="J70" s="47"/>
      <c r="K70" s="8">
        <f t="shared" si="41"/>
        <v>1</v>
      </c>
      <c r="L70" s="8">
        <f t="shared" ref="L70:M70" si="61">K70-1</f>
        <v>0</v>
      </c>
      <c r="M70" s="8">
        <f t="shared" si="61"/>
        <v>-1</v>
      </c>
      <c r="N70" s="66">
        <f t="shared" si="6"/>
        <v>848.56</v>
      </c>
      <c r="O70" s="66"/>
      <c r="P70" s="70"/>
      <c r="Q70" s="70"/>
      <c r="R70" s="18"/>
    </row>
    <row r="71" spans="2:18" x14ac:dyDescent="0.3">
      <c r="B71" s="8" t="s">
        <v>116</v>
      </c>
      <c r="C71" s="8">
        <v>1</v>
      </c>
      <c r="D71" s="66">
        <v>2545.6799999999998</v>
      </c>
      <c r="E71" s="103">
        <v>3</v>
      </c>
      <c r="F71" s="66">
        <f t="shared" si="7"/>
        <v>848.56</v>
      </c>
      <c r="G71" s="118">
        <f t="shared" si="38"/>
        <v>848.56</v>
      </c>
      <c r="H71" s="118">
        <f t="shared" si="39"/>
        <v>848.56</v>
      </c>
      <c r="I71" s="118">
        <f t="shared" si="40"/>
        <v>0</v>
      </c>
      <c r="J71" s="47"/>
      <c r="K71" s="8">
        <f t="shared" si="41"/>
        <v>1</v>
      </c>
      <c r="L71" s="8">
        <f t="shared" ref="L71:M71" si="62">K71-1</f>
        <v>0</v>
      </c>
      <c r="M71" s="8">
        <f t="shared" si="62"/>
        <v>-1</v>
      </c>
      <c r="N71" s="66">
        <f t="shared" si="6"/>
        <v>848.56</v>
      </c>
      <c r="O71" s="66"/>
      <c r="P71" s="70"/>
      <c r="Q71" s="70"/>
      <c r="R71" s="18"/>
    </row>
    <row r="72" spans="2:18" x14ac:dyDescent="0.3">
      <c r="B72" s="8" t="s">
        <v>116</v>
      </c>
      <c r="C72" s="8">
        <v>1</v>
      </c>
      <c r="D72" s="66">
        <f>22396-2373</f>
        <v>20023</v>
      </c>
      <c r="E72" s="103">
        <v>6</v>
      </c>
      <c r="F72" s="66">
        <f t="shared" si="7"/>
        <v>3337.1666666666665</v>
      </c>
      <c r="G72" s="118">
        <f t="shared" si="38"/>
        <v>3337.1666666666665</v>
      </c>
      <c r="H72" s="118">
        <f t="shared" si="39"/>
        <v>3337.1666666666665</v>
      </c>
      <c r="I72" s="118">
        <f t="shared" si="40"/>
        <v>3337.1666666666665</v>
      </c>
      <c r="J72" s="47"/>
      <c r="K72" s="8">
        <f t="shared" si="41"/>
        <v>4</v>
      </c>
      <c r="L72" s="8">
        <f t="shared" ref="L72:M72" si="63">K72-1</f>
        <v>3</v>
      </c>
      <c r="M72" s="8">
        <f t="shared" si="63"/>
        <v>2</v>
      </c>
      <c r="N72" s="66">
        <f t="shared" si="6"/>
        <v>13348.666666666666</v>
      </c>
      <c r="O72" s="66"/>
      <c r="P72" s="70"/>
      <c r="Q72" s="70"/>
      <c r="R72" s="18"/>
    </row>
    <row r="73" spans="2:18" x14ac:dyDescent="0.3">
      <c r="B73" s="8" t="s">
        <v>116</v>
      </c>
      <c r="C73" s="8">
        <v>2</v>
      </c>
      <c r="D73" s="66">
        <f>2476.98+957</f>
        <v>3433.98</v>
      </c>
      <c r="E73" s="103">
        <v>3</v>
      </c>
      <c r="F73" s="66">
        <f t="shared" si="7"/>
        <v>1144.6600000000001</v>
      </c>
      <c r="G73" s="118">
        <f t="shared" si="38"/>
        <v>1144.6600000000001</v>
      </c>
      <c r="H73" s="118">
        <f t="shared" si="39"/>
        <v>0</v>
      </c>
      <c r="I73" s="118">
        <f t="shared" si="40"/>
        <v>0</v>
      </c>
      <c r="J73" s="47"/>
      <c r="K73" s="8">
        <f t="shared" si="41"/>
        <v>0</v>
      </c>
      <c r="L73" s="8">
        <f t="shared" ref="L73:M73" si="64">K73-1</f>
        <v>-1</v>
      </c>
      <c r="M73" s="8">
        <f t="shared" si="64"/>
        <v>-2</v>
      </c>
      <c r="N73" s="66">
        <f t="shared" si="6"/>
        <v>0</v>
      </c>
      <c r="O73" s="66"/>
      <c r="P73" s="70"/>
      <c r="Q73" s="70"/>
      <c r="R73" s="18"/>
    </row>
    <row r="74" spans="2:18" x14ac:dyDescent="0.3">
      <c r="B74" s="8" t="s">
        <v>116</v>
      </c>
      <c r="C74" s="8">
        <v>2</v>
      </c>
      <c r="D74" s="66">
        <v>17564.78</v>
      </c>
      <c r="E74" s="103">
        <v>7</v>
      </c>
      <c r="F74" s="66">
        <f t="shared" si="7"/>
        <v>2509.2542857142857</v>
      </c>
      <c r="G74" s="118">
        <f t="shared" si="38"/>
        <v>2509.2542857142857</v>
      </c>
      <c r="H74" s="118">
        <f t="shared" si="39"/>
        <v>2509.2542857142857</v>
      </c>
      <c r="I74" s="118">
        <f t="shared" si="40"/>
        <v>2509.2542857142857</v>
      </c>
      <c r="J74" s="47"/>
      <c r="K74" s="8">
        <f t="shared" si="41"/>
        <v>4</v>
      </c>
      <c r="L74" s="8">
        <f t="shared" ref="L74:M74" si="65">K74-1</f>
        <v>3</v>
      </c>
      <c r="M74" s="8">
        <f t="shared" si="65"/>
        <v>2</v>
      </c>
      <c r="N74" s="66">
        <f t="shared" si="6"/>
        <v>10037.017142857143</v>
      </c>
      <c r="O74" s="66"/>
      <c r="P74" s="70"/>
      <c r="Q74" s="70"/>
      <c r="R74" s="18"/>
    </row>
    <row r="75" spans="2:18" x14ac:dyDescent="0.3">
      <c r="B75" s="8" t="s">
        <v>116</v>
      </c>
      <c r="C75" s="8">
        <v>2</v>
      </c>
      <c r="D75" s="66">
        <v>15424.28</v>
      </c>
      <c r="E75" s="103">
        <v>8</v>
      </c>
      <c r="F75" s="66">
        <f t="shared" si="7"/>
        <v>1928.0350000000001</v>
      </c>
      <c r="G75" s="118">
        <f t="shared" si="38"/>
        <v>1928.0350000000001</v>
      </c>
      <c r="H75" s="118">
        <f t="shared" si="39"/>
        <v>1928.0350000000001</v>
      </c>
      <c r="I75" s="118">
        <f t="shared" si="40"/>
        <v>1928.0350000000001</v>
      </c>
      <c r="J75" s="47"/>
      <c r="K75" s="8">
        <f t="shared" si="41"/>
        <v>5</v>
      </c>
      <c r="L75" s="8">
        <f t="shared" ref="L75:M75" si="66">K75-1</f>
        <v>4</v>
      </c>
      <c r="M75" s="8">
        <f t="shared" si="66"/>
        <v>3</v>
      </c>
      <c r="N75" s="66">
        <f t="shared" si="6"/>
        <v>9640.1750000000011</v>
      </c>
      <c r="O75" s="66"/>
      <c r="P75" s="70"/>
      <c r="Q75" s="70"/>
      <c r="R75" s="18"/>
    </row>
    <row r="76" spans="2:18" x14ac:dyDescent="0.3">
      <c r="B76" s="8" t="s">
        <v>116</v>
      </c>
      <c r="C76" s="8">
        <v>2</v>
      </c>
      <c r="D76" s="66">
        <v>5325.28</v>
      </c>
      <c r="E76" s="103">
        <v>3</v>
      </c>
      <c r="F76" s="66">
        <f t="shared" si="7"/>
        <v>1775.0933333333332</v>
      </c>
      <c r="G76" s="118">
        <f t="shared" si="38"/>
        <v>1775.0933333333332</v>
      </c>
      <c r="H76" s="118">
        <f t="shared" si="39"/>
        <v>0</v>
      </c>
      <c r="I76" s="118">
        <f t="shared" si="40"/>
        <v>0</v>
      </c>
      <c r="J76" s="47"/>
      <c r="K76" s="8">
        <f t="shared" si="41"/>
        <v>0</v>
      </c>
      <c r="L76" s="8">
        <f t="shared" ref="L76:M76" si="67">K76-1</f>
        <v>-1</v>
      </c>
      <c r="M76" s="8">
        <f t="shared" si="67"/>
        <v>-2</v>
      </c>
      <c r="N76" s="66">
        <f t="shared" si="6"/>
        <v>0</v>
      </c>
      <c r="O76" s="66"/>
      <c r="P76" s="70"/>
      <c r="Q76" s="70"/>
      <c r="R76" s="18"/>
    </row>
    <row r="77" spans="2:18" x14ac:dyDescent="0.3">
      <c r="B77" s="8" t="s">
        <v>116</v>
      </c>
      <c r="C77" s="8">
        <v>2</v>
      </c>
      <c r="D77" s="66">
        <v>1484</v>
      </c>
      <c r="E77" s="103">
        <v>4</v>
      </c>
      <c r="F77" s="66">
        <f t="shared" si="7"/>
        <v>371</v>
      </c>
      <c r="G77" s="118">
        <f t="shared" si="38"/>
        <v>371</v>
      </c>
      <c r="H77" s="118">
        <f t="shared" si="39"/>
        <v>371</v>
      </c>
      <c r="I77" s="118">
        <f t="shared" si="40"/>
        <v>0</v>
      </c>
      <c r="J77" s="47"/>
      <c r="K77" s="8">
        <f t="shared" si="41"/>
        <v>1</v>
      </c>
      <c r="L77" s="8">
        <f t="shared" ref="L77:M77" si="68">K77-1</f>
        <v>0</v>
      </c>
      <c r="M77" s="8">
        <f t="shared" si="68"/>
        <v>-1</v>
      </c>
      <c r="N77" s="66">
        <f t="shared" si="6"/>
        <v>371</v>
      </c>
      <c r="O77" s="66"/>
      <c r="P77" s="70"/>
      <c r="Q77" s="70"/>
      <c r="R77" s="18"/>
    </row>
    <row r="78" spans="2:18" x14ac:dyDescent="0.3">
      <c r="B78" s="8" t="s">
        <v>116</v>
      </c>
      <c r="C78" s="8">
        <v>2</v>
      </c>
      <c r="D78" s="66">
        <v>2802</v>
      </c>
      <c r="E78" s="103">
        <v>3</v>
      </c>
      <c r="F78" s="66">
        <f t="shared" si="7"/>
        <v>934</v>
      </c>
      <c r="G78" s="118">
        <f t="shared" si="38"/>
        <v>934</v>
      </c>
      <c r="H78" s="118">
        <f t="shared" si="39"/>
        <v>0</v>
      </c>
      <c r="I78" s="118">
        <f t="shared" si="40"/>
        <v>0</v>
      </c>
      <c r="J78" s="47"/>
      <c r="K78" s="8">
        <f t="shared" si="41"/>
        <v>0</v>
      </c>
      <c r="L78" s="8">
        <f t="shared" ref="L78:M78" si="69">K78-1</f>
        <v>-1</v>
      </c>
      <c r="M78" s="8">
        <f t="shared" si="69"/>
        <v>-2</v>
      </c>
      <c r="N78" s="66">
        <f t="shared" si="6"/>
        <v>0</v>
      </c>
      <c r="O78" s="66"/>
      <c r="P78" s="70"/>
      <c r="Q78" s="70"/>
      <c r="R78" s="18"/>
    </row>
    <row r="79" spans="2:18" x14ac:dyDescent="0.3">
      <c r="B79" s="8" t="s">
        <v>116</v>
      </c>
      <c r="C79" s="8">
        <v>2</v>
      </c>
      <c r="D79" s="66">
        <v>3966</v>
      </c>
      <c r="E79" s="103">
        <v>3</v>
      </c>
      <c r="F79" s="66">
        <f t="shared" ref="F79:F83" si="70">+D79/E79</f>
        <v>1322</v>
      </c>
      <c r="G79" s="118">
        <f t="shared" si="38"/>
        <v>1322</v>
      </c>
      <c r="H79" s="118">
        <f t="shared" si="39"/>
        <v>0</v>
      </c>
      <c r="I79" s="118">
        <f t="shared" si="40"/>
        <v>0</v>
      </c>
      <c r="J79" s="47"/>
      <c r="K79" s="8">
        <f t="shared" si="41"/>
        <v>0</v>
      </c>
      <c r="L79" s="8">
        <f t="shared" ref="L79:M79" si="71">K79-1</f>
        <v>-1</v>
      </c>
      <c r="M79" s="8">
        <f t="shared" si="71"/>
        <v>-2</v>
      </c>
      <c r="N79" s="66">
        <f t="shared" si="6"/>
        <v>0</v>
      </c>
      <c r="O79" s="66"/>
      <c r="P79" s="70"/>
      <c r="Q79" s="70"/>
      <c r="R79" s="18"/>
    </row>
    <row r="80" spans="2:18" x14ac:dyDescent="0.3">
      <c r="B80" s="8" t="s">
        <v>118</v>
      </c>
      <c r="C80" s="8">
        <v>3</v>
      </c>
      <c r="D80" s="66">
        <f>6810-1660</f>
        <v>5150</v>
      </c>
      <c r="E80" s="103">
        <v>5</v>
      </c>
      <c r="F80" s="66">
        <f t="shared" si="70"/>
        <v>1030</v>
      </c>
      <c r="G80" s="118">
        <f t="shared" si="38"/>
        <v>1030</v>
      </c>
      <c r="H80" s="118">
        <f t="shared" si="39"/>
        <v>1030</v>
      </c>
      <c r="I80" s="118">
        <f t="shared" si="40"/>
        <v>0</v>
      </c>
      <c r="J80" s="47"/>
      <c r="K80" s="8">
        <f t="shared" si="41"/>
        <v>1</v>
      </c>
      <c r="L80" s="8">
        <f t="shared" ref="L80:M80" si="72">K80-1</f>
        <v>0</v>
      </c>
      <c r="M80" s="8">
        <f t="shared" si="72"/>
        <v>-1</v>
      </c>
      <c r="N80" s="66">
        <f t="shared" si="6"/>
        <v>1030</v>
      </c>
      <c r="O80" s="66"/>
      <c r="P80" s="70"/>
      <c r="Q80" s="70"/>
      <c r="R80" s="18"/>
    </row>
    <row r="81" spans="1:18" x14ac:dyDescent="0.3">
      <c r="B81" s="8" t="s">
        <v>116</v>
      </c>
      <c r="C81" s="8">
        <v>1</v>
      </c>
      <c r="D81" s="66">
        <f>3993+957</f>
        <v>4950</v>
      </c>
      <c r="E81" s="103">
        <v>3</v>
      </c>
      <c r="F81" s="66">
        <f t="shared" si="70"/>
        <v>1650</v>
      </c>
      <c r="G81" s="118">
        <f t="shared" si="38"/>
        <v>1650</v>
      </c>
      <c r="H81" s="118">
        <f t="shared" si="39"/>
        <v>1650</v>
      </c>
      <c r="I81" s="118">
        <f t="shared" si="40"/>
        <v>0</v>
      </c>
      <c r="J81" s="47"/>
      <c r="K81" s="8">
        <f t="shared" si="41"/>
        <v>1</v>
      </c>
      <c r="L81" s="8">
        <f t="shared" ref="L81:M82" si="73">K81-1</f>
        <v>0</v>
      </c>
      <c r="M81" s="8">
        <f t="shared" si="73"/>
        <v>-1</v>
      </c>
      <c r="N81" s="66">
        <f t="shared" si="6"/>
        <v>1650</v>
      </c>
      <c r="O81" s="66"/>
      <c r="P81" s="70"/>
      <c r="Q81" s="70"/>
      <c r="R81" s="18"/>
    </row>
    <row r="82" spans="1:18" x14ac:dyDescent="0.3">
      <c r="B82" s="8" t="s">
        <v>118</v>
      </c>
      <c r="C82" s="8">
        <v>1</v>
      </c>
      <c r="D82" s="66">
        <v>500000</v>
      </c>
      <c r="E82" s="103">
        <v>10</v>
      </c>
      <c r="F82" s="66">
        <f t="shared" si="70"/>
        <v>50000</v>
      </c>
      <c r="G82" s="118">
        <f t="shared" si="38"/>
        <v>50000</v>
      </c>
      <c r="H82" s="118">
        <f t="shared" si="39"/>
        <v>50000</v>
      </c>
      <c r="I82" s="118">
        <f t="shared" si="40"/>
        <v>50000</v>
      </c>
      <c r="J82" s="47"/>
      <c r="K82" s="8">
        <f t="shared" si="41"/>
        <v>8</v>
      </c>
      <c r="L82" s="8">
        <f t="shared" si="73"/>
        <v>7</v>
      </c>
      <c r="M82" s="8">
        <f t="shared" si="73"/>
        <v>6</v>
      </c>
      <c r="N82" s="66">
        <f t="shared" si="6"/>
        <v>400000</v>
      </c>
      <c r="O82" s="66"/>
      <c r="P82" s="70"/>
      <c r="Q82" s="70"/>
      <c r="R82" s="18"/>
    </row>
    <row r="83" spans="1:18" x14ac:dyDescent="0.3">
      <c r="B83" s="8" t="s">
        <v>117</v>
      </c>
      <c r="C83" s="8">
        <v>0</v>
      </c>
      <c r="D83" s="66">
        <v>28173</v>
      </c>
      <c r="E83" s="103">
        <v>8</v>
      </c>
      <c r="F83" s="66">
        <f t="shared" si="70"/>
        <v>3521.625</v>
      </c>
      <c r="G83" s="119">
        <f t="shared" si="38"/>
        <v>3521.625</v>
      </c>
      <c r="H83" s="119">
        <f t="shared" si="39"/>
        <v>3521.625</v>
      </c>
      <c r="I83" s="119">
        <f t="shared" si="40"/>
        <v>3521.625</v>
      </c>
      <c r="J83" s="47"/>
      <c r="K83" s="8">
        <f t="shared" si="41"/>
        <v>7</v>
      </c>
      <c r="L83" s="8">
        <f t="shared" ref="L83:M83" si="74">K83-1</f>
        <v>6</v>
      </c>
      <c r="M83" s="8">
        <f t="shared" si="74"/>
        <v>5</v>
      </c>
      <c r="N83" s="66">
        <f t="shared" si="6"/>
        <v>24651.375</v>
      </c>
      <c r="O83" s="66"/>
      <c r="P83" s="70"/>
      <c r="Q83" s="70"/>
      <c r="R83" s="18"/>
    </row>
    <row r="84" spans="1:18" x14ac:dyDescent="0.3">
      <c r="B84" s="8" t="s">
        <v>127</v>
      </c>
      <c r="D84" s="66"/>
      <c r="E84" s="103"/>
      <c r="F84" s="66"/>
      <c r="G84" s="120"/>
      <c r="H84" s="120">
        <f>G4*1000/5</f>
        <v>10000</v>
      </c>
      <c r="I84" s="120">
        <f>H84</f>
        <v>10000</v>
      </c>
      <c r="J84" s="47"/>
      <c r="N84" s="66"/>
      <c r="O84" s="66"/>
      <c r="P84" s="70"/>
      <c r="Q84" s="70"/>
      <c r="R84" s="18"/>
    </row>
    <row r="85" spans="1:18" x14ac:dyDescent="0.3">
      <c r="B85" s="8" t="s">
        <v>128</v>
      </c>
      <c r="D85" s="66"/>
      <c r="E85" s="103"/>
      <c r="F85" s="66"/>
      <c r="G85" s="120"/>
      <c r="H85" s="120">
        <f>G5*1000/3</f>
        <v>33333.333333333336</v>
      </c>
      <c r="I85" s="120">
        <f>H85</f>
        <v>33333.333333333336</v>
      </c>
      <c r="J85" s="47"/>
      <c r="N85" s="66"/>
      <c r="O85" s="66"/>
      <c r="P85" s="70"/>
      <c r="Q85" s="70"/>
      <c r="R85" s="18"/>
    </row>
    <row r="86" spans="1:18" x14ac:dyDescent="0.3">
      <c r="B86" s="8" t="s">
        <v>129</v>
      </c>
      <c r="D86" s="66"/>
      <c r="E86" s="103"/>
      <c r="F86" s="66"/>
      <c r="G86" s="120"/>
      <c r="H86" s="120"/>
      <c r="I86" s="120">
        <f>I84</f>
        <v>10000</v>
      </c>
      <c r="J86" s="47"/>
      <c r="N86" s="66"/>
      <c r="O86" s="66"/>
      <c r="P86" s="70"/>
      <c r="Q86" s="70"/>
      <c r="R86" s="18"/>
    </row>
    <row r="87" spans="1:18" x14ac:dyDescent="0.3">
      <c r="B87" s="8" t="s">
        <v>130</v>
      </c>
      <c r="C87" s="69"/>
      <c r="D87" s="66"/>
      <c r="E87" s="103"/>
      <c r="F87" s="66"/>
      <c r="G87" s="120"/>
      <c r="H87" s="120"/>
      <c r="I87" s="120">
        <f>I85</f>
        <v>33333.333333333336</v>
      </c>
      <c r="J87" s="47"/>
      <c r="R87" s="18"/>
    </row>
    <row r="88" spans="1:18" x14ac:dyDescent="0.3">
      <c r="B88" s="8" t="s">
        <v>131</v>
      </c>
      <c r="C88" s="69"/>
      <c r="D88" s="66"/>
      <c r="E88" s="103"/>
      <c r="F88" s="66"/>
      <c r="G88" s="121"/>
      <c r="H88" s="121"/>
      <c r="I88" s="121">
        <f>H6/10*1000</f>
        <v>50000</v>
      </c>
      <c r="J88" s="47"/>
      <c r="R88" s="18"/>
    </row>
    <row r="89" spans="1:18" ht="15.75" thickBot="1" x14ac:dyDescent="0.35">
      <c r="A89" s="39" t="s">
        <v>78</v>
      </c>
      <c r="B89" s="39"/>
      <c r="C89" s="39"/>
      <c r="D89" s="108">
        <f t="shared" ref="D89:H89" si="75">+SUM(D19:D88)</f>
        <v>2912764.11</v>
      </c>
      <c r="E89" s="108"/>
      <c r="F89" s="108">
        <f t="shared" si="75"/>
        <v>443070.45504212438</v>
      </c>
      <c r="G89" s="108">
        <f t="shared" si="75"/>
        <v>383070.45504212455</v>
      </c>
      <c r="H89" s="108">
        <f t="shared" si="75"/>
        <v>420044.63504212454</v>
      </c>
      <c r="I89" s="108">
        <f>+SUM(I19:I88)</f>
        <v>497794.30427289376</v>
      </c>
    </row>
    <row r="90" spans="1:18" ht="15.75" thickTop="1" x14ac:dyDescent="0.3">
      <c r="D90" s="66"/>
      <c r="E90" s="66"/>
      <c r="F90" s="66"/>
      <c r="G90" s="66"/>
      <c r="H90" s="66"/>
      <c r="I90" s="66"/>
      <c r="N90" s="70"/>
      <c r="O90" s="70"/>
    </row>
    <row r="91" spans="1:18" x14ac:dyDescent="0.3">
      <c r="G91" s="70">
        <f>+SUM(G21:G88)</f>
        <v>308070.45504212449</v>
      </c>
      <c r="H91" s="70">
        <f t="shared" ref="H91:I91" si="76">+SUM(H21:H88)</f>
        <v>345044.63504212454</v>
      </c>
      <c r="I91" s="70">
        <f t="shared" si="76"/>
        <v>422794.30427289376</v>
      </c>
    </row>
    <row r="92" spans="1:18" hidden="1" x14ac:dyDescent="0.3">
      <c r="E92" s="8">
        <v>0</v>
      </c>
      <c r="F92" s="18">
        <f>SUBTOTAL(9,F19:F83)-F19-F58-F63-F64-F65-F66-F67-F83</f>
        <v>249916.71504212439</v>
      </c>
      <c r="N92" s="66"/>
    </row>
    <row r="93" spans="1:18" hidden="1" x14ac:dyDescent="0.3">
      <c r="E93" s="8">
        <v>-1</v>
      </c>
      <c r="F93" s="18">
        <f>SUBTOTAL(9,F19:F83)-F59-F60-F61-F62-F68-F69-F70-F71-F72-F81-F82</f>
        <v>363138.22654212429</v>
      </c>
      <c r="N93" s="66"/>
    </row>
    <row r="94" spans="1:18" hidden="1" x14ac:dyDescent="0.3">
      <c r="E94" s="8">
        <v>-2</v>
      </c>
      <c r="F94" s="18">
        <f>SUBTOTAL(9,F19:F83)-F73-F74-F75-F76-F77-F78-F79</f>
        <v>433086.41242307681</v>
      </c>
      <c r="N94" s="66"/>
    </row>
    <row r="95" spans="1:18" x14ac:dyDescent="0.3">
      <c r="F95" s="18">
        <v>1000</v>
      </c>
      <c r="G95" s="208">
        <f>+G91/$F$95</f>
        <v>308.07045504212448</v>
      </c>
      <c r="H95" s="208">
        <f t="shared" ref="H95:I95" si="77">+H91/$F$95</f>
        <v>345.04463504212453</v>
      </c>
      <c r="I95" s="208">
        <f t="shared" si="77"/>
        <v>422.79430427289378</v>
      </c>
    </row>
    <row r="96" spans="1:18" x14ac:dyDescent="0.3">
      <c r="F96" s="65"/>
    </row>
  </sheetData>
  <mergeCells count="1">
    <mergeCell ref="A17:I1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C221D10331074990D95911AEDD4ED5" ma:contentTypeVersion="27" ma:contentTypeDescription="Ein neues Dokument erstellen." ma:contentTypeScope="" ma:versionID="175cb874322da4c3e7d6fe36ada43ab4">
  <xsd:schema xmlns:xsd="http://www.w3.org/2001/XMLSchema" xmlns:xs="http://www.w3.org/2001/XMLSchema" xmlns:p="http://schemas.microsoft.com/office/2006/metadata/properties" xmlns:ns2="1d6f1953-3779-4e8b-b0e1-68aa4a0e8482" xmlns:ns3="de2b9f51-78f1-4ee2-b7ce-0243fe1d0296" targetNamespace="http://schemas.microsoft.com/office/2006/metadata/properties" ma:root="true" ma:fieldsID="d8353cd1b7a3d46aacc2fedb56651932" ns2:_="" ns3:_="">
    <xsd:import namespace="1d6f1953-3779-4e8b-b0e1-68aa4a0e8482"/>
    <xsd:import namespace="de2b9f51-78f1-4ee2-b7ce-0243fe1d0296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AutoTags" minOccurs="0"/>
                <xsd:element ref="ns2:m7aa2674883f455cae96e89d73cb7650" minOccurs="0"/>
                <xsd:element ref="ns3:MediaServiceKeyPoints" minOccurs="0"/>
                <xsd:element ref="ns3:n4d7bce4e7bf4f5e95110d2d681b6305" minOccurs="0"/>
                <xsd:element ref="ns3:bd8f68eec03447efaabf629ccdb5cb33" minOccurs="0"/>
                <xsd:element ref="ns3:lf765a964ebf48d0b4ea8338d217217b" minOccurs="0"/>
                <xsd:element ref="ns3:m7aa2674883f455cae96e89d73cb7650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f1953-3779-4e8b-b0e1-68aa4a0e8482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6" nillable="true" ma:taxonomy="true" ma:internalName="TaxKeywordTaxHTField" ma:taxonomyFieldName="TaxKeyword" ma:displayName="Unternehmensstichwörter" ma:fieldId="{23f27201-bee3-471e-b2e7-b64fd8b7ca38}" ma:taxonomyMulti="true" ma:sspId="d7b245da-c3ea-4543-873b-c2531424ec34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7" nillable="true" ma:displayName="Taxonomy Catch All Column" ma:hidden="true" ma:list="{093b7e97-4d91-4bba-ab2f-16e07a3aa183}" ma:internalName="TaxCatchAll" ma:showField="CatchAllData" ma:web="1d6f1953-3779-4e8b-b0e1-68aa4a0e8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7aa2674883f455cae96e89d73cb7650" ma:index="9" nillable="true" ma:displayName="Verwalteter Tag_0" ma:hidden="true" ma:internalName="m7aa2674883f455cae96e89d73cb7650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b9f51-78f1-4ee2-b7ce-0243fe1d0296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8" nillable="true" ma:displayName="Tags" ma:description="" ma:internalName="MediaServiceAutoTags" ma:readOnly="true">
      <xsd:simpleType>
        <xsd:restriction base="dms:Text"/>
      </xsd:simpleType>
    </xsd:element>
    <xsd:element name="MediaServiceKeyPoints" ma:index="12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n4d7bce4e7bf4f5e95110d2d681b6305" ma:index="14" nillable="true" ma:taxonomy="true" ma:internalName="n4d7bce4e7bf4f5e95110d2d681b6305" ma:taxonomyFieldName="Zielort" ma:displayName="Zielort" ma:default="" ma:fieldId="{74d7bce4-e7bf-4f5e-9511-0d2d681b6305}" ma:sspId="d7b245da-c3ea-4543-873b-c2531424ec34" ma:termSetId="7240c9c7-54c2-4d50-8ba1-d5ef422712e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d8f68eec03447efaabf629ccdb5cb33" ma:index="16" nillable="true" ma:taxonomy="true" ma:internalName="bd8f68eec03447efaabf629ccdb5cb33" ma:taxonomyFieldName="Vertraulichkeitsstufe" ma:displayName="Vertraulichkeitsstufe" ma:default="" ma:fieldId="{bd8f68ee-c034-47ef-aabf-629ccdb5cb33}" ma:sspId="d7b245da-c3ea-4543-873b-c2531424ec34" ma:termSetId="17e2de05-2918-4502-85f2-8152c572b88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f765a964ebf48d0b4ea8338d217217b" ma:index="18" nillable="true" ma:taxonomy="true" ma:internalName="lf765a964ebf48d0b4ea8338d217217b" ma:taxonomyFieldName="Dokumentenstatus" ma:displayName="Dokumentenstatus" ma:default="" ma:fieldId="{5f765a96-4ebf-48d0-b4ea-8338d217217b}" ma:sspId="d7b245da-c3ea-4543-873b-c2531424ec34" ma:termSetId="4c681928-6268-4145-973f-9a6154a80db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aa2674883f455cae96e89d73cb7650" ma:index="19" nillable="true" ma:taxonomy="true" ma:internalName="m7aa2674883f455cae96e89d73cb76500" ma:taxonomyFieldName="ManagedKeyword" ma:displayName="Verwalteter Tag" ma:default="" ma:fieldId="{67aa2674-883f-455c-ae96-e89d73cb7650}" ma:sspId="d7b245da-c3ea-4543-873b-c2531424ec34" ma:termSetId="d5a49cda-06ce-400c-a7a4-cfdc8cb3f8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d7b245da-c3ea-4543-873b-c2531424e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3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6f1953-3779-4e8b-b0e1-68aa4a0e8482" xsi:nil="true"/>
    <TaxKeywordTaxHTField xmlns="1d6f1953-3779-4e8b-b0e1-68aa4a0e8482">
      <Terms xmlns="http://schemas.microsoft.com/office/infopath/2007/PartnerControls"/>
    </TaxKeywordTaxHTField>
    <n4d7bce4e7bf4f5e95110d2d681b6305 xmlns="de2b9f51-78f1-4ee2-b7ce-0243fe1d0296">
      <Terms xmlns="http://schemas.microsoft.com/office/infopath/2007/PartnerControls"/>
    </n4d7bce4e7bf4f5e95110d2d681b6305>
    <lf765a964ebf48d0b4ea8338d217217b xmlns="de2b9f51-78f1-4ee2-b7ce-0243fe1d0296">
      <Terms xmlns="http://schemas.microsoft.com/office/infopath/2007/PartnerControls"/>
    </lf765a964ebf48d0b4ea8338d217217b>
    <lcf76f155ced4ddcb4097134ff3c332f xmlns="de2b9f51-78f1-4ee2-b7ce-0243fe1d0296">
      <Terms xmlns="http://schemas.microsoft.com/office/infopath/2007/PartnerControls"/>
    </lcf76f155ced4ddcb4097134ff3c332f>
    <m7aa2674883f455cae96e89d73cb7650 xmlns="1d6f1953-3779-4e8b-b0e1-68aa4a0e8482" xsi:nil="true"/>
    <bd8f68eec03447efaabf629ccdb5cb33 xmlns="de2b9f51-78f1-4ee2-b7ce-0243fe1d0296">
      <Terms xmlns="http://schemas.microsoft.com/office/infopath/2007/PartnerControls"/>
    </bd8f68eec03447efaabf629ccdb5cb33>
    <m7aa2674883f455cae96e89d73cb7650 xmlns="de2b9f51-78f1-4ee2-b7ce-0243fe1d0296">
      <Terms xmlns="http://schemas.microsoft.com/office/infopath/2007/PartnerControls"/>
    </m7aa2674883f455cae96e89d73cb7650>
  </documentManagement>
</p:properties>
</file>

<file path=customXml/itemProps1.xml><?xml version="1.0" encoding="utf-8"?>
<ds:datastoreItem xmlns:ds="http://schemas.openxmlformats.org/officeDocument/2006/customXml" ds:itemID="{D8CE56B8-EAB8-46CF-B9B4-1A92BB4B09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f1953-3779-4e8b-b0e1-68aa4a0e8482"/>
    <ds:schemaRef ds:uri="de2b9f51-78f1-4ee2-b7ce-0243fe1d0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50D958-8D27-4815-AE38-8F0E05F5B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B44800-E8E7-4E46-91EF-3AB1D607153F}">
  <ds:schemaRefs>
    <ds:schemaRef ds:uri="1d6f1953-3779-4e8b-b0e1-68aa4a0e8482"/>
    <ds:schemaRef ds:uri="http://purl.org/dc/elements/1.1/"/>
    <ds:schemaRef ds:uri="http://schemas.microsoft.com/office/2006/metadata/properties"/>
    <ds:schemaRef ds:uri="de2b9f51-78f1-4ee2-b7ce-0243fe1d0296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Aufgabe 1</vt:lpstr>
      <vt:lpstr>BS</vt:lpstr>
      <vt:lpstr>PnL</vt:lpstr>
      <vt:lpstr>CFR</vt:lpstr>
      <vt:lpstr>&gt;</vt:lpstr>
      <vt:lpstr>REV_sbE</vt:lpstr>
      <vt:lpstr>COGS</vt:lpstr>
      <vt:lpstr>OPEX</vt:lpstr>
      <vt:lpstr>CAPEX</vt:lpstr>
      <vt:lpstr>STAFF</vt:lpstr>
      <vt:lpstr>TAX</vt:lpstr>
      <vt:lpstr>&gt;&gt;</vt:lpstr>
      <vt:lpstr>Aufgabe 2</vt:lpstr>
      <vt:lpstr>BS (2)</vt:lpstr>
      <vt:lpstr>PnL (2)</vt:lpstr>
      <vt:lpstr>CFR (2)</vt:lpstr>
      <vt:lpstr>REV_sbE (2)</vt:lpstr>
      <vt:lpstr>COGS (2)</vt:lpstr>
      <vt:lpstr>OPEX (2)</vt:lpstr>
      <vt:lpstr>CAPEX (2)</vt:lpstr>
      <vt:lpstr>STAFF (2)</vt:lpstr>
      <vt:lpstr>KPI</vt:lpstr>
    </vt:vector>
  </TitlesOfParts>
  <Manager/>
  <Company>BDO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Maennlein, Johannes</dc:creator>
  <cp:keywords/>
  <dc:description/>
  <cp:lastModifiedBy>Döbele, Julius</cp:lastModifiedBy>
  <cp:revision/>
  <dcterms:created xsi:type="dcterms:W3CDTF">2000-01-15T05:15:34Z</dcterms:created>
  <dcterms:modified xsi:type="dcterms:W3CDTF">2025-06-20T16:50:25Z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Unternehmensplanung Template FAU-Bachelor.xlsx</vt:lpwstr>
  </property>
  <property fmtid="{D5CDD505-2E9C-101B-9397-08002B2CF9AE}" pid="3" name="TaxKeyword">
    <vt:lpwstr/>
  </property>
  <property fmtid="{D5CDD505-2E9C-101B-9397-08002B2CF9AE}" pid="4" name="ContentTypeId">
    <vt:lpwstr>0x0101007BC221D10331074990D95911AEDD4ED5</vt:lpwstr>
  </property>
  <property fmtid="{D5CDD505-2E9C-101B-9397-08002B2CF9AE}" pid="5" name="ManagedKeyword">
    <vt:lpwstr/>
  </property>
  <property fmtid="{D5CDD505-2E9C-101B-9397-08002B2CF9AE}" pid="6" name="MediaServiceImageTags">
    <vt:lpwstr/>
  </property>
  <property fmtid="{D5CDD505-2E9C-101B-9397-08002B2CF9AE}" pid="7" name="Vertraulichkeitsstufe">
    <vt:lpwstr/>
  </property>
  <property fmtid="{D5CDD505-2E9C-101B-9397-08002B2CF9AE}" pid="8" name="Dokumentenstatus">
    <vt:lpwstr/>
  </property>
  <property fmtid="{D5CDD505-2E9C-101B-9397-08002B2CF9AE}" pid="9" name="Zielort">
    <vt:lpwstr/>
  </property>
</Properties>
</file>