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codeName="ThisWorkbook" defaultThemeVersion="124226"/>
  <mc:AlternateContent xmlns:mc="http://schemas.openxmlformats.org/markup-compatibility/2006">
    <mc:Choice Requires="x15">
      <x15ac:absPath xmlns:x15ac="http://schemas.microsoft.com/office/spreadsheetml/2010/11/ac" url="C:\Users\maria\Documents\GitHub\ExperimentalProtocols\Bonvision\Maria\brightness_test\"/>
    </mc:Choice>
  </mc:AlternateContent>
  <xr:revisionPtr revIDLastSave="0" documentId="13_ncr:1_{B4AFABE9-421E-4339-BF05-9A83E2979453}" xr6:coauthVersionLast="47" xr6:coauthVersionMax="47" xr10:uidLastSave="{00000000-0000-0000-0000-000000000000}"/>
  <bookViews>
    <workbookView xWindow="-120" yWindow="-120" windowWidth="29040" windowHeight="15840" activeTab="4" xr2:uid="{00000000-000D-0000-FFFF-FFFF00000000}"/>
  </bookViews>
  <sheets>
    <sheet name="S cone" sheetId="7" r:id="rId1"/>
    <sheet name="ipRGC" sheetId="8" r:id="rId2"/>
    <sheet name="Rod" sheetId="10" r:id="rId3"/>
    <sheet name="M cone" sheetId="9" r:id="rId4"/>
    <sheet name="Calculations" sheetId="6" r:id="rId5"/>
    <sheet name="Spectra" sheetId="1" state="hidden" r:id="rId6"/>
    <sheet name="Toolbox" sheetId="4" r:id="rId7"/>
  </sheets>
  <definedNames>
    <definedName name="_xlnm.Print_Area" localSheetId="4">Calculations!$A$1:$V$125</definedName>
    <definedName name="_xlnm.Print_Area" localSheetId="5">Spectra!$A$1:$O$119</definedName>
    <definedName name="_xlnm.Print_Area" localSheetId="6">Toolbox!$A$1:$AF$108</definedName>
    <definedName name="solver_adj" localSheetId="1" hidden="1">ipRGC!#REF!</definedName>
    <definedName name="solver_adj" localSheetId="3" hidden="1">'M cone'!#REF!</definedName>
    <definedName name="solver_adj" localSheetId="2" hidden="1">Rod!#REF!</definedName>
    <definedName name="solver_adj" localSheetId="0" hidden="1">'S cone'!#REF!</definedName>
    <definedName name="solver_cvg" localSheetId="1" hidden="1">0.0001</definedName>
    <definedName name="solver_cvg" localSheetId="3" hidden="1">0.0001</definedName>
    <definedName name="solver_cvg" localSheetId="2" hidden="1">0.0001</definedName>
    <definedName name="solver_cvg" localSheetId="0" hidden="1">0.0001</definedName>
    <definedName name="solver_drv" localSheetId="1" hidden="1">1</definedName>
    <definedName name="solver_drv" localSheetId="3" hidden="1">1</definedName>
    <definedName name="solver_drv" localSheetId="2" hidden="1">1</definedName>
    <definedName name="solver_drv" localSheetId="0" hidden="1">1</definedName>
    <definedName name="solver_eng" localSheetId="1" hidden="1">1</definedName>
    <definedName name="solver_eng" localSheetId="3" hidden="1">1</definedName>
    <definedName name="solver_eng" localSheetId="2" hidden="1">1</definedName>
    <definedName name="solver_eng" localSheetId="0" hidden="1">1</definedName>
    <definedName name="solver_est" localSheetId="1" hidden="1">1</definedName>
    <definedName name="solver_est" localSheetId="3" hidden="1">1</definedName>
    <definedName name="solver_est" localSheetId="2" hidden="1">1</definedName>
    <definedName name="solver_est" localSheetId="0" hidden="1">1</definedName>
    <definedName name="solver_itr" localSheetId="1" hidden="1">2147483647</definedName>
    <definedName name="solver_itr" localSheetId="3" hidden="1">2147483647</definedName>
    <definedName name="solver_itr" localSheetId="2" hidden="1">2147483647</definedName>
    <definedName name="solver_itr" localSheetId="0" hidden="1">2147483647</definedName>
    <definedName name="solver_mip" localSheetId="1" hidden="1">2147483647</definedName>
    <definedName name="solver_mip" localSheetId="3" hidden="1">2147483647</definedName>
    <definedName name="solver_mip" localSheetId="2" hidden="1">2147483647</definedName>
    <definedName name="solver_mip" localSheetId="0" hidden="1">2147483647</definedName>
    <definedName name="solver_mni" localSheetId="1" hidden="1">30</definedName>
    <definedName name="solver_mni" localSheetId="3" hidden="1">30</definedName>
    <definedName name="solver_mni" localSheetId="2" hidden="1">30</definedName>
    <definedName name="solver_mni" localSheetId="0" hidden="1">30</definedName>
    <definedName name="solver_mrt" localSheetId="1" hidden="1">0.075</definedName>
    <definedName name="solver_mrt" localSheetId="3" hidden="1">0.075</definedName>
    <definedName name="solver_mrt" localSheetId="2" hidden="1">0.075</definedName>
    <definedName name="solver_mrt" localSheetId="0" hidden="1">0.075</definedName>
    <definedName name="solver_msl" localSheetId="1" hidden="1">2</definedName>
    <definedName name="solver_msl" localSheetId="3" hidden="1">2</definedName>
    <definedName name="solver_msl" localSheetId="2" hidden="1">2</definedName>
    <definedName name="solver_msl" localSheetId="0" hidden="1">2</definedName>
    <definedName name="solver_neg" localSheetId="1" hidden="1">1</definedName>
    <definedName name="solver_neg" localSheetId="3" hidden="1">1</definedName>
    <definedName name="solver_neg" localSheetId="2" hidden="1">1</definedName>
    <definedName name="solver_neg" localSheetId="0" hidden="1">1</definedName>
    <definedName name="solver_nod" localSheetId="1" hidden="1">2147483647</definedName>
    <definedName name="solver_nod" localSheetId="3" hidden="1">2147483647</definedName>
    <definedName name="solver_nod" localSheetId="2" hidden="1">2147483647</definedName>
    <definedName name="solver_nod" localSheetId="0" hidden="1">2147483647</definedName>
    <definedName name="solver_num" localSheetId="1" hidden="1">0</definedName>
    <definedName name="solver_num" localSheetId="3" hidden="1">0</definedName>
    <definedName name="solver_num" localSheetId="2" hidden="1">0</definedName>
    <definedName name="solver_num" localSheetId="0" hidden="1">0</definedName>
    <definedName name="solver_nwt" localSheetId="1" hidden="1">1</definedName>
    <definedName name="solver_nwt" localSheetId="3" hidden="1">1</definedName>
    <definedName name="solver_nwt" localSheetId="2" hidden="1">1</definedName>
    <definedName name="solver_nwt" localSheetId="0" hidden="1">1</definedName>
    <definedName name="solver_opt" localSheetId="1" hidden="1">ipRGC!#REF!</definedName>
    <definedName name="solver_opt" localSheetId="3" hidden="1">'M cone'!#REF!</definedName>
    <definedName name="solver_opt" localSheetId="2" hidden="1">Rod!#REF!</definedName>
    <definedName name="solver_opt" localSheetId="0" hidden="1">'S cone'!#REF!</definedName>
    <definedName name="solver_pre" localSheetId="1" hidden="1">0.000001</definedName>
    <definedName name="solver_pre" localSheetId="3" hidden="1">0.000001</definedName>
    <definedName name="solver_pre" localSheetId="2" hidden="1">0.000001</definedName>
    <definedName name="solver_pre" localSheetId="0" hidden="1">0.000001</definedName>
    <definedName name="solver_rbv" localSheetId="1" hidden="1">1</definedName>
    <definedName name="solver_rbv" localSheetId="3" hidden="1">1</definedName>
    <definedName name="solver_rbv" localSheetId="2" hidden="1">1</definedName>
    <definedName name="solver_rbv" localSheetId="0" hidden="1">1</definedName>
    <definedName name="solver_rlx" localSheetId="1" hidden="1">2</definedName>
    <definedName name="solver_rlx" localSheetId="3" hidden="1">2</definedName>
    <definedName name="solver_rlx" localSheetId="2" hidden="1">2</definedName>
    <definedName name="solver_rlx" localSheetId="0" hidden="1">2</definedName>
    <definedName name="solver_rsd" localSheetId="1" hidden="1">0</definedName>
    <definedName name="solver_rsd" localSheetId="3" hidden="1">0</definedName>
    <definedName name="solver_rsd" localSheetId="2" hidden="1">0</definedName>
    <definedName name="solver_rsd" localSheetId="0" hidden="1">0</definedName>
    <definedName name="solver_scl" localSheetId="1" hidden="1">1</definedName>
    <definedName name="solver_scl" localSheetId="3" hidden="1">1</definedName>
    <definedName name="solver_scl" localSheetId="2" hidden="1">1</definedName>
    <definedName name="solver_scl" localSheetId="0" hidden="1">1</definedName>
    <definedName name="solver_sho" localSheetId="1" hidden="1">2</definedName>
    <definedName name="solver_sho" localSheetId="3" hidden="1">2</definedName>
    <definedName name="solver_sho" localSheetId="2" hidden="1">2</definedName>
    <definedName name="solver_sho" localSheetId="0" hidden="1">2</definedName>
    <definedName name="solver_ssz" localSheetId="1" hidden="1">100</definedName>
    <definedName name="solver_ssz" localSheetId="3" hidden="1">100</definedName>
    <definedName name="solver_ssz" localSheetId="2" hidden="1">100</definedName>
    <definedName name="solver_ssz" localSheetId="0" hidden="1">100</definedName>
    <definedName name="solver_tim" localSheetId="1" hidden="1">2147483647</definedName>
    <definedName name="solver_tim" localSheetId="3" hidden="1">2147483647</definedName>
    <definedName name="solver_tim" localSheetId="2" hidden="1">2147483647</definedName>
    <definedName name="solver_tim" localSheetId="0" hidden="1">2147483647</definedName>
    <definedName name="solver_tol" localSheetId="1" hidden="1">0.01</definedName>
    <definedName name="solver_tol" localSheetId="3" hidden="1">0.01</definedName>
    <definedName name="solver_tol" localSheetId="2" hidden="1">0.01</definedName>
    <definedName name="solver_tol" localSheetId="0" hidden="1">0.01</definedName>
    <definedName name="solver_typ" localSheetId="1" hidden="1">3</definedName>
    <definedName name="solver_typ" localSheetId="3" hidden="1">3</definedName>
    <definedName name="solver_typ" localSheetId="2" hidden="1">3</definedName>
    <definedName name="solver_typ" localSheetId="0" hidden="1">3</definedName>
    <definedName name="solver_val" localSheetId="1" hidden="1">934.73</definedName>
    <definedName name="solver_val" localSheetId="3" hidden="1">934.73</definedName>
    <definedName name="solver_val" localSheetId="2" hidden="1">934.73</definedName>
    <definedName name="solver_val" localSheetId="0" hidden="1">934.73</definedName>
    <definedName name="solver_ver" localSheetId="1" hidden="1">3</definedName>
    <definedName name="solver_ver" localSheetId="3" hidden="1">3</definedName>
    <definedName name="solver_ver" localSheetId="2" hidden="1">3</definedName>
    <definedName name="solver_ver" localSheetId="0"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4" l="1"/>
  <c r="M16" i="6"/>
  <c r="AD11" i="4"/>
  <c r="F17" i="6"/>
  <c r="E17" i="6"/>
  <c r="F16" i="6"/>
  <c r="E16" i="6"/>
  <c r="F15" i="6"/>
  <c r="E15" i="6"/>
  <c r="F14" i="6"/>
  <c r="E14" i="6"/>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N34" i="9"/>
  <c r="N33" i="9"/>
  <c r="N32" i="9"/>
  <c r="N31" i="9"/>
  <c r="N30" i="9"/>
  <c r="N29" i="9"/>
  <c r="N28" i="9"/>
  <c r="N27" i="9"/>
  <c r="N26" i="9"/>
  <c r="N25" i="9"/>
  <c r="N24" i="9"/>
  <c r="N23" i="9"/>
  <c r="N22" i="9"/>
  <c r="N21" i="9"/>
  <c r="N20" i="9"/>
  <c r="N19" i="9"/>
  <c r="N18" i="9"/>
  <c r="N17" i="9"/>
  <c r="N16" i="9"/>
  <c r="N15" i="9"/>
  <c r="N14" i="9"/>
  <c r="N13" i="9"/>
  <c r="N12" i="9"/>
  <c r="N108" i="10"/>
  <c r="N107" i="10"/>
  <c r="N106" i="10"/>
  <c r="N105" i="10"/>
  <c r="N104" i="10"/>
  <c r="N103" i="10"/>
  <c r="N102" i="10"/>
  <c r="N101" i="10"/>
  <c r="N100" i="10"/>
  <c r="N99" i="10"/>
  <c r="N98" i="10"/>
  <c r="N97" i="10"/>
  <c r="N96" i="10"/>
  <c r="N95" i="10"/>
  <c r="N94" i="10"/>
  <c r="N93" i="10"/>
  <c r="N92" i="10"/>
  <c r="N91" i="10"/>
  <c r="N90" i="10"/>
  <c r="N89" i="10"/>
  <c r="N88" i="10"/>
  <c r="N87" i="10"/>
  <c r="N86" i="10"/>
  <c r="N85" i="10"/>
  <c r="N84" i="10"/>
  <c r="N83" i="10"/>
  <c r="N82" i="10"/>
  <c r="N81" i="10"/>
  <c r="N80" i="10"/>
  <c r="N79" i="10"/>
  <c r="N78" i="10"/>
  <c r="N77" i="10"/>
  <c r="N76" i="10"/>
  <c r="N75" i="10"/>
  <c r="N74" i="10"/>
  <c r="N73" i="10"/>
  <c r="N72" i="10"/>
  <c r="N71" i="10"/>
  <c r="N70" i="10"/>
  <c r="N69" i="10"/>
  <c r="N68" i="10"/>
  <c r="N67" i="10"/>
  <c r="N66" i="10"/>
  <c r="N65" i="10"/>
  <c r="N64" i="10"/>
  <c r="N63" i="10"/>
  <c r="N62" i="10"/>
  <c r="N61" i="10"/>
  <c r="N60" i="10"/>
  <c r="N59" i="10"/>
  <c r="N58" i="10"/>
  <c r="N57" i="10"/>
  <c r="N56" i="10"/>
  <c r="N55" i="10"/>
  <c r="N54" i="10"/>
  <c r="N53" i="10"/>
  <c r="N52" i="10"/>
  <c r="N51" i="10"/>
  <c r="N50" i="10"/>
  <c r="N49" i="10"/>
  <c r="N48" i="10"/>
  <c r="N47" i="10"/>
  <c r="N46" i="10"/>
  <c r="N45" i="10"/>
  <c r="N44" i="10"/>
  <c r="N43" i="10"/>
  <c r="N42" i="10"/>
  <c r="N41" i="10"/>
  <c r="N40" i="10"/>
  <c r="N39" i="10"/>
  <c r="N38" i="10"/>
  <c r="N37" i="10"/>
  <c r="N36" i="10"/>
  <c r="N35" i="10"/>
  <c r="N34" i="10"/>
  <c r="N33" i="10"/>
  <c r="N32" i="10"/>
  <c r="N31" i="10"/>
  <c r="N30" i="10"/>
  <c r="N29" i="10"/>
  <c r="N28" i="10"/>
  <c r="N27" i="10"/>
  <c r="N26" i="10"/>
  <c r="N25" i="10"/>
  <c r="N24" i="10"/>
  <c r="N23" i="10"/>
  <c r="N22" i="10"/>
  <c r="N21" i="10"/>
  <c r="N20" i="10"/>
  <c r="N19" i="10"/>
  <c r="N18" i="10"/>
  <c r="N17" i="10"/>
  <c r="N16" i="10"/>
  <c r="N15" i="10"/>
  <c r="N14" i="10"/>
  <c r="N13" i="10"/>
  <c r="N12" i="10"/>
  <c r="N108" i="8"/>
  <c r="N107" i="8"/>
  <c r="N106" i="8"/>
  <c r="N105" i="8"/>
  <c r="N104" i="8"/>
  <c r="N103" i="8"/>
  <c r="N102" i="8"/>
  <c r="N101" i="8"/>
  <c r="N100" i="8"/>
  <c r="N99" i="8"/>
  <c r="N98" i="8"/>
  <c r="N97" i="8"/>
  <c r="N96" i="8"/>
  <c r="N95" i="8"/>
  <c r="N94" i="8"/>
  <c r="N93" i="8"/>
  <c r="N92" i="8"/>
  <c r="N91" i="8"/>
  <c r="N90" i="8"/>
  <c r="N89" i="8"/>
  <c r="N88" i="8"/>
  <c r="N87" i="8"/>
  <c r="N86" i="8"/>
  <c r="N85" i="8"/>
  <c r="N84" i="8"/>
  <c r="N83" i="8"/>
  <c r="N82" i="8"/>
  <c r="N81" i="8"/>
  <c r="N80" i="8"/>
  <c r="N79" i="8"/>
  <c r="N78" i="8"/>
  <c r="N77" i="8"/>
  <c r="N76" i="8"/>
  <c r="N75" i="8"/>
  <c r="N74" i="8"/>
  <c r="N73" i="8"/>
  <c r="N72" i="8"/>
  <c r="N71" i="8"/>
  <c r="N70" i="8"/>
  <c r="N69" i="8"/>
  <c r="N68" i="8"/>
  <c r="N67" i="8"/>
  <c r="N66" i="8"/>
  <c r="N65" i="8"/>
  <c r="N64" i="8"/>
  <c r="N63" i="8"/>
  <c r="N62" i="8"/>
  <c r="N61" i="8"/>
  <c r="N60" i="8"/>
  <c r="N59" i="8"/>
  <c r="N58" i="8"/>
  <c r="N57" i="8"/>
  <c r="N56" i="8"/>
  <c r="N55" i="8"/>
  <c r="N54" i="8"/>
  <c r="N53" i="8"/>
  <c r="N52" i="8"/>
  <c r="N51" i="8"/>
  <c r="N50" i="8"/>
  <c r="N49" i="8"/>
  <c r="N48" i="8"/>
  <c r="N47" i="8"/>
  <c r="N46" i="8"/>
  <c r="N45" i="8"/>
  <c r="N44" i="8"/>
  <c r="N43" i="8"/>
  <c r="N42" i="8"/>
  <c r="N41" i="8"/>
  <c r="N40" i="8"/>
  <c r="N39" i="8"/>
  <c r="N38" i="8"/>
  <c r="N37" i="8"/>
  <c r="N36" i="8"/>
  <c r="N35" i="8"/>
  <c r="N34" i="8"/>
  <c r="N33" i="8"/>
  <c r="N32" i="8"/>
  <c r="N31" i="8"/>
  <c r="N30" i="8"/>
  <c r="N29" i="8"/>
  <c r="N28" i="8"/>
  <c r="N27" i="8"/>
  <c r="N26" i="8"/>
  <c r="N25" i="8"/>
  <c r="N24" i="8"/>
  <c r="N23" i="8"/>
  <c r="N22" i="8"/>
  <c r="N21" i="8"/>
  <c r="N20" i="8"/>
  <c r="N19" i="8"/>
  <c r="N18" i="8"/>
  <c r="N17" i="8"/>
  <c r="N16" i="8"/>
  <c r="N15" i="8"/>
  <c r="N14" i="8"/>
  <c r="N13" i="8"/>
  <c r="N12" i="8"/>
  <c r="N108" i="7"/>
  <c r="N107" i="7"/>
  <c r="N106" i="7"/>
  <c r="N105" i="7"/>
  <c r="N104" i="7"/>
  <c r="N103" i="7"/>
  <c r="N102" i="7"/>
  <c r="N101" i="7"/>
  <c r="N100" i="7"/>
  <c r="N99" i="7"/>
  <c r="N98" i="7"/>
  <c r="N97" i="7"/>
  <c r="N96" i="7"/>
  <c r="N95" i="7"/>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C4" i="9"/>
  <c r="C15" i="9" s="1"/>
  <c r="E15" i="9" s="1"/>
  <c r="C5" i="9"/>
  <c r="C13" i="9" l="1"/>
  <c r="E13" i="9" s="1"/>
  <c r="D8" i="9"/>
  <c r="C107" i="9"/>
  <c r="C105" i="9"/>
  <c r="D105" i="9" s="1"/>
  <c r="C103" i="9"/>
  <c r="C101" i="9"/>
  <c r="C99" i="9"/>
  <c r="C97" i="9"/>
  <c r="C95" i="9"/>
  <c r="C93" i="9"/>
  <c r="C91" i="9"/>
  <c r="C89" i="9"/>
  <c r="D89" i="9" s="1"/>
  <c r="C87" i="9"/>
  <c r="C85" i="9"/>
  <c r="C83" i="9"/>
  <c r="C81" i="9"/>
  <c r="C79" i="9"/>
  <c r="C77" i="9"/>
  <c r="C75" i="9"/>
  <c r="C73" i="9"/>
  <c r="D73" i="9" s="1"/>
  <c r="C71" i="9"/>
  <c r="C69" i="9"/>
  <c r="C67" i="9"/>
  <c r="C65" i="9"/>
  <c r="C63" i="9"/>
  <c r="C61" i="9"/>
  <c r="C59" i="9"/>
  <c r="C57" i="9"/>
  <c r="D57" i="9" s="1"/>
  <c r="C55" i="9"/>
  <c r="C53" i="9"/>
  <c r="C51" i="9"/>
  <c r="C49" i="9"/>
  <c r="C47" i="9"/>
  <c r="C45" i="9"/>
  <c r="C43" i="9"/>
  <c r="C41" i="9"/>
  <c r="D41" i="9" s="1"/>
  <c r="C39" i="9"/>
  <c r="C108" i="9"/>
  <c r="C106" i="9"/>
  <c r="C104" i="9"/>
  <c r="C102" i="9"/>
  <c r="C100" i="9"/>
  <c r="C98" i="9"/>
  <c r="D98" i="9" s="1"/>
  <c r="C96" i="9"/>
  <c r="D96" i="9" s="1"/>
  <c r="C94" i="9"/>
  <c r="D94" i="9" s="1"/>
  <c r="C92" i="9"/>
  <c r="D92" i="9" s="1"/>
  <c r="C90" i="9"/>
  <c r="C88" i="9"/>
  <c r="D88" i="9" s="1"/>
  <c r="C86" i="9"/>
  <c r="C84" i="9"/>
  <c r="C82" i="9"/>
  <c r="D82" i="9" s="1"/>
  <c r="C80" i="9"/>
  <c r="C78" i="9"/>
  <c r="D78" i="9" s="1"/>
  <c r="C76" i="9"/>
  <c r="C74" i="9"/>
  <c r="C72" i="9"/>
  <c r="C70" i="9"/>
  <c r="C68" i="9"/>
  <c r="C66" i="9"/>
  <c r="D66" i="9" s="1"/>
  <c r="C64" i="9"/>
  <c r="D64" i="9" s="1"/>
  <c r="C62" i="9"/>
  <c r="D62" i="9" s="1"/>
  <c r="C60" i="9"/>
  <c r="D60" i="9" s="1"/>
  <c r="C58" i="9"/>
  <c r="C56" i="9"/>
  <c r="D56" i="9" s="1"/>
  <c r="C54" i="9"/>
  <c r="C52" i="9"/>
  <c r="C50" i="9"/>
  <c r="D50" i="9" s="1"/>
  <c r="C48" i="9"/>
  <c r="C46" i="9"/>
  <c r="D46" i="9" s="1"/>
  <c r="C44" i="9"/>
  <c r="C42" i="9"/>
  <c r="C40" i="9"/>
  <c r="C38" i="9"/>
  <c r="I5" i="9"/>
  <c r="I107" i="9" s="1"/>
  <c r="C12" i="9"/>
  <c r="I12" i="9"/>
  <c r="D13" i="9"/>
  <c r="F13" i="9"/>
  <c r="C14" i="9"/>
  <c r="F15" i="9"/>
  <c r="C16" i="9"/>
  <c r="D16" i="9" s="1"/>
  <c r="I16" i="9"/>
  <c r="C18" i="9"/>
  <c r="D18" i="9" s="1"/>
  <c r="I18" i="9"/>
  <c r="C20" i="9"/>
  <c r="C22" i="9"/>
  <c r="I22" i="9"/>
  <c r="C24" i="9"/>
  <c r="I24" i="9"/>
  <c r="C26" i="9"/>
  <c r="I26" i="9"/>
  <c r="C28" i="9"/>
  <c r="D28" i="9" s="1"/>
  <c r="C30" i="9"/>
  <c r="I30" i="9"/>
  <c r="C32" i="9"/>
  <c r="I32" i="9"/>
  <c r="C34" i="9"/>
  <c r="D34" i="9" s="1"/>
  <c r="I34" i="9"/>
  <c r="C36" i="9"/>
  <c r="D104" i="9"/>
  <c r="D100" i="9"/>
  <c r="D72" i="9"/>
  <c r="D68" i="9"/>
  <c r="D40" i="9"/>
  <c r="D107" i="9"/>
  <c r="D103" i="9"/>
  <c r="D101" i="9"/>
  <c r="D93" i="9"/>
  <c r="D91" i="9"/>
  <c r="D87" i="9"/>
  <c r="D85" i="9"/>
  <c r="D77" i="9"/>
  <c r="D75" i="9"/>
  <c r="D71" i="9"/>
  <c r="D69" i="9"/>
  <c r="D61" i="9"/>
  <c r="D59" i="9"/>
  <c r="D55" i="9"/>
  <c r="D53" i="9"/>
  <c r="D45" i="9"/>
  <c r="D43" i="9"/>
  <c r="D39" i="9"/>
  <c r="D12" i="9"/>
  <c r="C17" i="9"/>
  <c r="I17" i="9"/>
  <c r="C19" i="9"/>
  <c r="I19" i="9"/>
  <c r="C21" i="9"/>
  <c r="D22" i="9"/>
  <c r="C23" i="9"/>
  <c r="I23" i="9"/>
  <c r="D24" i="9"/>
  <c r="C25" i="9"/>
  <c r="C27" i="9"/>
  <c r="I27" i="9"/>
  <c r="C29" i="9"/>
  <c r="I29" i="9"/>
  <c r="D30" i="9"/>
  <c r="C31" i="9"/>
  <c r="C33" i="9"/>
  <c r="I33" i="9"/>
  <c r="C35" i="9"/>
  <c r="I35" i="9"/>
  <c r="C37" i="9"/>
  <c r="C4" i="7"/>
  <c r="D84" i="9" l="1"/>
  <c r="D32" i="9"/>
  <c r="I21" i="9"/>
  <c r="I15" i="9"/>
  <c r="D47" i="9"/>
  <c r="D63" i="9"/>
  <c r="D79" i="9"/>
  <c r="D95" i="9"/>
  <c r="D44" i="9"/>
  <c r="D76" i="9"/>
  <c r="D108" i="9"/>
  <c r="D15" i="9"/>
  <c r="D38" i="9"/>
  <c r="D54" i="9"/>
  <c r="D70" i="9"/>
  <c r="D86" i="9"/>
  <c r="D102" i="9"/>
  <c r="D37" i="9"/>
  <c r="I31" i="9"/>
  <c r="D26" i="9"/>
  <c r="D14" i="9"/>
  <c r="D49" i="9"/>
  <c r="D65" i="9"/>
  <c r="D81" i="9"/>
  <c r="D97" i="9"/>
  <c r="D48" i="9"/>
  <c r="D80" i="9"/>
  <c r="I36" i="9"/>
  <c r="I28" i="9"/>
  <c r="I20" i="9"/>
  <c r="I14" i="9"/>
  <c r="D36" i="9"/>
  <c r="I25" i="9"/>
  <c r="D20" i="9"/>
  <c r="I13" i="9"/>
  <c r="D51" i="9"/>
  <c r="D67" i="9"/>
  <c r="D83" i="9"/>
  <c r="D99" i="9"/>
  <c r="D52" i="9"/>
  <c r="D42" i="9"/>
  <c r="D58" i="9"/>
  <c r="D74" i="9"/>
  <c r="D90" i="9"/>
  <c r="D106" i="9"/>
  <c r="G15" i="9"/>
  <c r="H15" i="9" s="1"/>
  <c r="J15" i="9" s="1"/>
  <c r="G13" i="9"/>
  <c r="H13" i="9" s="1"/>
  <c r="J13" i="9" s="1"/>
  <c r="I68" i="9"/>
  <c r="I100" i="9"/>
  <c r="I52" i="9"/>
  <c r="I84" i="9"/>
  <c r="I44" i="9"/>
  <c r="I60" i="9"/>
  <c r="I76" i="9"/>
  <c r="I92" i="9"/>
  <c r="I108" i="9"/>
  <c r="I40" i="9"/>
  <c r="I48" i="9"/>
  <c r="I56" i="9"/>
  <c r="I64" i="9"/>
  <c r="I72" i="9"/>
  <c r="I80" i="9"/>
  <c r="I88" i="9"/>
  <c r="I96" i="9"/>
  <c r="I104" i="9"/>
  <c r="I39" i="9"/>
  <c r="E35" i="9"/>
  <c r="F35" i="9"/>
  <c r="E31" i="9"/>
  <c r="F31" i="9"/>
  <c r="E27" i="9"/>
  <c r="F27" i="9"/>
  <c r="E23" i="9"/>
  <c r="F23" i="9"/>
  <c r="E19" i="9"/>
  <c r="F19" i="9"/>
  <c r="F34" i="9"/>
  <c r="E34" i="9"/>
  <c r="G34" i="9" s="1"/>
  <c r="H34" i="9" s="1"/>
  <c r="J34" i="9" s="1"/>
  <c r="F30" i="9"/>
  <c r="E30" i="9"/>
  <c r="G30" i="9" s="1"/>
  <c r="H30" i="9" s="1"/>
  <c r="J30" i="9" s="1"/>
  <c r="F26" i="9"/>
  <c r="E26" i="9"/>
  <c r="F22" i="9"/>
  <c r="E22" i="9"/>
  <c r="G22" i="9" s="1"/>
  <c r="H22" i="9" s="1"/>
  <c r="J22" i="9" s="1"/>
  <c r="F18" i="9"/>
  <c r="E18" i="9"/>
  <c r="G18" i="9" s="1"/>
  <c r="H18" i="9" s="1"/>
  <c r="J18" i="9" s="1"/>
  <c r="F40" i="9"/>
  <c r="E40" i="9"/>
  <c r="G40" i="9" s="1"/>
  <c r="H40" i="9" s="1"/>
  <c r="J40" i="9" s="1"/>
  <c r="F44" i="9"/>
  <c r="E44" i="9"/>
  <c r="F48" i="9"/>
  <c r="E48" i="9"/>
  <c r="F52" i="9"/>
  <c r="E52" i="9"/>
  <c r="F56" i="9"/>
  <c r="E56" i="9"/>
  <c r="G56" i="9" s="1"/>
  <c r="H56" i="9" s="1"/>
  <c r="J56" i="9" s="1"/>
  <c r="F60" i="9"/>
  <c r="E60" i="9"/>
  <c r="F64" i="9"/>
  <c r="E64" i="9"/>
  <c r="F68" i="9"/>
  <c r="E68" i="9"/>
  <c r="G68" i="9" s="1"/>
  <c r="H68" i="9" s="1"/>
  <c r="F72" i="9"/>
  <c r="E72" i="9"/>
  <c r="G72" i="9" s="1"/>
  <c r="H72" i="9" s="1"/>
  <c r="J72" i="9" s="1"/>
  <c r="F76" i="9"/>
  <c r="E76" i="9"/>
  <c r="F80" i="9"/>
  <c r="E80" i="9"/>
  <c r="F84" i="9"/>
  <c r="E84" i="9"/>
  <c r="G84" i="9" s="1"/>
  <c r="H84" i="9" s="1"/>
  <c r="J84" i="9" s="1"/>
  <c r="F88" i="9"/>
  <c r="E88" i="9"/>
  <c r="G88" i="9" s="1"/>
  <c r="H88" i="9" s="1"/>
  <c r="J88" i="9" s="1"/>
  <c r="F92" i="9"/>
  <c r="E92" i="9"/>
  <c r="F96" i="9"/>
  <c r="E96" i="9"/>
  <c r="G96" i="9" s="1"/>
  <c r="H96" i="9" s="1"/>
  <c r="F100" i="9"/>
  <c r="E100" i="9"/>
  <c r="G100" i="9" s="1"/>
  <c r="H100" i="9" s="1"/>
  <c r="J100" i="9" s="1"/>
  <c r="F104" i="9"/>
  <c r="E104" i="9"/>
  <c r="G104" i="9" s="1"/>
  <c r="H104" i="9" s="1"/>
  <c r="J104" i="9" s="1"/>
  <c r="F108" i="9"/>
  <c r="E108" i="9"/>
  <c r="E41" i="9"/>
  <c r="F41" i="9"/>
  <c r="E45" i="9"/>
  <c r="F45" i="9"/>
  <c r="G45" i="9" s="1"/>
  <c r="H45" i="9" s="1"/>
  <c r="E49" i="9"/>
  <c r="F49" i="9"/>
  <c r="E53" i="9"/>
  <c r="F53" i="9"/>
  <c r="E57" i="9"/>
  <c r="F57" i="9"/>
  <c r="E61" i="9"/>
  <c r="F61" i="9"/>
  <c r="E65" i="9"/>
  <c r="F65" i="9"/>
  <c r="E69" i="9"/>
  <c r="F69" i="9"/>
  <c r="E73" i="9"/>
  <c r="F73" i="9"/>
  <c r="E77" i="9"/>
  <c r="F77" i="9"/>
  <c r="E81" i="9"/>
  <c r="F81" i="9"/>
  <c r="E85" i="9"/>
  <c r="F85" i="9"/>
  <c r="E89" i="9"/>
  <c r="F89" i="9"/>
  <c r="E93" i="9"/>
  <c r="F93" i="9"/>
  <c r="E97" i="9"/>
  <c r="F97" i="9"/>
  <c r="E101" i="9"/>
  <c r="F101" i="9"/>
  <c r="E105" i="9"/>
  <c r="F105" i="9"/>
  <c r="D35" i="9"/>
  <c r="G35" i="9" s="1"/>
  <c r="H35" i="9" s="1"/>
  <c r="J35" i="9" s="1"/>
  <c r="D31" i="9"/>
  <c r="D27" i="9"/>
  <c r="D23" i="9"/>
  <c r="D19" i="9"/>
  <c r="I38" i="9"/>
  <c r="I42" i="9"/>
  <c r="I46" i="9"/>
  <c r="I50" i="9"/>
  <c r="I54" i="9"/>
  <c r="I58" i="9"/>
  <c r="I62" i="9"/>
  <c r="I66" i="9"/>
  <c r="I70" i="9"/>
  <c r="I74" i="9"/>
  <c r="I78" i="9"/>
  <c r="I82" i="9"/>
  <c r="I86" i="9"/>
  <c r="I90" i="9"/>
  <c r="I94" i="9"/>
  <c r="I98" i="9"/>
  <c r="I102" i="9"/>
  <c r="I106" i="9"/>
  <c r="I37" i="9"/>
  <c r="I41" i="9"/>
  <c r="I45" i="9"/>
  <c r="I49" i="9"/>
  <c r="I53" i="9"/>
  <c r="I57" i="9"/>
  <c r="I61" i="9"/>
  <c r="I65" i="9"/>
  <c r="I69" i="9"/>
  <c r="I73" i="9"/>
  <c r="I77" i="9"/>
  <c r="I81" i="9"/>
  <c r="I85" i="9"/>
  <c r="I89" i="9"/>
  <c r="I93" i="9"/>
  <c r="I97" i="9"/>
  <c r="I101" i="9"/>
  <c r="I105" i="9"/>
  <c r="E37" i="9"/>
  <c r="F37" i="9"/>
  <c r="E33" i="9"/>
  <c r="F33" i="9"/>
  <c r="E29" i="9"/>
  <c r="F29" i="9"/>
  <c r="E25" i="9"/>
  <c r="F25" i="9"/>
  <c r="E21" i="9"/>
  <c r="F21" i="9"/>
  <c r="E17" i="9"/>
  <c r="F17" i="9"/>
  <c r="F36" i="9"/>
  <c r="E36" i="9"/>
  <c r="F32" i="9"/>
  <c r="E32" i="9"/>
  <c r="F28" i="9"/>
  <c r="E28" i="9"/>
  <c r="F24" i="9"/>
  <c r="E24" i="9"/>
  <c r="F20" i="9"/>
  <c r="E20" i="9"/>
  <c r="F16" i="9"/>
  <c r="E16" i="9"/>
  <c r="F14" i="9"/>
  <c r="E14" i="9"/>
  <c r="F12" i="9"/>
  <c r="E12" i="9"/>
  <c r="F38" i="9"/>
  <c r="E38" i="9"/>
  <c r="F42" i="9"/>
  <c r="E42" i="9"/>
  <c r="F46" i="9"/>
  <c r="E46" i="9"/>
  <c r="F50" i="9"/>
  <c r="E50" i="9"/>
  <c r="F54" i="9"/>
  <c r="E54" i="9"/>
  <c r="F58" i="9"/>
  <c r="E58" i="9"/>
  <c r="F62" i="9"/>
  <c r="E62" i="9"/>
  <c r="F66" i="9"/>
  <c r="E66" i="9"/>
  <c r="F70" i="9"/>
  <c r="E70" i="9"/>
  <c r="F74" i="9"/>
  <c r="E74" i="9"/>
  <c r="F78" i="9"/>
  <c r="E78" i="9"/>
  <c r="F82" i="9"/>
  <c r="E82" i="9"/>
  <c r="F86" i="9"/>
  <c r="E86" i="9"/>
  <c r="F90" i="9"/>
  <c r="E90" i="9"/>
  <c r="F94" i="9"/>
  <c r="E94" i="9"/>
  <c r="F98" i="9"/>
  <c r="E98" i="9"/>
  <c r="F102" i="9"/>
  <c r="E102" i="9"/>
  <c r="F106" i="9"/>
  <c r="E106" i="9"/>
  <c r="E39" i="9"/>
  <c r="F39" i="9"/>
  <c r="E43" i="9"/>
  <c r="F43" i="9"/>
  <c r="E47" i="9"/>
  <c r="F47" i="9"/>
  <c r="E51" i="9"/>
  <c r="F51" i="9"/>
  <c r="E55" i="9"/>
  <c r="F55" i="9"/>
  <c r="E59" i="9"/>
  <c r="F59" i="9"/>
  <c r="E63" i="9"/>
  <c r="F63" i="9"/>
  <c r="E67" i="9"/>
  <c r="F67" i="9"/>
  <c r="E71" i="9"/>
  <c r="F71" i="9"/>
  <c r="E75" i="9"/>
  <c r="F75" i="9"/>
  <c r="E79" i="9"/>
  <c r="F79" i="9"/>
  <c r="E83" i="9"/>
  <c r="F83" i="9"/>
  <c r="E87" i="9"/>
  <c r="F87" i="9"/>
  <c r="E91" i="9"/>
  <c r="F91" i="9"/>
  <c r="E95" i="9"/>
  <c r="F95" i="9"/>
  <c r="E99" i="9"/>
  <c r="F99" i="9"/>
  <c r="E103" i="9"/>
  <c r="F103" i="9"/>
  <c r="E107" i="9"/>
  <c r="F107" i="9"/>
  <c r="G48" i="9"/>
  <c r="H48" i="9" s="1"/>
  <c r="J48" i="9" s="1"/>
  <c r="G64" i="9"/>
  <c r="H64" i="9" s="1"/>
  <c r="J64" i="9" s="1"/>
  <c r="G80" i="9"/>
  <c r="H80" i="9" s="1"/>
  <c r="J80" i="9" s="1"/>
  <c r="D33" i="9"/>
  <c r="D29" i="9"/>
  <c r="D25" i="9"/>
  <c r="D21" i="9"/>
  <c r="D17" i="9"/>
  <c r="I43" i="9"/>
  <c r="I47" i="9"/>
  <c r="I51" i="9"/>
  <c r="I55" i="9"/>
  <c r="I59" i="9"/>
  <c r="I63" i="9"/>
  <c r="I67" i="9"/>
  <c r="I71" i="9"/>
  <c r="I75" i="9"/>
  <c r="I79" i="9"/>
  <c r="I83" i="9"/>
  <c r="I87" i="9"/>
  <c r="I91" i="9"/>
  <c r="I95" i="9"/>
  <c r="I99" i="9"/>
  <c r="I103" i="9"/>
  <c r="C5" i="7"/>
  <c r="I5" i="7"/>
  <c r="D8" i="7"/>
  <c r="C107" i="7"/>
  <c r="C105" i="7"/>
  <c r="C103" i="7"/>
  <c r="C101" i="7"/>
  <c r="C99" i="7"/>
  <c r="C97" i="7"/>
  <c r="C95" i="7"/>
  <c r="C93" i="7"/>
  <c r="C91" i="7"/>
  <c r="C89" i="7"/>
  <c r="C87" i="7"/>
  <c r="C85" i="7"/>
  <c r="C83" i="7"/>
  <c r="C81" i="7"/>
  <c r="C79" i="7"/>
  <c r="C77" i="7"/>
  <c r="C75" i="7"/>
  <c r="C73" i="7"/>
  <c r="C71" i="7"/>
  <c r="C108" i="7"/>
  <c r="C106" i="7"/>
  <c r="C104" i="7"/>
  <c r="C102" i="7"/>
  <c r="C100" i="7"/>
  <c r="C98" i="7"/>
  <c r="C96" i="7"/>
  <c r="C94" i="7"/>
  <c r="C92" i="7"/>
  <c r="C90" i="7"/>
  <c r="C88" i="7"/>
  <c r="C86" i="7"/>
  <c r="C84" i="7"/>
  <c r="C82" i="7"/>
  <c r="C80" i="7"/>
  <c r="C78" i="7"/>
  <c r="C76" i="7"/>
  <c r="C74" i="7"/>
  <c r="C72" i="7"/>
  <c r="C70" i="7"/>
  <c r="C12" i="7"/>
  <c r="C14" i="7"/>
  <c r="C16" i="7"/>
  <c r="C18" i="7"/>
  <c r="C20" i="7"/>
  <c r="C22" i="7"/>
  <c r="C24" i="7"/>
  <c r="C26" i="7"/>
  <c r="C28" i="7"/>
  <c r="C30" i="7"/>
  <c r="C32" i="7"/>
  <c r="C34" i="7"/>
  <c r="C36" i="7"/>
  <c r="C38" i="7"/>
  <c r="C40" i="7"/>
  <c r="C42" i="7"/>
  <c r="C44" i="7"/>
  <c r="C46" i="7"/>
  <c r="C48" i="7"/>
  <c r="C50" i="7"/>
  <c r="C52" i="7"/>
  <c r="C54" i="7"/>
  <c r="C56" i="7"/>
  <c r="C58" i="7"/>
  <c r="C60" i="7"/>
  <c r="C62" i="7"/>
  <c r="C64" i="7"/>
  <c r="C66" i="7"/>
  <c r="C68" i="7"/>
  <c r="C13" i="7"/>
  <c r="C15" i="7"/>
  <c r="C17" i="7"/>
  <c r="C19" i="7"/>
  <c r="C21" i="7"/>
  <c r="C23" i="7"/>
  <c r="C25" i="7"/>
  <c r="C27" i="7"/>
  <c r="C29" i="7"/>
  <c r="C31" i="7"/>
  <c r="C33" i="7"/>
  <c r="C35" i="7"/>
  <c r="C37" i="7"/>
  <c r="C39" i="7"/>
  <c r="C41" i="7"/>
  <c r="C43" i="7"/>
  <c r="C45" i="7"/>
  <c r="C47" i="7"/>
  <c r="C49" i="7"/>
  <c r="C51" i="7"/>
  <c r="C53" i="7"/>
  <c r="C55" i="7"/>
  <c r="C57" i="7"/>
  <c r="C59" i="7"/>
  <c r="C61" i="7"/>
  <c r="C63" i="7"/>
  <c r="C65" i="7"/>
  <c r="C67" i="7"/>
  <c r="C69" i="7"/>
  <c r="AG496" i="4"/>
  <c r="AG495" i="4"/>
  <c r="AG494" i="4"/>
  <c r="AG493" i="4"/>
  <c r="AG492" i="4"/>
  <c r="AG491" i="4"/>
  <c r="AG490" i="4"/>
  <c r="AG489" i="4"/>
  <c r="AG488" i="4"/>
  <c r="AI488" i="4" s="1"/>
  <c r="AG487" i="4"/>
  <c r="AG486" i="4"/>
  <c r="AG485" i="4"/>
  <c r="AI485" i="4" s="1"/>
  <c r="AG484" i="4"/>
  <c r="AG483" i="4"/>
  <c r="AG482" i="4"/>
  <c r="AI482" i="4" s="1"/>
  <c r="AG481" i="4"/>
  <c r="AI481" i="4" s="1"/>
  <c r="AG480" i="4"/>
  <c r="AG479" i="4"/>
  <c r="AG478" i="4"/>
  <c r="AI478" i="4" s="1"/>
  <c r="AG477" i="4"/>
  <c r="AG476" i="4"/>
  <c r="AG475" i="4"/>
  <c r="AI475" i="4" s="1"/>
  <c r="AG474" i="4"/>
  <c r="AG473" i="4"/>
  <c r="AI473" i="4" s="1"/>
  <c r="AG472" i="4"/>
  <c r="AG471" i="4"/>
  <c r="AG470" i="4"/>
  <c r="AG469" i="4"/>
  <c r="AG468" i="4"/>
  <c r="AI468" i="4" s="1"/>
  <c r="AG467" i="4"/>
  <c r="AG466" i="4"/>
  <c r="AI466" i="4" s="1"/>
  <c r="AG465" i="4"/>
  <c r="AI465" i="4" s="1"/>
  <c r="AG464" i="4"/>
  <c r="AG463" i="4"/>
  <c r="AI463" i="4" s="1"/>
  <c r="AG462" i="4"/>
  <c r="AI462" i="4" s="1"/>
  <c r="AG461" i="4"/>
  <c r="AG460" i="4"/>
  <c r="AG459" i="4"/>
  <c r="AG458" i="4"/>
  <c r="AI458" i="4" s="1"/>
  <c r="AG457" i="4"/>
  <c r="AI459" i="4" s="1"/>
  <c r="AG456" i="4"/>
  <c r="AG455" i="4"/>
  <c r="AI455" i="4" s="1"/>
  <c r="AG454" i="4"/>
  <c r="AG453" i="4"/>
  <c r="AG452" i="4"/>
  <c r="AI452" i="4" s="1"/>
  <c r="AG451" i="4"/>
  <c r="AI451" i="4" s="1"/>
  <c r="AG450" i="4"/>
  <c r="AI450" i="4" s="1"/>
  <c r="AG449" i="4"/>
  <c r="AG448" i="4"/>
  <c r="AI448" i="4" s="1"/>
  <c r="AG447" i="4"/>
  <c r="AG446" i="4"/>
  <c r="AI446" i="4" s="1"/>
  <c r="AG445" i="4"/>
  <c r="AI445" i="4" s="1"/>
  <c r="AG444" i="4"/>
  <c r="AG443" i="4"/>
  <c r="AG442" i="4"/>
  <c r="AG441" i="4"/>
  <c r="AG440" i="4"/>
  <c r="AG439" i="4"/>
  <c r="AG438" i="4"/>
  <c r="AI438" i="4" s="1"/>
  <c r="AG437" i="4"/>
  <c r="AG436" i="4"/>
  <c r="AG435" i="4"/>
  <c r="AI435" i="4" s="1"/>
  <c r="AG434" i="4"/>
  <c r="AG433" i="4"/>
  <c r="AI433" i="4" s="1"/>
  <c r="AG432" i="4"/>
  <c r="AI432" i="4" s="1"/>
  <c r="AG431" i="4"/>
  <c r="AI431" i="4" s="1"/>
  <c r="AG430" i="4"/>
  <c r="AI430" i="4" s="1"/>
  <c r="AG429" i="4"/>
  <c r="AG428" i="4"/>
  <c r="AI428" i="4" s="1"/>
  <c r="AG427" i="4"/>
  <c r="AI429" i="4" s="1"/>
  <c r="AG426" i="4"/>
  <c r="AI426" i="4" s="1"/>
  <c r="AG425" i="4"/>
  <c r="AI425" i="4" s="1"/>
  <c r="AG424" i="4"/>
  <c r="AG423" i="4"/>
  <c r="AI423" i="4" s="1"/>
  <c r="AG422" i="4"/>
  <c r="AG421" i="4"/>
  <c r="AG420" i="4"/>
  <c r="AI420" i="4" s="1"/>
  <c r="AG419" i="4"/>
  <c r="AG418" i="4"/>
  <c r="AI418" i="4" s="1"/>
  <c r="AG417" i="4"/>
  <c r="AG416" i="4"/>
  <c r="AI416" i="4" s="1"/>
  <c r="AG415" i="4"/>
  <c r="AI415" i="4" s="1"/>
  <c r="AG414" i="4"/>
  <c r="AG413" i="4"/>
  <c r="AG412" i="4"/>
  <c r="AG411" i="4"/>
  <c r="AG410" i="4"/>
  <c r="AI410" i="4" s="1"/>
  <c r="AG409" i="4"/>
  <c r="AG408" i="4"/>
  <c r="AI408" i="4" s="1"/>
  <c r="AG407" i="4"/>
  <c r="AG406" i="4"/>
  <c r="AG405" i="4"/>
  <c r="AI405" i="4" s="1"/>
  <c r="AG404" i="4"/>
  <c r="AG403" i="4"/>
  <c r="AG402" i="4"/>
  <c r="AI402" i="4" s="1"/>
  <c r="AG401" i="4"/>
  <c r="AI401" i="4" s="1"/>
  <c r="AG400" i="4"/>
  <c r="AG399" i="4"/>
  <c r="AG398" i="4"/>
  <c r="AI398" i="4" s="1"/>
  <c r="AG397" i="4"/>
  <c r="AG396" i="4"/>
  <c r="AG395" i="4"/>
  <c r="AI395" i="4" s="1"/>
  <c r="AG394" i="4"/>
  <c r="AG393" i="4"/>
  <c r="AI393" i="4" s="1"/>
  <c r="AG392" i="4"/>
  <c r="AG391" i="4"/>
  <c r="AI391" i="4" s="1"/>
  <c r="AG390" i="4"/>
  <c r="AI390" i="4" s="1"/>
  <c r="AG389" i="4"/>
  <c r="AG388" i="4"/>
  <c r="AI388" i="4" s="1"/>
  <c r="AG387" i="4"/>
  <c r="AI389" i="4" s="1"/>
  <c r="AG386" i="4"/>
  <c r="AI386" i="4" s="1"/>
  <c r="AG385" i="4"/>
  <c r="AI385" i="4" s="1"/>
  <c r="AG384" i="4"/>
  <c r="AG383" i="4"/>
  <c r="AI383" i="4" s="1"/>
  <c r="AG382" i="4"/>
  <c r="AI382" i="4" s="1"/>
  <c r="AG381" i="4"/>
  <c r="AG380" i="4"/>
  <c r="AG379" i="4"/>
  <c r="AG378" i="4"/>
  <c r="AI378" i="4" s="1"/>
  <c r="AG377" i="4"/>
  <c r="AI379" i="4" s="1"/>
  <c r="AG376" i="4"/>
  <c r="AG375" i="4"/>
  <c r="AI375" i="4" s="1"/>
  <c r="AG374" i="4"/>
  <c r="AG373" i="4"/>
  <c r="AG372" i="4"/>
  <c r="AI372" i="4" s="1"/>
  <c r="AG371" i="4"/>
  <c r="AI371" i="4" s="1"/>
  <c r="AG370" i="4"/>
  <c r="AI370" i="4" s="1"/>
  <c r="AG369" i="4"/>
  <c r="AI369" i="4" s="1"/>
  <c r="AG368" i="4"/>
  <c r="AG367" i="4"/>
  <c r="AI367" i="4" s="1"/>
  <c r="AG366" i="4"/>
  <c r="AI366" i="4" s="1"/>
  <c r="AG365" i="4"/>
  <c r="AG364" i="4"/>
  <c r="AG363" i="4"/>
  <c r="AI363" i="4" s="1"/>
  <c r="AG362" i="4"/>
  <c r="AI362" i="4" s="1"/>
  <c r="AG361" i="4"/>
  <c r="AI361" i="4" s="1"/>
  <c r="AG360" i="4"/>
  <c r="AG359" i="4"/>
  <c r="AI359" i="4" s="1"/>
  <c r="AG358" i="4"/>
  <c r="AG357" i="4"/>
  <c r="AG356" i="4"/>
  <c r="AI356" i="4" s="1"/>
  <c r="AG355" i="4"/>
  <c r="AI355" i="4" s="1"/>
  <c r="AG354" i="4"/>
  <c r="AI354" i="4" s="1"/>
  <c r="AG353" i="4"/>
  <c r="AI353" i="4" s="1"/>
  <c r="AG352" i="4"/>
  <c r="AG351" i="4"/>
  <c r="AG350" i="4"/>
  <c r="AG349" i="4"/>
  <c r="AG348" i="4"/>
  <c r="AG347" i="4"/>
  <c r="AI347" i="4" s="1"/>
  <c r="AG346" i="4"/>
  <c r="AI346" i="4" s="1"/>
  <c r="AG345" i="4"/>
  <c r="AI345" i="4" s="1"/>
  <c r="AG344" i="4"/>
  <c r="AG343" i="4"/>
  <c r="AG342" i="4"/>
  <c r="AI342" i="4" s="1"/>
  <c r="AG341" i="4"/>
  <c r="AG340" i="4"/>
  <c r="AI340" i="4" s="1"/>
  <c r="AG339" i="4"/>
  <c r="AI339" i="4" s="1"/>
  <c r="AG338" i="4"/>
  <c r="AI338" i="4" s="1"/>
  <c r="AG337" i="4"/>
  <c r="AI337" i="4" s="1"/>
  <c r="AG336" i="4"/>
  <c r="AG335" i="4"/>
  <c r="AG334" i="4"/>
  <c r="AG333" i="4"/>
  <c r="AG332" i="4"/>
  <c r="AG331" i="4"/>
  <c r="AI331" i="4" s="1"/>
  <c r="AG330" i="4"/>
  <c r="AI330" i="4" s="1"/>
  <c r="AG329" i="4"/>
  <c r="AI329" i="4" s="1"/>
  <c r="AG328" i="4"/>
  <c r="AG327" i="4"/>
  <c r="AI327" i="4" s="1"/>
  <c r="AG326" i="4"/>
  <c r="AG325" i="4"/>
  <c r="AG324" i="4"/>
  <c r="AI324" i="4" s="1"/>
  <c r="AG323" i="4"/>
  <c r="AI323" i="4" s="1"/>
  <c r="AG322" i="4"/>
  <c r="AI322" i="4" s="1"/>
  <c r="AG321" i="4"/>
  <c r="AI321" i="4" s="1"/>
  <c r="AG320" i="4"/>
  <c r="AG319" i="4"/>
  <c r="AG318" i="4"/>
  <c r="AG317" i="4"/>
  <c r="AG316" i="4"/>
  <c r="AG315" i="4"/>
  <c r="AI315" i="4" s="1"/>
  <c r="AG314" i="4"/>
  <c r="AI314" i="4" s="1"/>
  <c r="AG313" i="4"/>
  <c r="AI313" i="4" s="1"/>
  <c r="AG312" i="4"/>
  <c r="AG311" i="4"/>
  <c r="AI311" i="4" s="1"/>
  <c r="AG310" i="4"/>
  <c r="AG309" i="4"/>
  <c r="AG308" i="4"/>
  <c r="AI308" i="4" s="1"/>
  <c r="AG307" i="4"/>
  <c r="AI307" i="4" s="1"/>
  <c r="AG306" i="4"/>
  <c r="AI306" i="4" s="1"/>
  <c r="AG305" i="4"/>
  <c r="AI305" i="4" s="1"/>
  <c r="AG304" i="4"/>
  <c r="AG303" i="4"/>
  <c r="AI303" i="4" s="1"/>
  <c r="AG302" i="4"/>
  <c r="AI302" i="4" s="1"/>
  <c r="AG301" i="4"/>
  <c r="AG300" i="4"/>
  <c r="AG299" i="4"/>
  <c r="AI299" i="4" s="1"/>
  <c r="AG298" i="4"/>
  <c r="AI298" i="4" s="1"/>
  <c r="AG297" i="4"/>
  <c r="AI297" i="4" s="1"/>
  <c r="AG296" i="4"/>
  <c r="AG295" i="4"/>
  <c r="AI295" i="4" s="1"/>
  <c r="AG294" i="4"/>
  <c r="AG293" i="4"/>
  <c r="AG292" i="4"/>
  <c r="AI292" i="4" s="1"/>
  <c r="AG291" i="4"/>
  <c r="AI291" i="4" s="1"/>
  <c r="AG290" i="4"/>
  <c r="AI290" i="4" s="1"/>
  <c r="AG289" i="4"/>
  <c r="AI289" i="4" s="1"/>
  <c r="AG288" i="4"/>
  <c r="AG287" i="4"/>
  <c r="AG286" i="4"/>
  <c r="AG285" i="4"/>
  <c r="AG284" i="4"/>
  <c r="AG283" i="4"/>
  <c r="AI283" i="4" s="1"/>
  <c r="AG282" i="4"/>
  <c r="AI282" i="4" s="1"/>
  <c r="AG281" i="4"/>
  <c r="AI281" i="4" s="1"/>
  <c r="AG280" i="4"/>
  <c r="AG279" i="4"/>
  <c r="AI279" i="4" s="1"/>
  <c r="AG278" i="4"/>
  <c r="AI278" i="4" s="1"/>
  <c r="AG277" i="4"/>
  <c r="AG276" i="4"/>
  <c r="AI276" i="4" s="1"/>
  <c r="AG275" i="4"/>
  <c r="AI275" i="4" s="1"/>
  <c r="AG274" i="4"/>
  <c r="AI274" i="4" s="1"/>
  <c r="AG273" i="4"/>
  <c r="AI273" i="4" s="1"/>
  <c r="AG272" i="4"/>
  <c r="AG271" i="4"/>
  <c r="AG270" i="4"/>
  <c r="AG269" i="4"/>
  <c r="AG268" i="4"/>
  <c r="AG267" i="4"/>
  <c r="AI267" i="4" s="1"/>
  <c r="AG266" i="4"/>
  <c r="AI266" i="4" s="1"/>
  <c r="AG265" i="4"/>
  <c r="AI265" i="4" s="1"/>
  <c r="AG264" i="4"/>
  <c r="AG263" i="4"/>
  <c r="AI263" i="4" s="1"/>
  <c r="AG262" i="4"/>
  <c r="AG261" i="4"/>
  <c r="AG260" i="4"/>
  <c r="AI260" i="4" s="1"/>
  <c r="AG259" i="4"/>
  <c r="AI259" i="4" s="1"/>
  <c r="AG258" i="4"/>
  <c r="AI258" i="4" s="1"/>
  <c r="AG257" i="4"/>
  <c r="AI257" i="4" s="1"/>
  <c r="AG256" i="4"/>
  <c r="AG255" i="4"/>
  <c r="AG254" i="4"/>
  <c r="AG253" i="4"/>
  <c r="AG252" i="4"/>
  <c r="AG251" i="4"/>
  <c r="AI251" i="4" s="1"/>
  <c r="AG250" i="4"/>
  <c r="AI250" i="4" s="1"/>
  <c r="AG249" i="4"/>
  <c r="AI249" i="4" s="1"/>
  <c r="AG248" i="4"/>
  <c r="AG247" i="4"/>
  <c r="AI247" i="4" s="1"/>
  <c r="AG246" i="4"/>
  <c r="AG245" i="4"/>
  <c r="AG244" i="4"/>
  <c r="AI244" i="4" s="1"/>
  <c r="AG243" i="4"/>
  <c r="AI243" i="4" s="1"/>
  <c r="AG242" i="4"/>
  <c r="AI242" i="4" s="1"/>
  <c r="AG241" i="4"/>
  <c r="AI241" i="4" s="1"/>
  <c r="AG240" i="4"/>
  <c r="AG239" i="4"/>
  <c r="AI239" i="4" s="1"/>
  <c r="AG238" i="4"/>
  <c r="AI238" i="4" s="1"/>
  <c r="AG237" i="4"/>
  <c r="AG236" i="4"/>
  <c r="AG235" i="4"/>
  <c r="AI235" i="4" s="1"/>
  <c r="AG234" i="4"/>
  <c r="AI234" i="4" s="1"/>
  <c r="AG233" i="4"/>
  <c r="AI233" i="4" s="1"/>
  <c r="AG232" i="4"/>
  <c r="AI232" i="4" s="1"/>
  <c r="AG231" i="4"/>
  <c r="AI231" i="4" s="1"/>
  <c r="AG230" i="4"/>
  <c r="AG229" i="4"/>
  <c r="AG228" i="4"/>
  <c r="AG227" i="4"/>
  <c r="AI227" i="4" s="1"/>
  <c r="AG226" i="4"/>
  <c r="AI226" i="4" s="1"/>
  <c r="AG225" i="4"/>
  <c r="AI225" i="4" s="1"/>
  <c r="AG224" i="4"/>
  <c r="AI224" i="4" s="1"/>
  <c r="AG223" i="4"/>
  <c r="AG222" i="4"/>
  <c r="AG221" i="4"/>
  <c r="AG220" i="4"/>
  <c r="AG219" i="4"/>
  <c r="AI219" i="4" s="1"/>
  <c r="AG218" i="4"/>
  <c r="AI218" i="4" s="1"/>
  <c r="AG217" i="4"/>
  <c r="AI217" i="4" s="1"/>
  <c r="AG216" i="4"/>
  <c r="AI216" i="4" s="1"/>
  <c r="AG215" i="4"/>
  <c r="AI215" i="4" s="1"/>
  <c r="AG214" i="4"/>
  <c r="AI214" i="4" s="1"/>
  <c r="AG213" i="4"/>
  <c r="AG212" i="4"/>
  <c r="AG211" i="4"/>
  <c r="AI211" i="4" s="1"/>
  <c r="AG210" i="4"/>
  <c r="AI210" i="4" s="1"/>
  <c r="AG209" i="4"/>
  <c r="AI209" i="4" s="1"/>
  <c r="AG208" i="4"/>
  <c r="AI208" i="4" s="1"/>
  <c r="AG207" i="4"/>
  <c r="AG206" i="4"/>
  <c r="AG205" i="4"/>
  <c r="AG204" i="4"/>
  <c r="AG203" i="4"/>
  <c r="AI203" i="4" s="1"/>
  <c r="AG202" i="4"/>
  <c r="AI202" i="4" s="1"/>
  <c r="AG201" i="4"/>
  <c r="AI201" i="4" s="1"/>
  <c r="AG200" i="4"/>
  <c r="AI200" i="4" s="1"/>
  <c r="AG199" i="4"/>
  <c r="AI199" i="4" s="1"/>
  <c r="AG198" i="4"/>
  <c r="AG197" i="4"/>
  <c r="AG196" i="4"/>
  <c r="AI196" i="4" s="1"/>
  <c r="AG195" i="4"/>
  <c r="AI195" i="4" s="1"/>
  <c r="AG194" i="4"/>
  <c r="AI194" i="4" s="1"/>
  <c r="AG193" i="4"/>
  <c r="AI193" i="4" s="1"/>
  <c r="AG192" i="4"/>
  <c r="AG191" i="4"/>
  <c r="AG190" i="4"/>
  <c r="AG189" i="4"/>
  <c r="AG188" i="4"/>
  <c r="AG187" i="4"/>
  <c r="AI187" i="4" s="1"/>
  <c r="AG186" i="4"/>
  <c r="AI186" i="4" s="1"/>
  <c r="AG185" i="4"/>
  <c r="AI185" i="4" s="1"/>
  <c r="AG184" i="4"/>
  <c r="AI184" i="4" s="1"/>
  <c r="AG183" i="4"/>
  <c r="AI183" i="4" s="1"/>
  <c r="AG182" i="4"/>
  <c r="AG181" i="4"/>
  <c r="AG180" i="4"/>
  <c r="AG179" i="4"/>
  <c r="AI179" i="4" s="1"/>
  <c r="AG178" i="4"/>
  <c r="AI178" i="4" s="1"/>
  <c r="AG177" i="4"/>
  <c r="AI177" i="4" s="1"/>
  <c r="AG176" i="4"/>
  <c r="AI176" i="4" s="1"/>
  <c r="AG175" i="4"/>
  <c r="AI175" i="4" s="1"/>
  <c r="AG174" i="4"/>
  <c r="AI174" i="4" s="1"/>
  <c r="AG173" i="4"/>
  <c r="AG172" i="4"/>
  <c r="AG171" i="4"/>
  <c r="AI171" i="4" s="1"/>
  <c r="AG170" i="4"/>
  <c r="AI170" i="4" s="1"/>
  <c r="AG169" i="4"/>
  <c r="AI169" i="4" s="1"/>
  <c r="AG168" i="4"/>
  <c r="AI168" i="4" s="1"/>
  <c r="AG167" i="4"/>
  <c r="AI167" i="4" s="1"/>
  <c r="AG166" i="4"/>
  <c r="AG165" i="4"/>
  <c r="AG164" i="4"/>
  <c r="AI164" i="4" s="1"/>
  <c r="AG163" i="4"/>
  <c r="AI163" i="4" s="1"/>
  <c r="AG162" i="4"/>
  <c r="AI162" i="4" s="1"/>
  <c r="AG161" i="4"/>
  <c r="AI161" i="4" s="1"/>
  <c r="AG160" i="4"/>
  <c r="AI160" i="4" s="1"/>
  <c r="AG159" i="4"/>
  <c r="AG158" i="4"/>
  <c r="AG157" i="4"/>
  <c r="AG156" i="4"/>
  <c r="AG155" i="4"/>
  <c r="AI155" i="4" s="1"/>
  <c r="AG154" i="4"/>
  <c r="AI154" i="4" s="1"/>
  <c r="AG153" i="4"/>
  <c r="AI153" i="4" s="1"/>
  <c r="AG152" i="4"/>
  <c r="AI152" i="4" s="1"/>
  <c r="AG151" i="4"/>
  <c r="AI151" i="4" s="1"/>
  <c r="AG150" i="4"/>
  <c r="AI150" i="4" s="1"/>
  <c r="AG149" i="4"/>
  <c r="AG148" i="4"/>
  <c r="AI148" i="4" s="1"/>
  <c r="AG147" i="4"/>
  <c r="AI147" i="4" s="1"/>
  <c r="AG146" i="4"/>
  <c r="AI146" i="4" s="1"/>
  <c r="AG145" i="4"/>
  <c r="AI145" i="4" s="1"/>
  <c r="AG144" i="4"/>
  <c r="AI144" i="4" s="1"/>
  <c r="AG143" i="4"/>
  <c r="AG142" i="4"/>
  <c r="AG141" i="4"/>
  <c r="AG140" i="4"/>
  <c r="AG139" i="4"/>
  <c r="AI139" i="4" s="1"/>
  <c r="AG138" i="4"/>
  <c r="AI138" i="4" s="1"/>
  <c r="AG137" i="4"/>
  <c r="AI137" i="4" s="1"/>
  <c r="AG136" i="4"/>
  <c r="AI136" i="4" s="1"/>
  <c r="AG135" i="4"/>
  <c r="AI135" i="4" s="1"/>
  <c r="AG134" i="4"/>
  <c r="AG133" i="4"/>
  <c r="AG132" i="4"/>
  <c r="AI132" i="4" s="1"/>
  <c r="AG131" i="4"/>
  <c r="AI131" i="4" s="1"/>
  <c r="AG130" i="4"/>
  <c r="AI130" i="4" s="1"/>
  <c r="AG129" i="4"/>
  <c r="AI129" i="4" s="1"/>
  <c r="AG128" i="4"/>
  <c r="AG127" i="4"/>
  <c r="AG126" i="4"/>
  <c r="AG125" i="4"/>
  <c r="AG124" i="4"/>
  <c r="AG123" i="4"/>
  <c r="AI123" i="4" s="1"/>
  <c r="AG122" i="4"/>
  <c r="AI122" i="4" s="1"/>
  <c r="AG121" i="4"/>
  <c r="AI121" i="4" s="1"/>
  <c r="AG120" i="4"/>
  <c r="AI120" i="4" s="1"/>
  <c r="AG119" i="4"/>
  <c r="AI119" i="4" s="1"/>
  <c r="AG118" i="4"/>
  <c r="AG117" i="4"/>
  <c r="AG116" i="4"/>
  <c r="AI116" i="4" s="1"/>
  <c r="AG115" i="4"/>
  <c r="AI115" i="4" s="1"/>
  <c r="AG114" i="4"/>
  <c r="AI114" i="4" s="1"/>
  <c r="AG113" i="4"/>
  <c r="AI113" i="4" s="1"/>
  <c r="AG112" i="4"/>
  <c r="AI112" i="4" s="1"/>
  <c r="AG111" i="4"/>
  <c r="AI111" i="4" s="1"/>
  <c r="AG110" i="4"/>
  <c r="AI110" i="4" s="1"/>
  <c r="AG109" i="4"/>
  <c r="AG108" i="4"/>
  <c r="AG107" i="4"/>
  <c r="AI107" i="4" s="1"/>
  <c r="AG106" i="4"/>
  <c r="AI106" i="4" s="1"/>
  <c r="AG105" i="4"/>
  <c r="AI105" i="4" s="1"/>
  <c r="AG104" i="4"/>
  <c r="AI104" i="4" s="1"/>
  <c r="AG103" i="4"/>
  <c r="AI103" i="4" s="1"/>
  <c r="AG102" i="4"/>
  <c r="AG101" i="4"/>
  <c r="AG100" i="4"/>
  <c r="AI100" i="4" s="1"/>
  <c r="AG99" i="4"/>
  <c r="AI99" i="4" s="1"/>
  <c r="AG98" i="4"/>
  <c r="AI98" i="4" s="1"/>
  <c r="AG97" i="4"/>
  <c r="AI97" i="4" s="1"/>
  <c r="AG96" i="4"/>
  <c r="AI96" i="4" s="1"/>
  <c r="AG95" i="4"/>
  <c r="AG94" i="4"/>
  <c r="AG93" i="4"/>
  <c r="AG92" i="4"/>
  <c r="AG91" i="4"/>
  <c r="AI91" i="4" s="1"/>
  <c r="AG90" i="4"/>
  <c r="AI90" i="4" s="1"/>
  <c r="AG89" i="4"/>
  <c r="AI89" i="4" s="1"/>
  <c r="AG88" i="4"/>
  <c r="AI88" i="4" s="1"/>
  <c r="AG87" i="4"/>
  <c r="AI87" i="4" s="1"/>
  <c r="AG86" i="4"/>
  <c r="AI86" i="4" s="1"/>
  <c r="AG85" i="4"/>
  <c r="AG84" i="4"/>
  <c r="AI84" i="4" s="1"/>
  <c r="AG83" i="4"/>
  <c r="AI83" i="4" s="1"/>
  <c r="AG82" i="4"/>
  <c r="AI82" i="4" s="1"/>
  <c r="AG81" i="4"/>
  <c r="AI81" i="4" s="1"/>
  <c r="AG80" i="4"/>
  <c r="AI80" i="4" s="1"/>
  <c r="AG79" i="4"/>
  <c r="AG78" i="4"/>
  <c r="AG77" i="4"/>
  <c r="AG76" i="4"/>
  <c r="AG75" i="4"/>
  <c r="AI75" i="4" s="1"/>
  <c r="AG74" i="4"/>
  <c r="AI74" i="4" s="1"/>
  <c r="AG73" i="4"/>
  <c r="AI73" i="4" s="1"/>
  <c r="AG72" i="4"/>
  <c r="AI72" i="4" s="1"/>
  <c r="AG71" i="4"/>
  <c r="AI71" i="4" s="1"/>
  <c r="AG70" i="4"/>
  <c r="AG69" i="4"/>
  <c r="AG68" i="4"/>
  <c r="AI68" i="4" s="1"/>
  <c r="AG67" i="4"/>
  <c r="AI67" i="4" s="1"/>
  <c r="AG66" i="4"/>
  <c r="AI66" i="4" s="1"/>
  <c r="AG65" i="4"/>
  <c r="AI65" i="4" s="1"/>
  <c r="AG64" i="4"/>
  <c r="AG63" i="4"/>
  <c r="AG62" i="4"/>
  <c r="AI62" i="4" s="1"/>
  <c r="AG61" i="4"/>
  <c r="AG60" i="4"/>
  <c r="AG59" i="4"/>
  <c r="AI59" i="4" s="1"/>
  <c r="AG58" i="4"/>
  <c r="AI58" i="4" s="1"/>
  <c r="AG57" i="4"/>
  <c r="AI57" i="4" s="1"/>
  <c r="AG56" i="4"/>
  <c r="AI56" i="4" s="1"/>
  <c r="AG55" i="4"/>
  <c r="AI55" i="4" s="1"/>
  <c r="AG54" i="4"/>
  <c r="AG53" i="4"/>
  <c r="AG52" i="4"/>
  <c r="AI52" i="4" s="1"/>
  <c r="AG51" i="4"/>
  <c r="AI51" i="4" s="1"/>
  <c r="AG50" i="4"/>
  <c r="AI50" i="4" s="1"/>
  <c r="AG49" i="4"/>
  <c r="AI49" i="4" s="1"/>
  <c r="AG48" i="4"/>
  <c r="AI48" i="4" s="1"/>
  <c r="AG47" i="4"/>
  <c r="AI47" i="4" s="1"/>
  <c r="AG46" i="4"/>
  <c r="AI46" i="4" s="1"/>
  <c r="AG45" i="4"/>
  <c r="AG44" i="4"/>
  <c r="AG43" i="4"/>
  <c r="AI43" i="4" s="1"/>
  <c r="AG42" i="4"/>
  <c r="AI42" i="4" s="1"/>
  <c r="AG41" i="4"/>
  <c r="AI41" i="4" s="1"/>
  <c r="AG40" i="4"/>
  <c r="AI40" i="4" s="1"/>
  <c r="AG39" i="4"/>
  <c r="AI39" i="4" s="1"/>
  <c r="AG38" i="4"/>
  <c r="AG37" i="4"/>
  <c r="AG36" i="4"/>
  <c r="AI36" i="4" s="1"/>
  <c r="AG35" i="4"/>
  <c r="AI35" i="4" s="1"/>
  <c r="AG34" i="4"/>
  <c r="AI34" i="4" s="1"/>
  <c r="AG33" i="4"/>
  <c r="AI33" i="4" s="1"/>
  <c r="AG32" i="4"/>
  <c r="AI32" i="4" s="1"/>
  <c r="AG31" i="4"/>
  <c r="AG30" i="4"/>
  <c r="AG29" i="4"/>
  <c r="AG28" i="4"/>
  <c r="AG27" i="4"/>
  <c r="AI27" i="4" s="1"/>
  <c r="AG26" i="4"/>
  <c r="AI26" i="4" s="1"/>
  <c r="AG25" i="4"/>
  <c r="AI25" i="4" s="1"/>
  <c r="AG24" i="4"/>
  <c r="AI24" i="4" s="1"/>
  <c r="AG23" i="4"/>
  <c r="AI23" i="4" s="1"/>
  <c r="AG22" i="4"/>
  <c r="AG21" i="4"/>
  <c r="AG20" i="4"/>
  <c r="AI20" i="4" s="1"/>
  <c r="AG19" i="4"/>
  <c r="AI19" i="4" s="1"/>
  <c r="AG18" i="4"/>
  <c r="AI18" i="4" s="1"/>
  <c r="AG17" i="4"/>
  <c r="AG16" i="4"/>
  <c r="AI16" i="4" s="1"/>
  <c r="AG15" i="4"/>
  <c r="AG14" i="4"/>
  <c r="AI14" i="4" s="1"/>
  <c r="AG13" i="4"/>
  <c r="AG12" i="4"/>
  <c r="AI493" i="4"/>
  <c r="AI492" i="4"/>
  <c r="AI491" i="4"/>
  <c r="AI490" i="4"/>
  <c r="AI486" i="4"/>
  <c r="AI483" i="4"/>
  <c r="AI480" i="4"/>
  <c r="AI476" i="4"/>
  <c r="AI472" i="4"/>
  <c r="AI471" i="4"/>
  <c r="AI470" i="4"/>
  <c r="AI461" i="4"/>
  <c r="AI460" i="4"/>
  <c r="AI456" i="4"/>
  <c r="AI453" i="4"/>
  <c r="AI443" i="4"/>
  <c r="AI442" i="4"/>
  <c r="AI441" i="4"/>
  <c r="AI440" i="4"/>
  <c r="AI436" i="4"/>
  <c r="AI422" i="4"/>
  <c r="AI421" i="4"/>
  <c r="AI413" i="4"/>
  <c r="AI412" i="4"/>
  <c r="AI411" i="4"/>
  <c r="AI406" i="4"/>
  <c r="AI403" i="4"/>
  <c r="AI400" i="4"/>
  <c r="AI396" i="4"/>
  <c r="AI392" i="4"/>
  <c r="AI381" i="4"/>
  <c r="AI380" i="4"/>
  <c r="AI376" i="4"/>
  <c r="AI373" i="4"/>
  <c r="AI368" i="4"/>
  <c r="AI365" i="4"/>
  <c r="AI364" i="4"/>
  <c r="AI360" i="4"/>
  <c r="AI358" i="4"/>
  <c r="AI357" i="4"/>
  <c r="AI352" i="4"/>
  <c r="AI351" i="4"/>
  <c r="AI350" i="4"/>
  <c r="AI349" i="4"/>
  <c r="AI348" i="4"/>
  <c r="AI344" i="4"/>
  <c r="AI343" i="4"/>
  <c r="AI341" i="4"/>
  <c r="AI336" i="4"/>
  <c r="AI335" i="4"/>
  <c r="AI334" i="4"/>
  <c r="AI333" i="4"/>
  <c r="AI332" i="4"/>
  <c r="AI328" i="4"/>
  <c r="AI326" i="4"/>
  <c r="AI325" i="4"/>
  <c r="AI320" i="4"/>
  <c r="AI319" i="4"/>
  <c r="AI318" i="4"/>
  <c r="AI317" i="4"/>
  <c r="AI316" i="4"/>
  <c r="AI312" i="4"/>
  <c r="AI310" i="4"/>
  <c r="AI309" i="4"/>
  <c r="AI304" i="4"/>
  <c r="AI301" i="4"/>
  <c r="AI300" i="4"/>
  <c r="AI296" i="4"/>
  <c r="AI294" i="4"/>
  <c r="AI293" i="4"/>
  <c r="AI288" i="4"/>
  <c r="AI287" i="4"/>
  <c r="AI286" i="4"/>
  <c r="AI285" i="4"/>
  <c r="AI284" i="4"/>
  <c r="AI280" i="4"/>
  <c r="AI277" i="4"/>
  <c r="AI272" i="4"/>
  <c r="AI271" i="4"/>
  <c r="AI270" i="4"/>
  <c r="AI269" i="4"/>
  <c r="AI268" i="4"/>
  <c r="AI264" i="4"/>
  <c r="AI262" i="4"/>
  <c r="AI261" i="4"/>
  <c r="AI256" i="4"/>
  <c r="AI255" i="4"/>
  <c r="AI254" i="4"/>
  <c r="AI253" i="4"/>
  <c r="AI252" i="4"/>
  <c r="AI248" i="4"/>
  <c r="AI246" i="4"/>
  <c r="AI245" i="4"/>
  <c r="AI240" i="4"/>
  <c r="AI237" i="4"/>
  <c r="AI236" i="4"/>
  <c r="AI230" i="4"/>
  <c r="AI229" i="4"/>
  <c r="AI228" i="4"/>
  <c r="AI223" i="4"/>
  <c r="AI222" i="4"/>
  <c r="AI221" i="4"/>
  <c r="AI220" i="4"/>
  <c r="AI213" i="4"/>
  <c r="AI212" i="4"/>
  <c r="AI207" i="4"/>
  <c r="AI206" i="4"/>
  <c r="AI205" i="4"/>
  <c r="AI204" i="4"/>
  <c r="AI198" i="4"/>
  <c r="AI197" i="4"/>
  <c r="AI192" i="4"/>
  <c r="AI191" i="4"/>
  <c r="AI190" i="4"/>
  <c r="AI189" i="4"/>
  <c r="AI188" i="4"/>
  <c r="AI182" i="4"/>
  <c r="AI181" i="4"/>
  <c r="AI180" i="4"/>
  <c r="AI173" i="4"/>
  <c r="AI172" i="4"/>
  <c r="AI166" i="4"/>
  <c r="AI165" i="4"/>
  <c r="AI159" i="4"/>
  <c r="AI158" i="4"/>
  <c r="AI157" i="4"/>
  <c r="AI156" i="4"/>
  <c r="AI149" i="4"/>
  <c r="AI143" i="4"/>
  <c r="AI142" i="4"/>
  <c r="AI141" i="4"/>
  <c r="AI140" i="4"/>
  <c r="AI134" i="4"/>
  <c r="AI133" i="4"/>
  <c r="AI128" i="4"/>
  <c r="AI127" i="4"/>
  <c r="AI126" i="4"/>
  <c r="AI125" i="4"/>
  <c r="AI124" i="4"/>
  <c r="AI118" i="4"/>
  <c r="AI117" i="4"/>
  <c r="AI109" i="4"/>
  <c r="AI108" i="4"/>
  <c r="AI102" i="4"/>
  <c r="AI101" i="4"/>
  <c r="AI95" i="4"/>
  <c r="AI94" i="4"/>
  <c r="AI93" i="4"/>
  <c r="AI92" i="4"/>
  <c r="AI85" i="4"/>
  <c r="AI79" i="4"/>
  <c r="AI78" i="4"/>
  <c r="AI77" i="4"/>
  <c r="AI76" i="4"/>
  <c r="AI70" i="4"/>
  <c r="AI69" i="4"/>
  <c r="AI64" i="4"/>
  <c r="AI63" i="4"/>
  <c r="AI61" i="4"/>
  <c r="AI60" i="4"/>
  <c r="AI54" i="4"/>
  <c r="AI53" i="4"/>
  <c r="AI45" i="4"/>
  <c r="AI44" i="4"/>
  <c r="AI38" i="4"/>
  <c r="AI37" i="4"/>
  <c r="AI31" i="4"/>
  <c r="AI30" i="4"/>
  <c r="AI29" i="4"/>
  <c r="AI28" i="4"/>
  <c r="AI22" i="4"/>
  <c r="AI21" i="4"/>
  <c r="AI17" i="4"/>
  <c r="AI15" i="4"/>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C118" i="1"/>
  <c r="C117" i="1"/>
  <c r="C116" i="1"/>
  <c r="C115" i="1"/>
  <c r="C114" i="1"/>
  <c r="C113" i="1"/>
  <c r="C112" i="1"/>
  <c r="C111" i="1"/>
  <c r="C110" i="1"/>
  <c r="C109" i="1"/>
  <c r="C108" i="1"/>
  <c r="C107" i="1"/>
  <c r="C106" i="1"/>
  <c r="C105" i="1"/>
  <c r="C104" i="1"/>
  <c r="C103" i="1"/>
  <c r="E14" i="4"/>
  <c r="C16" i="6" s="1"/>
  <c r="B16" i="6" s="1"/>
  <c r="D8" i="4"/>
  <c r="D7" i="4"/>
  <c r="E13" i="4"/>
  <c r="C15" i="6" s="1"/>
  <c r="E19" i="4"/>
  <c r="E18" i="4"/>
  <c r="E17" i="4"/>
  <c r="E12" i="4"/>
  <c r="C14" i="6" s="1"/>
  <c r="C18" i="1"/>
  <c r="C6" i="1" s="1"/>
  <c r="C10" i="1"/>
  <c r="C15" i="1"/>
  <c r="B23" i="1" s="1"/>
  <c r="C16" i="1"/>
  <c r="B50" i="1" s="1"/>
  <c r="L16" i="1"/>
  <c r="L17" i="1" s="1"/>
  <c r="C9" i="1" s="1"/>
  <c r="H17" i="1"/>
  <c r="D33" i="1" s="1"/>
  <c r="E33" i="1" s="1"/>
  <c r="H18" i="1"/>
  <c r="D51" i="1" s="1"/>
  <c r="E51" i="1" s="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V4" i="4"/>
  <c r="C4" i="8"/>
  <c r="C4" i="10"/>
  <c r="L18" i="1"/>
  <c r="B60" i="1"/>
  <c r="D66" i="1" l="1"/>
  <c r="E66" i="1" s="1"/>
  <c r="D22" i="1"/>
  <c r="E22" i="1" s="1"/>
  <c r="AI419" i="4"/>
  <c r="D42" i="1"/>
  <c r="E42" i="1" s="1"/>
  <c r="AI469" i="4"/>
  <c r="G19" i="9"/>
  <c r="H19" i="9" s="1"/>
  <c r="J19" i="9" s="1"/>
  <c r="B89" i="1"/>
  <c r="B83" i="1"/>
  <c r="B30" i="1"/>
  <c r="B74" i="1"/>
  <c r="B31" i="1"/>
  <c r="D44" i="1"/>
  <c r="E44" i="1" s="1"/>
  <c r="D61" i="1"/>
  <c r="E61" i="1" s="1"/>
  <c r="D101" i="1"/>
  <c r="E101" i="1" s="1"/>
  <c r="D35" i="1"/>
  <c r="E35" i="1" s="1"/>
  <c r="D32" i="1"/>
  <c r="E32" i="1" s="1"/>
  <c r="D62" i="1"/>
  <c r="E62" i="1" s="1"/>
  <c r="B53" i="1"/>
  <c r="D30" i="1"/>
  <c r="E30" i="1" s="1"/>
  <c r="D67" i="1"/>
  <c r="E67" i="1" s="1"/>
  <c r="AI409" i="4"/>
  <c r="AI449" i="4"/>
  <c r="AI489" i="4"/>
  <c r="B96" i="1"/>
  <c r="B42" i="1"/>
  <c r="B68" i="1"/>
  <c r="B37" i="1"/>
  <c r="B36" i="1"/>
  <c r="B28" i="1"/>
  <c r="J68" i="9"/>
  <c r="B56" i="1"/>
  <c r="B45" i="1"/>
  <c r="J96" i="9"/>
  <c r="G33" i="9"/>
  <c r="H33" i="9" s="1"/>
  <c r="J33" i="9" s="1"/>
  <c r="G52" i="9"/>
  <c r="H52" i="9" s="1"/>
  <c r="J52" i="9" s="1"/>
  <c r="D26" i="1"/>
  <c r="E26" i="1" s="1"/>
  <c r="B80" i="1"/>
  <c r="D48" i="1"/>
  <c r="E48" i="1" s="1"/>
  <c r="B32" i="1"/>
  <c r="D63" i="1"/>
  <c r="E63" i="1" s="1"/>
  <c r="D99" i="1"/>
  <c r="E99" i="1" s="1"/>
  <c r="B84" i="1"/>
  <c r="D45" i="1"/>
  <c r="E45" i="1" s="1"/>
  <c r="B34" i="1"/>
  <c r="D71" i="1"/>
  <c r="E71" i="1" s="1"/>
  <c r="B24" i="1"/>
  <c r="G17" i="9"/>
  <c r="H17" i="9" s="1"/>
  <c r="J17" i="9" s="1"/>
  <c r="B72" i="1"/>
  <c r="G25" i="9"/>
  <c r="H25" i="9" s="1"/>
  <c r="J25" i="9" s="1"/>
  <c r="G27" i="9"/>
  <c r="H27" i="9" s="1"/>
  <c r="J27" i="9" s="1"/>
  <c r="AI399" i="4"/>
  <c r="AI439" i="4"/>
  <c r="AI479" i="4"/>
  <c r="G108" i="9"/>
  <c r="H108" i="9" s="1"/>
  <c r="J108" i="9" s="1"/>
  <c r="G92" i="9"/>
  <c r="H92" i="9" s="1"/>
  <c r="J92" i="9" s="1"/>
  <c r="G76" i="9"/>
  <c r="H76" i="9" s="1"/>
  <c r="J76" i="9" s="1"/>
  <c r="G60" i="9"/>
  <c r="H60" i="9" s="1"/>
  <c r="J60" i="9" s="1"/>
  <c r="G44" i="9"/>
  <c r="H44" i="9" s="1"/>
  <c r="J44" i="9" s="1"/>
  <c r="G26" i="9"/>
  <c r="H26" i="9" s="1"/>
  <c r="J26" i="9" s="1"/>
  <c r="U107" i="4"/>
  <c r="B102" i="1"/>
  <c r="B69" i="1"/>
  <c r="B27" i="1"/>
  <c r="B29" i="1"/>
  <c r="B47" i="1"/>
  <c r="B55" i="1"/>
  <c r="B49" i="1"/>
  <c r="B75" i="1"/>
  <c r="B92" i="1"/>
  <c r="B100" i="1"/>
  <c r="B62" i="1"/>
  <c r="B95" i="1"/>
  <c r="B41" i="1"/>
  <c r="B46" i="1"/>
  <c r="B39" i="1"/>
  <c r="B79" i="1"/>
  <c r="B59" i="1"/>
  <c r="B58" i="1"/>
  <c r="B26" i="1"/>
  <c r="B66" i="1"/>
  <c r="G21" i="9"/>
  <c r="H21" i="9" s="1"/>
  <c r="J21" i="9" s="1"/>
  <c r="G29" i="9"/>
  <c r="H29" i="9" s="1"/>
  <c r="J29" i="9" s="1"/>
  <c r="G43" i="9"/>
  <c r="H43" i="9" s="1"/>
  <c r="J43" i="9" s="1"/>
  <c r="G23" i="9"/>
  <c r="H23" i="9" s="1"/>
  <c r="J23" i="9" s="1"/>
  <c r="G31" i="9"/>
  <c r="H31" i="9" s="1"/>
  <c r="J31" i="9" s="1"/>
  <c r="G101" i="9"/>
  <c r="H101" i="9" s="1"/>
  <c r="J101" i="9" s="1"/>
  <c r="G85" i="9"/>
  <c r="H85" i="9" s="1"/>
  <c r="J85" i="9" s="1"/>
  <c r="G77" i="9"/>
  <c r="H77" i="9" s="1"/>
  <c r="G69" i="9"/>
  <c r="H69" i="9" s="1"/>
  <c r="G61" i="9"/>
  <c r="H61" i="9" s="1"/>
  <c r="J61" i="9" s="1"/>
  <c r="C7" i="1"/>
  <c r="G53" i="9"/>
  <c r="H53" i="9" s="1"/>
  <c r="J53" i="9" s="1"/>
  <c r="D68" i="1"/>
  <c r="E68" i="1" s="1"/>
  <c r="D54" i="1"/>
  <c r="E54" i="1" s="1"/>
  <c r="D34" i="1"/>
  <c r="E34" i="1" s="1"/>
  <c r="D37" i="1"/>
  <c r="E37" i="1" s="1"/>
  <c r="B85" i="1"/>
  <c r="G91" i="9"/>
  <c r="H91" i="9" s="1"/>
  <c r="J91" i="9" s="1"/>
  <c r="G75" i="9"/>
  <c r="H75" i="9" s="1"/>
  <c r="G59" i="9"/>
  <c r="H59" i="9" s="1"/>
  <c r="J59" i="9" s="1"/>
  <c r="D52" i="1"/>
  <c r="E52" i="1" s="1"/>
  <c r="D43" i="1"/>
  <c r="E43" i="1" s="1"/>
  <c r="D70" i="1"/>
  <c r="E70" i="1" s="1"/>
  <c r="D25" i="1"/>
  <c r="E25" i="1" s="1"/>
  <c r="D53" i="1"/>
  <c r="E53" i="1" s="1"/>
  <c r="D60" i="1"/>
  <c r="E60" i="1" s="1"/>
  <c r="D24" i="1"/>
  <c r="E24" i="1" s="1"/>
  <c r="O107" i="10"/>
  <c r="O105" i="10"/>
  <c r="O103" i="10"/>
  <c r="O101" i="10"/>
  <c r="O99" i="10"/>
  <c r="O97" i="10"/>
  <c r="O95" i="10"/>
  <c r="O93" i="10"/>
  <c r="O91" i="10"/>
  <c r="O89" i="10"/>
  <c r="O87" i="10"/>
  <c r="O85" i="10"/>
  <c r="O83" i="10"/>
  <c r="O81" i="10"/>
  <c r="O79" i="10"/>
  <c r="O77" i="10"/>
  <c r="O75" i="10"/>
  <c r="O73" i="10"/>
  <c r="O71" i="10"/>
  <c r="O69" i="10"/>
  <c r="O67" i="10"/>
  <c r="O65" i="10"/>
  <c r="O63" i="10"/>
  <c r="O61" i="10"/>
  <c r="O59" i="10"/>
  <c r="O57" i="10"/>
  <c r="O55" i="10"/>
  <c r="O53" i="10"/>
  <c r="O51" i="10"/>
  <c r="O49" i="10"/>
  <c r="O47" i="10"/>
  <c r="O45" i="10"/>
  <c r="O43" i="10"/>
  <c r="O41" i="10"/>
  <c r="O39" i="10"/>
  <c r="O37" i="10"/>
  <c r="O35" i="10"/>
  <c r="O33" i="10"/>
  <c r="O31" i="10"/>
  <c r="O29" i="10"/>
  <c r="O27" i="10"/>
  <c r="O25" i="10"/>
  <c r="O23" i="10"/>
  <c r="O21" i="10"/>
  <c r="O19" i="10"/>
  <c r="O17" i="10"/>
  <c r="O15" i="10"/>
  <c r="O13" i="10"/>
  <c r="O108" i="9"/>
  <c r="O106" i="9"/>
  <c r="O104" i="9"/>
  <c r="O102" i="9"/>
  <c r="O100" i="9"/>
  <c r="O98" i="9"/>
  <c r="O96" i="9"/>
  <c r="O94" i="9"/>
  <c r="O92" i="9"/>
  <c r="O90" i="9"/>
  <c r="O88" i="9"/>
  <c r="O86" i="9"/>
  <c r="O84" i="9"/>
  <c r="O82" i="9"/>
  <c r="O80" i="9"/>
  <c r="O78" i="9"/>
  <c r="O76" i="9"/>
  <c r="O74" i="9"/>
  <c r="O72" i="9"/>
  <c r="O70" i="9"/>
  <c r="O68" i="9"/>
  <c r="O66" i="9"/>
  <c r="O64" i="9"/>
  <c r="O62" i="9"/>
  <c r="O60" i="9"/>
  <c r="O58" i="9"/>
  <c r="O56" i="9"/>
  <c r="O54" i="9"/>
  <c r="O52" i="9"/>
  <c r="O50" i="9"/>
  <c r="O48" i="9"/>
  <c r="O46" i="9"/>
  <c r="O44" i="9"/>
  <c r="O42" i="9"/>
  <c r="O40" i="9"/>
  <c r="O38" i="9"/>
  <c r="O36" i="9"/>
  <c r="O34" i="9"/>
  <c r="O32" i="9"/>
  <c r="O30" i="9"/>
  <c r="O28" i="9"/>
  <c r="O26" i="9"/>
  <c r="O24" i="9"/>
  <c r="O22" i="9"/>
  <c r="O20" i="9"/>
  <c r="O18" i="9"/>
  <c r="O16" i="9"/>
  <c r="O13" i="9"/>
  <c r="O12" i="9"/>
  <c r="O107" i="8"/>
  <c r="O105" i="8"/>
  <c r="O103" i="8"/>
  <c r="O101" i="8"/>
  <c r="O99" i="8"/>
  <c r="O97" i="8"/>
  <c r="O95" i="8"/>
  <c r="O93" i="8"/>
  <c r="O91" i="8"/>
  <c r="O89" i="8"/>
  <c r="O87" i="8"/>
  <c r="O85" i="8"/>
  <c r="O83" i="8"/>
  <c r="O81" i="8"/>
  <c r="O79" i="8"/>
  <c r="O77" i="8"/>
  <c r="O75" i="8"/>
  <c r="O73" i="8"/>
  <c r="O71" i="8"/>
  <c r="O69" i="8"/>
  <c r="O67" i="8"/>
  <c r="O65" i="8"/>
  <c r="O63" i="8"/>
  <c r="O61" i="8"/>
  <c r="O59" i="8"/>
  <c r="O57" i="8"/>
  <c r="O55" i="8"/>
  <c r="O53" i="8"/>
  <c r="O51" i="8"/>
  <c r="O49" i="8"/>
  <c r="O47" i="8"/>
  <c r="O45" i="8"/>
  <c r="O43" i="8"/>
  <c r="O41" i="8"/>
  <c r="O39" i="8"/>
  <c r="O37" i="8"/>
  <c r="O35" i="8"/>
  <c r="O33" i="8"/>
  <c r="O31" i="8"/>
  <c r="O29" i="8"/>
  <c r="O27" i="8"/>
  <c r="O25" i="8"/>
  <c r="O23" i="8"/>
  <c r="O21" i="8"/>
  <c r="O19" i="8"/>
  <c r="O17" i="8"/>
  <c r="O15" i="8"/>
  <c r="O13" i="8"/>
  <c r="O108" i="10"/>
  <c r="O106" i="10"/>
  <c r="O104" i="10"/>
  <c r="O102" i="10"/>
  <c r="O100" i="10"/>
  <c r="O98" i="10"/>
  <c r="O96" i="10"/>
  <c r="O94" i="10"/>
  <c r="O92" i="10"/>
  <c r="O90" i="10"/>
  <c r="O88" i="10"/>
  <c r="O86" i="10"/>
  <c r="O84" i="10"/>
  <c r="O82" i="10"/>
  <c r="O80" i="10"/>
  <c r="O78" i="10"/>
  <c r="O76" i="10"/>
  <c r="O74" i="10"/>
  <c r="O72" i="10"/>
  <c r="O70" i="10"/>
  <c r="O68" i="10"/>
  <c r="O66" i="10"/>
  <c r="O64" i="10"/>
  <c r="O62" i="10"/>
  <c r="O60" i="10"/>
  <c r="O58" i="10"/>
  <c r="O56" i="10"/>
  <c r="O54" i="10"/>
  <c r="O52" i="10"/>
  <c r="O50" i="10"/>
  <c r="O48" i="10"/>
  <c r="O46" i="10"/>
  <c r="O44" i="10"/>
  <c r="O42" i="10"/>
  <c r="O40" i="10"/>
  <c r="O38" i="10"/>
  <c r="O36" i="10"/>
  <c r="O34" i="10"/>
  <c r="O32" i="10"/>
  <c r="O30" i="10"/>
  <c r="O28" i="10"/>
  <c r="O26" i="10"/>
  <c r="O24" i="10"/>
  <c r="O22" i="10"/>
  <c r="O20" i="10"/>
  <c r="O18" i="10"/>
  <c r="O16" i="10"/>
  <c r="O14" i="10"/>
  <c r="O12" i="10"/>
  <c r="O107" i="9"/>
  <c r="O105" i="9"/>
  <c r="O103" i="9"/>
  <c r="O101" i="9"/>
  <c r="O99" i="9"/>
  <c r="O97" i="9"/>
  <c r="O95" i="9"/>
  <c r="O93" i="9"/>
  <c r="O91" i="9"/>
  <c r="O89" i="9"/>
  <c r="O87" i="9"/>
  <c r="O85" i="9"/>
  <c r="O83" i="9"/>
  <c r="O81" i="9"/>
  <c r="O79" i="9"/>
  <c r="O77" i="9"/>
  <c r="O75" i="9"/>
  <c r="O73" i="9"/>
  <c r="O71" i="9"/>
  <c r="O69" i="9"/>
  <c r="O67" i="9"/>
  <c r="O65" i="9"/>
  <c r="O63" i="9"/>
  <c r="O61" i="9"/>
  <c r="O59" i="9"/>
  <c r="O57" i="9"/>
  <c r="O55" i="9"/>
  <c r="O53" i="9"/>
  <c r="O51" i="9"/>
  <c r="O49" i="9"/>
  <c r="O47" i="9"/>
  <c r="O45" i="9"/>
  <c r="O43" i="9"/>
  <c r="O41" i="9"/>
  <c r="O39" i="9"/>
  <c r="O37" i="9"/>
  <c r="O35" i="9"/>
  <c r="O33" i="9"/>
  <c r="O31" i="9"/>
  <c r="O29" i="9"/>
  <c r="O27" i="9"/>
  <c r="O25" i="9"/>
  <c r="O23" i="9"/>
  <c r="O21" i="9"/>
  <c r="O19" i="9"/>
  <c r="O17" i="9"/>
  <c r="O15" i="9"/>
  <c r="O14" i="9"/>
  <c r="O108" i="8"/>
  <c r="O106" i="8"/>
  <c r="O104" i="8"/>
  <c r="O102" i="8"/>
  <c r="O100" i="8"/>
  <c r="O98" i="8"/>
  <c r="O96" i="8"/>
  <c r="O94" i="8"/>
  <c r="O92" i="8"/>
  <c r="O90" i="8"/>
  <c r="O88" i="8"/>
  <c r="O86" i="8"/>
  <c r="O84" i="8"/>
  <c r="O82" i="8"/>
  <c r="O80" i="8"/>
  <c r="O78" i="8"/>
  <c r="O76" i="8"/>
  <c r="O74" i="8"/>
  <c r="O72" i="8"/>
  <c r="O70" i="8"/>
  <c r="O68" i="8"/>
  <c r="O66" i="8"/>
  <c r="O64" i="8"/>
  <c r="O62" i="8"/>
  <c r="O60" i="8"/>
  <c r="O58" i="8"/>
  <c r="O56" i="8"/>
  <c r="O54" i="8"/>
  <c r="O52" i="8"/>
  <c r="O50" i="8"/>
  <c r="O48" i="8"/>
  <c r="O46" i="8"/>
  <c r="O44" i="8"/>
  <c r="O42" i="8"/>
  <c r="O40" i="8"/>
  <c r="O38" i="8"/>
  <c r="O36" i="8"/>
  <c r="O34" i="8"/>
  <c r="O32" i="8"/>
  <c r="O30" i="8"/>
  <c r="O28" i="8"/>
  <c r="O26" i="8"/>
  <c r="O24" i="8"/>
  <c r="O22" i="8"/>
  <c r="O20" i="8"/>
  <c r="O18" i="8"/>
  <c r="O16" i="8"/>
  <c r="O14" i="8"/>
  <c r="O12" i="8"/>
  <c r="O14" i="7"/>
  <c r="O16" i="7"/>
  <c r="O18" i="7"/>
  <c r="O20" i="7"/>
  <c r="O22" i="7"/>
  <c r="O24" i="7"/>
  <c r="O26" i="7"/>
  <c r="O28" i="7"/>
  <c r="O30" i="7"/>
  <c r="O32" i="7"/>
  <c r="O34" i="7"/>
  <c r="O36" i="7"/>
  <c r="O38" i="7"/>
  <c r="O40" i="7"/>
  <c r="O42" i="7"/>
  <c r="O44" i="7"/>
  <c r="O46" i="7"/>
  <c r="O48" i="7"/>
  <c r="O50" i="7"/>
  <c r="O52" i="7"/>
  <c r="O54" i="7"/>
  <c r="O56" i="7"/>
  <c r="O58" i="7"/>
  <c r="O60" i="7"/>
  <c r="O62" i="7"/>
  <c r="O64" i="7"/>
  <c r="O66" i="7"/>
  <c r="O68" i="7"/>
  <c r="O70" i="7"/>
  <c r="O72" i="7"/>
  <c r="O74" i="7"/>
  <c r="O76" i="7"/>
  <c r="O78" i="7"/>
  <c r="O80" i="7"/>
  <c r="O82" i="7"/>
  <c r="O84" i="7"/>
  <c r="O86" i="7"/>
  <c r="O88" i="7"/>
  <c r="O90" i="7"/>
  <c r="O92" i="7"/>
  <c r="O94" i="7"/>
  <c r="O96" i="7"/>
  <c r="O98" i="7"/>
  <c r="O100" i="7"/>
  <c r="O102" i="7"/>
  <c r="O104" i="7"/>
  <c r="O106" i="7"/>
  <c r="O108" i="7"/>
  <c r="O13" i="7"/>
  <c r="O15" i="7"/>
  <c r="O17" i="7"/>
  <c r="O19" i="7"/>
  <c r="O21" i="7"/>
  <c r="O23" i="7"/>
  <c r="O25" i="7"/>
  <c r="O27" i="7"/>
  <c r="O29" i="7"/>
  <c r="O31" i="7"/>
  <c r="O33" i="7"/>
  <c r="O35" i="7"/>
  <c r="O37" i="7"/>
  <c r="O39" i="7"/>
  <c r="O41" i="7"/>
  <c r="O43" i="7"/>
  <c r="O45" i="7"/>
  <c r="O47" i="7"/>
  <c r="O49" i="7"/>
  <c r="O51" i="7"/>
  <c r="O53" i="7"/>
  <c r="O55" i="7"/>
  <c r="O57" i="7"/>
  <c r="O59" i="7"/>
  <c r="O61" i="7"/>
  <c r="O63" i="7"/>
  <c r="O65" i="7"/>
  <c r="O67" i="7"/>
  <c r="O69" i="7"/>
  <c r="O71" i="7"/>
  <c r="O73" i="7"/>
  <c r="O75" i="7"/>
  <c r="O77" i="7"/>
  <c r="O79" i="7"/>
  <c r="O81" i="7"/>
  <c r="O83" i="7"/>
  <c r="O85" i="7"/>
  <c r="O87" i="7"/>
  <c r="O89" i="7"/>
  <c r="O91" i="7"/>
  <c r="O93" i="7"/>
  <c r="O95" i="7"/>
  <c r="O97" i="7"/>
  <c r="O99" i="7"/>
  <c r="O101" i="7"/>
  <c r="O103" i="7"/>
  <c r="O105" i="7"/>
  <c r="O107" i="7"/>
  <c r="O12" i="7"/>
  <c r="K9" i="6"/>
  <c r="I9" i="6"/>
  <c r="J9" i="6"/>
  <c r="L9" i="6"/>
  <c r="M9" i="6"/>
  <c r="B57" i="1"/>
  <c r="D102" i="1"/>
  <c r="E102" i="1" s="1"/>
  <c r="D31" i="1"/>
  <c r="E31" i="1" s="1"/>
  <c r="D23" i="1"/>
  <c r="E23" i="1" s="1"/>
  <c r="D73" i="1"/>
  <c r="E73" i="1" s="1"/>
  <c r="D40" i="1"/>
  <c r="E40" i="1" s="1"/>
  <c r="D29" i="1"/>
  <c r="E29" i="1" s="1"/>
  <c r="D72" i="1"/>
  <c r="E72" i="1" s="1"/>
  <c r="D46" i="1"/>
  <c r="E46" i="1" s="1"/>
  <c r="D57" i="1"/>
  <c r="E57" i="1" s="1"/>
  <c r="D50" i="1"/>
  <c r="E50" i="1" s="1"/>
  <c r="D55" i="1"/>
  <c r="E55" i="1" s="1"/>
  <c r="B22" i="1"/>
  <c r="B48" i="1"/>
  <c r="B73" i="1"/>
  <c r="B43" i="1"/>
  <c r="D79" i="1"/>
  <c r="E79" i="1" s="1"/>
  <c r="B51" i="1"/>
  <c r="B76" i="1"/>
  <c r="B99" i="1"/>
  <c r="B54" i="1"/>
  <c r="B90" i="1"/>
  <c r="B82" i="1"/>
  <c r="B86" i="1"/>
  <c r="B93" i="1"/>
  <c r="B94" i="1"/>
  <c r="B61" i="1"/>
  <c r="B88" i="1"/>
  <c r="B63" i="1"/>
  <c r="B25" i="1"/>
  <c r="B38" i="1"/>
  <c r="B65" i="1"/>
  <c r="D49" i="1"/>
  <c r="E49" i="1" s="1"/>
  <c r="D38" i="1"/>
  <c r="E38" i="1" s="1"/>
  <c r="D100" i="1"/>
  <c r="E100" i="1" s="1"/>
  <c r="D36" i="1"/>
  <c r="E36" i="1" s="1"/>
  <c r="D74" i="1"/>
  <c r="E74" i="1" s="1"/>
  <c r="B33" i="1"/>
  <c r="B98" i="1"/>
  <c r="B91" i="1"/>
  <c r="B40" i="1"/>
  <c r="B44" i="1"/>
  <c r="B77" i="1"/>
  <c r="B81" i="1"/>
  <c r="B87" i="1"/>
  <c r="B67" i="1"/>
  <c r="B101" i="1"/>
  <c r="B78" i="1"/>
  <c r="B64" i="1"/>
  <c r="B71" i="1"/>
  <c r="B70" i="1"/>
  <c r="D56" i="1"/>
  <c r="E56" i="1" s="1"/>
  <c r="B97" i="1"/>
  <c r="B52" i="1"/>
  <c r="B35" i="1"/>
  <c r="D39" i="1"/>
  <c r="E39" i="1" s="1"/>
  <c r="D65" i="1"/>
  <c r="E65" i="1" s="1"/>
  <c r="D58" i="1"/>
  <c r="E58" i="1" s="1"/>
  <c r="D64" i="1"/>
  <c r="E64" i="1" s="1"/>
  <c r="D78" i="1"/>
  <c r="E78" i="1" s="1"/>
  <c r="D41" i="1"/>
  <c r="E41" i="1" s="1"/>
  <c r="D28" i="1"/>
  <c r="E28" i="1" s="1"/>
  <c r="D27" i="1"/>
  <c r="E27" i="1" s="1"/>
  <c r="D47" i="1"/>
  <c r="E47" i="1" s="1"/>
  <c r="D69" i="1"/>
  <c r="E69" i="1" s="1"/>
  <c r="D98" i="1"/>
  <c r="E98" i="1" s="1"/>
  <c r="D97" i="1"/>
  <c r="E97" i="1" s="1"/>
  <c r="D96" i="1"/>
  <c r="E96" i="1" s="1"/>
  <c r="D95" i="1"/>
  <c r="E95" i="1" s="1"/>
  <c r="D94" i="1"/>
  <c r="E94" i="1" s="1"/>
  <c r="D93" i="1"/>
  <c r="E93" i="1" s="1"/>
  <c r="D92" i="1"/>
  <c r="E92" i="1" s="1"/>
  <c r="D91" i="1"/>
  <c r="E91" i="1" s="1"/>
  <c r="D90" i="1"/>
  <c r="E90" i="1" s="1"/>
  <c r="D89" i="1"/>
  <c r="E89" i="1" s="1"/>
  <c r="D88" i="1"/>
  <c r="E88" i="1" s="1"/>
  <c r="D87" i="1"/>
  <c r="E87" i="1" s="1"/>
  <c r="D86" i="1"/>
  <c r="E86" i="1" s="1"/>
  <c r="D85" i="1"/>
  <c r="E85" i="1" s="1"/>
  <c r="D84" i="1"/>
  <c r="E84" i="1" s="1"/>
  <c r="D83" i="1"/>
  <c r="E83" i="1" s="1"/>
  <c r="D82" i="1"/>
  <c r="E82" i="1" s="1"/>
  <c r="D81" i="1"/>
  <c r="E81" i="1" s="1"/>
  <c r="D80" i="1"/>
  <c r="E80" i="1" s="1"/>
  <c r="D77" i="1"/>
  <c r="E77" i="1" s="1"/>
  <c r="D76" i="1"/>
  <c r="E76" i="1" s="1"/>
  <c r="D75" i="1"/>
  <c r="E75" i="1" s="1"/>
  <c r="D59" i="1"/>
  <c r="E59" i="1" s="1"/>
  <c r="D118" i="1"/>
  <c r="E118" i="1" s="1"/>
  <c r="G107" i="9"/>
  <c r="H107" i="9" s="1"/>
  <c r="J107" i="9" s="1"/>
  <c r="G37" i="9"/>
  <c r="H37" i="9" s="1"/>
  <c r="J37" i="9" s="1"/>
  <c r="G99" i="9"/>
  <c r="H99" i="9" s="1"/>
  <c r="G83" i="9"/>
  <c r="H83" i="9" s="1"/>
  <c r="G67" i="9"/>
  <c r="H67" i="9" s="1"/>
  <c r="J67" i="9" s="1"/>
  <c r="G51" i="9"/>
  <c r="H51" i="9" s="1"/>
  <c r="J51" i="9" s="1"/>
  <c r="G106" i="9"/>
  <c r="H106" i="9" s="1"/>
  <c r="J106" i="9" s="1"/>
  <c r="G102" i="9"/>
  <c r="H102" i="9" s="1"/>
  <c r="J102" i="9" s="1"/>
  <c r="G98" i="9"/>
  <c r="H98" i="9" s="1"/>
  <c r="J98" i="9" s="1"/>
  <c r="G94" i="9"/>
  <c r="H94" i="9" s="1"/>
  <c r="J94" i="9" s="1"/>
  <c r="G90" i="9"/>
  <c r="H90" i="9" s="1"/>
  <c r="J90" i="9" s="1"/>
  <c r="G86" i="9"/>
  <c r="H86" i="9" s="1"/>
  <c r="J86" i="9" s="1"/>
  <c r="G82" i="9"/>
  <c r="H82" i="9" s="1"/>
  <c r="J82" i="9" s="1"/>
  <c r="G78" i="9"/>
  <c r="H78" i="9" s="1"/>
  <c r="J78" i="9" s="1"/>
  <c r="G74" i="9"/>
  <c r="H74" i="9" s="1"/>
  <c r="J74" i="9" s="1"/>
  <c r="G70" i="9"/>
  <c r="H70" i="9" s="1"/>
  <c r="J70" i="9" s="1"/>
  <c r="G66" i="9"/>
  <c r="H66" i="9" s="1"/>
  <c r="J66" i="9" s="1"/>
  <c r="G62" i="9"/>
  <c r="H62" i="9" s="1"/>
  <c r="J62" i="9" s="1"/>
  <c r="G58" i="9"/>
  <c r="H58" i="9" s="1"/>
  <c r="J58" i="9" s="1"/>
  <c r="G54" i="9"/>
  <c r="H54" i="9" s="1"/>
  <c r="J54" i="9" s="1"/>
  <c r="G50" i="9"/>
  <c r="H50" i="9" s="1"/>
  <c r="J50" i="9" s="1"/>
  <c r="G46" i="9"/>
  <c r="H46" i="9" s="1"/>
  <c r="J46" i="9" s="1"/>
  <c r="G42" i="9"/>
  <c r="H42" i="9" s="1"/>
  <c r="J42" i="9" s="1"/>
  <c r="G38" i="9"/>
  <c r="H38" i="9" s="1"/>
  <c r="J38" i="9" s="1"/>
  <c r="G12" i="9"/>
  <c r="H12" i="9" s="1"/>
  <c r="J12" i="9" s="1"/>
  <c r="G14" i="9"/>
  <c r="H14" i="9" s="1"/>
  <c r="J14" i="9" s="1"/>
  <c r="G16" i="9"/>
  <c r="H16" i="9" s="1"/>
  <c r="J16" i="9" s="1"/>
  <c r="G20" i="9"/>
  <c r="H20" i="9" s="1"/>
  <c r="J20" i="9" s="1"/>
  <c r="G24" i="9"/>
  <c r="H24" i="9" s="1"/>
  <c r="J24" i="9" s="1"/>
  <c r="G105" i="9"/>
  <c r="H105" i="9" s="1"/>
  <c r="J105" i="9" s="1"/>
  <c r="G97" i="9"/>
  <c r="H97" i="9" s="1"/>
  <c r="J97" i="9" s="1"/>
  <c r="G93" i="9"/>
  <c r="H93" i="9" s="1"/>
  <c r="J93" i="9" s="1"/>
  <c r="G89" i="9"/>
  <c r="H89" i="9" s="1"/>
  <c r="J89" i="9" s="1"/>
  <c r="G81" i="9"/>
  <c r="H81" i="9" s="1"/>
  <c r="G73" i="9"/>
  <c r="H73" i="9" s="1"/>
  <c r="J73" i="9" s="1"/>
  <c r="G65" i="9"/>
  <c r="H65" i="9" s="1"/>
  <c r="G57" i="9"/>
  <c r="H57" i="9" s="1"/>
  <c r="J57" i="9" s="1"/>
  <c r="G49" i="9"/>
  <c r="H49" i="9" s="1"/>
  <c r="J49" i="9" s="1"/>
  <c r="G41" i="9"/>
  <c r="H41" i="9" s="1"/>
  <c r="J41" i="9" s="1"/>
  <c r="C23" i="10"/>
  <c r="D8" i="10"/>
  <c r="C15" i="10"/>
  <c r="C19" i="10"/>
  <c r="C107" i="10"/>
  <c r="C103" i="10"/>
  <c r="C99" i="10"/>
  <c r="C95" i="10"/>
  <c r="C91" i="10"/>
  <c r="C87" i="10"/>
  <c r="C83" i="10"/>
  <c r="C79" i="10"/>
  <c r="C75" i="10"/>
  <c r="C71" i="10"/>
  <c r="C67" i="10"/>
  <c r="C106" i="10"/>
  <c r="C102" i="10"/>
  <c r="C98" i="10"/>
  <c r="C94" i="10"/>
  <c r="C90" i="10"/>
  <c r="C86" i="10"/>
  <c r="C82" i="10"/>
  <c r="C78" i="10"/>
  <c r="C74" i="10"/>
  <c r="C70" i="10"/>
  <c r="C66" i="10"/>
  <c r="C62" i="10"/>
  <c r="C58" i="10"/>
  <c r="C54" i="10"/>
  <c r="C50" i="10"/>
  <c r="C46" i="10"/>
  <c r="C42" i="10"/>
  <c r="C38" i="10"/>
  <c r="C34" i="10"/>
  <c r="C30" i="10"/>
  <c r="C65" i="10"/>
  <c r="C61" i="10"/>
  <c r="C57" i="10"/>
  <c r="C53" i="10"/>
  <c r="C49" i="10"/>
  <c r="C45" i="10"/>
  <c r="C41" i="10"/>
  <c r="C37" i="10"/>
  <c r="C33" i="10"/>
  <c r="C29" i="10"/>
  <c r="C25" i="10"/>
  <c r="C12" i="10"/>
  <c r="C16" i="10"/>
  <c r="C20" i="10"/>
  <c r="C24" i="10"/>
  <c r="C5" i="10"/>
  <c r="C13" i="10"/>
  <c r="C17" i="10"/>
  <c r="C21" i="10"/>
  <c r="C105" i="10"/>
  <c r="C101" i="10"/>
  <c r="C97" i="10"/>
  <c r="C93" i="10"/>
  <c r="C89" i="10"/>
  <c r="C85" i="10"/>
  <c r="C81" i="10"/>
  <c r="C77" i="10"/>
  <c r="C73" i="10"/>
  <c r="C69" i="10"/>
  <c r="C108" i="10"/>
  <c r="C104" i="10"/>
  <c r="C100" i="10"/>
  <c r="C96" i="10"/>
  <c r="C92" i="10"/>
  <c r="C88" i="10"/>
  <c r="C84" i="10"/>
  <c r="C80" i="10"/>
  <c r="C76" i="10"/>
  <c r="C72" i="10"/>
  <c r="C68" i="10"/>
  <c r="C64" i="10"/>
  <c r="C60" i="10"/>
  <c r="C56" i="10"/>
  <c r="C52" i="10"/>
  <c r="C48" i="10"/>
  <c r="C44" i="10"/>
  <c r="C40" i="10"/>
  <c r="C36" i="10"/>
  <c r="C32" i="10"/>
  <c r="C28" i="10"/>
  <c r="C63" i="10"/>
  <c r="C59" i="10"/>
  <c r="C55" i="10"/>
  <c r="C51" i="10"/>
  <c r="C47" i="10"/>
  <c r="C43" i="10"/>
  <c r="C39" i="10"/>
  <c r="C35" i="10"/>
  <c r="C31" i="10"/>
  <c r="C27" i="10"/>
  <c r="I5" i="10"/>
  <c r="C14" i="10"/>
  <c r="C18" i="10"/>
  <c r="C22" i="10"/>
  <c r="C26" i="10"/>
  <c r="C5" i="8"/>
  <c r="C107" i="8"/>
  <c r="C103" i="8"/>
  <c r="C99" i="8"/>
  <c r="C95" i="8"/>
  <c r="C91" i="8"/>
  <c r="C87" i="8"/>
  <c r="C83" i="8"/>
  <c r="C79" i="8"/>
  <c r="C75" i="8"/>
  <c r="C71" i="8"/>
  <c r="C67" i="8"/>
  <c r="C106" i="8"/>
  <c r="C102" i="8"/>
  <c r="C98" i="8"/>
  <c r="C94" i="8"/>
  <c r="C90" i="8"/>
  <c r="C86" i="8"/>
  <c r="C82" i="8"/>
  <c r="C78" i="8"/>
  <c r="C74" i="8"/>
  <c r="C70" i="8"/>
  <c r="I5" i="8"/>
  <c r="C14" i="8"/>
  <c r="C18" i="8"/>
  <c r="C22" i="8"/>
  <c r="C26" i="8"/>
  <c r="C30" i="8"/>
  <c r="C34" i="8"/>
  <c r="C38" i="8"/>
  <c r="C42" i="8"/>
  <c r="C46" i="8"/>
  <c r="C50" i="8"/>
  <c r="C54" i="8"/>
  <c r="C58" i="8"/>
  <c r="C62" i="8"/>
  <c r="C66" i="8"/>
  <c r="C13" i="8"/>
  <c r="C17" i="8"/>
  <c r="C21" i="8"/>
  <c r="C25" i="8"/>
  <c r="C29" i="8"/>
  <c r="C33" i="8"/>
  <c r="C37" i="8"/>
  <c r="C41" i="8"/>
  <c r="C45" i="8"/>
  <c r="C49" i="8"/>
  <c r="C53" i="8"/>
  <c r="C57" i="8"/>
  <c r="C61" i="8"/>
  <c r="C65" i="8"/>
  <c r="C105" i="8"/>
  <c r="C101" i="8"/>
  <c r="C97" i="8"/>
  <c r="C93" i="8"/>
  <c r="C89" i="8"/>
  <c r="C85" i="8"/>
  <c r="C81" i="8"/>
  <c r="C77" i="8"/>
  <c r="C73" i="8"/>
  <c r="C69" i="8"/>
  <c r="C108" i="8"/>
  <c r="C104" i="8"/>
  <c r="C100" i="8"/>
  <c r="C96" i="8"/>
  <c r="C92" i="8"/>
  <c r="C88" i="8"/>
  <c r="C84" i="8"/>
  <c r="C80" i="8"/>
  <c r="C76" i="8"/>
  <c r="C72" i="8"/>
  <c r="C68" i="8"/>
  <c r="C12" i="8"/>
  <c r="C16" i="8"/>
  <c r="C20" i="8"/>
  <c r="C24" i="8"/>
  <c r="C28" i="8"/>
  <c r="C32" i="8"/>
  <c r="C36" i="8"/>
  <c r="C40" i="8"/>
  <c r="C44" i="8"/>
  <c r="C48" i="8"/>
  <c r="C52" i="8"/>
  <c r="C56" i="8"/>
  <c r="C60" i="8"/>
  <c r="C64" i="8"/>
  <c r="D8" i="8"/>
  <c r="C15" i="8"/>
  <c r="C19" i="8"/>
  <c r="C23" i="8"/>
  <c r="C27" i="8"/>
  <c r="C31" i="8"/>
  <c r="C35" i="8"/>
  <c r="C39" i="8"/>
  <c r="C43" i="8"/>
  <c r="C47" i="8"/>
  <c r="C51" i="8"/>
  <c r="C55" i="8"/>
  <c r="C59" i="8"/>
  <c r="C63" i="8"/>
  <c r="G28" i="9"/>
  <c r="H28" i="9" s="1"/>
  <c r="J28" i="9" s="1"/>
  <c r="G32" i="9"/>
  <c r="H32" i="9" s="1"/>
  <c r="J32" i="9" s="1"/>
  <c r="G36" i="9"/>
  <c r="H36" i="9" s="1"/>
  <c r="J36" i="9" s="1"/>
  <c r="J69" i="9"/>
  <c r="J81" i="9"/>
  <c r="J65" i="9"/>
  <c r="G103" i="9"/>
  <c r="H103" i="9" s="1"/>
  <c r="J103" i="9" s="1"/>
  <c r="G95" i="9"/>
  <c r="H95" i="9" s="1"/>
  <c r="J95" i="9" s="1"/>
  <c r="G87" i="9"/>
  <c r="H87" i="9" s="1"/>
  <c r="J87" i="9" s="1"/>
  <c r="G79" i="9"/>
  <c r="H79" i="9" s="1"/>
  <c r="J79" i="9" s="1"/>
  <c r="G71" i="9"/>
  <c r="H71" i="9" s="1"/>
  <c r="J71" i="9" s="1"/>
  <c r="G63" i="9"/>
  <c r="H63" i="9" s="1"/>
  <c r="J63" i="9" s="1"/>
  <c r="G55" i="9"/>
  <c r="H55" i="9" s="1"/>
  <c r="J55" i="9" s="1"/>
  <c r="G47" i="9"/>
  <c r="H47" i="9" s="1"/>
  <c r="J47" i="9" s="1"/>
  <c r="G39" i="9"/>
  <c r="H39" i="9" s="1"/>
  <c r="J39" i="9" s="1"/>
  <c r="J77" i="9"/>
  <c r="J45" i="9"/>
  <c r="J99" i="9"/>
  <c r="J83" i="9"/>
  <c r="J75" i="9"/>
  <c r="F67" i="7"/>
  <c r="E67" i="7"/>
  <c r="F63" i="7"/>
  <c r="E63" i="7"/>
  <c r="F59" i="7"/>
  <c r="E59" i="7"/>
  <c r="F55" i="7"/>
  <c r="E55" i="7"/>
  <c r="F51" i="7"/>
  <c r="E51" i="7"/>
  <c r="F47" i="7"/>
  <c r="E47" i="7"/>
  <c r="F43" i="7"/>
  <c r="E43" i="7"/>
  <c r="F39" i="7"/>
  <c r="E39" i="7"/>
  <c r="F35" i="7"/>
  <c r="E35" i="7"/>
  <c r="F31" i="7"/>
  <c r="E31" i="7"/>
  <c r="F27" i="7"/>
  <c r="E27" i="7"/>
  <c r="F23" i="7"/>
  <c r="E23" i="7"/>
  <c r="F19" i="7"/>
  <c r="E19" i="7"/>
  <c r="F15" i="7"/>
  <c r="E15" i="7"/>
  <c r="E68" i="7"/>
  <c r="F68" i="7"/>
  <c r="E64" i="7"/>
  <c r="F64" i="7"/>
  <c r="E60" i="7"/>
  <c r="F60" i="7"/>
  <c r="E56" i="7"/>
  <c r="F56" i="7"/>
  <c r="E52" i="7"/>
  <c r="F52" i="7"/>
  <c r="E48" i="7"/>
  <c r="F48" i="7"/>
  <c r="E44" i="7"/>
  <c r="F44" i="7"/>
  <c r="E40" i="7"/>
  <c r="F40" i="7"/>
  <c r="E36" i="7"/>
  <c r="F36" i="7"/>
  <c r="E32" i="7"/>
  <c r="F32" i="7"/>
  <c r="E28" i="7"/>
  <c r="F28" i="7"/>
  <c r="E24" i="7"/>
  <c r="F24" i="7"/>
  <c r="E20" i="7"/>
  <c r="F20" i="7"/>
  <c r="E16" i="7"/>
  <c r="F16" i="7"/>
  <c r="E12" i="7"/>
  <c r="F12" i="7"/>
  <c r="E72" i="7"/>
  <c r="F72" i="7"/>
  <c r="E76" i="7"/>
  <c r="F76" i="7"/>
  <c r="E80" i="7"/>
  <c r="F80" i="7"/>
  <c r="E84" i="7"/>
  <c r="F84" i="7"/>
  <c r="E88" i="7"/>
  <c r="F88" i="7"/>
  <c r="E92" i="7"/>
  <c r="F92" i="7"/>
  <c r="E96" i="7"/>
  <c r="F96" i="7"/>
  <c r="E100" i="7"/>
  <c r="F100" i="7"/>
  <c r="E104" i="7"/>
  <c r="F104" i="7"/>
  <c r="E108" i="7"/>
  <c r="F108" i="7"/>
  <c r="F73" i="7"/>
  <c r="E73" i="7"/>
  <c r="F77" i="7"/>
  <c r="E77" i="7"/>
  <c r="F81" i="7"/>
  <c r="E81" i="7"/>
  <c r="F85" i="7"/>
  <c r="E85" i="7"/>
  <c r="F89" i="7"/>
  <c r="E89" i="7"/>
  <c r="F93" i="7"/>
  <c r="E93" i="7"/>
  <c r="F97" i="7"/>
  <c r="E97" i="7"/>
  <c r="F101" i="7"/>
  <c r="E101" i="7"/>
  <c r="F105" i="7"/>
  <c r="E105" i="7"/>
  <c r="D107" i="7"/>
  <c r="D105" i="7"/>
  <c r="D103" i="7"/>
  <c r="D101" i="7"/>
  <c r="D99" i="7"/>
  <c r="D97" i="7"/>
  <c r="D95" i="7"/>
  <c r="D93" i="7"/>
  <c r="D91" i="7"/>
  <c r="D89" i="7"/>
  <c r="D87" i="7"/>
  <c r="D85" i="7"/>
  <c r="D83" i="7"/>
  <c r="D81" i="7"/>
  <c r="D79" i="7"/>
  <c r="D77" i="7"/>
  <c r="D75" i="7"/>
  <c r="D73" i="7"/>
  <c r="D71" i="7"/>
  <c r="D69" i="7"/>
  <c r="D67" i="7"/>
  <c r="G67" i="7" s="1"/>
  <c r="H67" i="7" s="1"/>
  <c r="D65" i="7"/>
  <c r="D63" i="7"/>
  <c r="D61" i="7"/>
  <c r="D59" i="7"/>
  <c r="D57" i="7"/>
  <c r="D55" i="7"/>
  <c r="D53" i="7"/>
  <c r="D51" i="7"/>
  <c r="G51" i="7" s="1"/>
  <c r="H51" i="7" s="1"/>
  <c r="D49" i="7"/>
  <c r="D47" i="7"/>
  <c r="D45" i="7"/>
  <c r="D43" i="7"/>
  <c r="D41" i="7"/>
  <c r="D39" i="7"/>
  <c r="D37" i="7"/>
  <c r="D35" i="7"/>
  <c r="G35" i="7" s="1"/>
  <c r="D33" i="7"/>
  <c r="D31" i="7"/>
  <c r="D29" i="7"/>
  <c r="D27" i="7"/>
  <c r="D25" i="7"/>
  <c r="D23" i="7"/>
  <c r="D21" i="7"/>
  <c r="D19" i="7"/>
  <c r="G19" i="7" s="1"/>
  <c r="D17" i="7"/>
  <c r="D15" i="7"/>
  <c r="D13" i="7"/>
  <c r="D108" i="7"/>
  <c r="D106" i="7"/>
  <c r="D104" i="7"/>
  <c r="D102" i="7"/>
  <c r="D100" i="7"/>
  <c r="G100" i="7" s="1"/>
  <c r="H100" i="7" s="1"/>
  <c r="D98" i="7"/>
  <c r="D96" i="7"/>
  <c r="D94" i="7"/>
  <c r="D92" i="7"/>
  <c r="D90" i="7"/>
  <c r="D88" i="7"/>
  <c r="D86" i="7"/>
  <c r="D84" i="7"/>
  <c r="G84" i="7" s="1"/>
  <c r="H84" i="7" s="1"/>
  <c r="D82" i="7"/>
  <c r="D80" i="7"/>
  <c r="D78" i="7"/>
  <c r="D76" i="7"/>
  <c r="D74" i="7"/>
  <c r="D72" i="7"/>
  <c r="D70" i="7"/>
  <c r="D68" i="7"/>
  <c r="D66" i="7"/>
  <c r="D64" i="7"/>
  <c r="D62" i="7"/>
  <c r="D60" i="7"/>
  <c r="G60" i="7" s="1"/>
  <c r="H60" i="7" s="1"/>
  <c r="D58" i="7"/>
  <c r="D56" i="7"/>
  <c r="D54" i="7"/>
  <c r="D52" i="7"/>
  <c r="D50" i="7"/>
  <c r="D48" i="7"/>
  <c r="D46" i="7"/>
  <c r="D44" i="7"/>
  <c r="G44" i="7" s="1"/>
  <c r="H44" i="7" s="1"/>
  <c r="D42" i="7"/>
  <c r="D40" i="7"/>
  <c r="D38" i="7"/>
  <c r="D36" i="7"/>
  <c r="D34" i="7"/>
  <c r="D32" i="7"/>
  <c r="D30" i="7"/>
  <c r="D28" i="7"/>
  <c r="G28" i="7" s="1"/>
  <c r="H28" i="7" s="1"/>
  <c r="D26" i="7"/>
  <c r="D24" i="7"/>
  <c r="D22" i="7"/>
  <c r="D20" i="7"/>
  <c r="D18" i="7"/>
  <c r="D16" i="7"/>
  <c r="D14" i="7"/>
  <c r="I107" i="7"/>
  <c r="I105" i="7"/>
  <c r="I103" i="7"/>
  <c r="I101" i="7"/>
  <c r="I99" i="7"/>
  <c r="I97" i="7"/>
  <c r="I95" i="7"/>
  <c r="I93" i="7"/>
  <c r="I91" i="7"/>
  <c r="I89" i="7"/>
  <c r="I87" i="7"/>
  <c r="I85" i="7"/>
  <c r="I83" i="7"/>
  <c r="I81" i="7"/>
  <c r="I79" i="7"/>
  <c r="I77" i="7"/>
  <c r="I75" i="7"/>
  <c r="I73" i="7"/>
  <c r="I71" i="7"/>
  <c r="I69" i="7"/>
  <c r="I67" i="7"/>
  <c r="I65" i="7"/>
  <c r="I63" i="7"/>
  <c r="I61" i="7"/>
  <c r="I59" i="7"/>
  <c r="I57" i="7"/>
  <c r="I55" i="7"/>
  <c r="I53" i="7"/>
  <c r="I51" i="7"/>
  <c r="I49" i="7"/>
  <c r="I47" i="7"/>
  <c r="I45" i="7"/>
  <c r="I43" i="7"/>
  <c r="I41" i="7"/>
  <c r="I39" i="7"/>
  <c r="I37" i="7"/>
  <c r="I35" i="7"/>
  <c r="I33" i="7"/>
  <c r="I31" i="7"/>
  <c r="I29" i="7"/>
  <c r="I27" i="7"/>
  <c r="I25" i="7"/>
  <c r="I23" i="7"/>
  <c r="I21" i="7"/>
  <c r="I19" i="7"/>
  <c r="I17" i="7"/>
  <c r="I15" i="7"/>
  <c r="I13" i="7"/>
  <c r="I108" i="7"/>
  <c r="I106" i="7"/>
  <c r="I104" i="7"/>
  <c r="I102" i="7"/>
  <c r="I100" i="7"/>
  <c r="I98" i="7"/>
  <c r="I96" i="7"/>
  <c r="I94" i="7"/>
  <c r="I92" i="7"/>
  <c r="I90" i="7"/>
  <c r="I88" i="7"/>
  <c r="I86" i="7"/>
  <c r="I84" i="7"/>
  <c r="I82" i="7"/>
  <c r="I80" i="7"/>
  <c r="I78" i="7"/>
  <c r="I76" i="7"/>
  <c r="I74" i="7"/>
  <c r="I72" i="7"/>
  <c r="I70" i="7"/>
  <c r="I68" i="7"/>
  <c r="I66" i="7"/>
  <c r="I64" i="7"/>
  <c r="I62" i="7"/>
  <c r="I60" i="7"/>
  <c r="I58" i="7"/>
  <c r="I56" i="7"/>
  <c r="I54" i="7"/>
  <c r="I52" i="7"/>
  <c r="I50" i="7"/>
  <c r="I48" i="7"/>
  <c r="I46" i="7"/>
  <c r="I44" i="7"/>
  <c r="I42" i="7"/>
  <c r="I40" i="7"/>
  <c r="I38" i="7"/>
  <c r="I36" i="7"/>
  <c r="I34" i="7"/>
  <c r="I32" i="7"/>
  <c r="I30" i="7"/>
  <c r="I28" i="7"/>
  <c r="I26" i="7"/>
  <c r="I24" i="7"/>
  <c r="I22" i="7"/>
  <c r="I20" i="7"/>
  <c r="I18" i="7"/>
  <c r="I16" i="7"/>
  <c r="I14" i="7"/>
  <c r="I12" i="7"/>
  <c r="F69" i="7"/>
  <c r="E69" i="7"/>
  <c r="F65" i="7"/>
  <c r="E65" i="7"/>
  <c r="F61" i="7"/>
  <c r="E61" i="7"/>
  <c r="F57" i="7"/>
  <c r="E57" i="7"/>
  <c r="F53" i="7"/>
  <c r="E53" i="7"/>
  <c r="F49" i="7"/>
  <c r="E49" i="7"/>
  <c r="F45" i="7"/>
  <c r="E45" i="7"/>
  <c r="F41" i="7"/>
  <c r="E41" i="7"/>
  <c r="F37" i="7"/>
  <c r="E37" i="7"/>
  <c r="F33" i="7"/>
  <c r="E33" i="7"/>
  <c r="F29" i="7"/>
  <c r="E29" i="7"/>
  <c r="F25" i="7"/>
  <c r="E25" i="7"/>
  <c r="F21" i="7"/>
  <c r="E21" i="7"/>
  <c r="F17" i="7"/>
  <c r="E17" i="7"/>
  <c r="F13" i="7"/>
  <c r="E13" i="7"/>
  <c r="E66" i="7"/>
  <c r="F66" i="7"/>
  <c r="E62" i="7"/>
  <c r="F62" i="7"/>
  <c r="E58" i="7"/>
  <c r="F58" i="7"/>
  <c r="E54" i="7"/>
  <c r="F54" i="7"/>
  <c r="E50" i="7"/>
  <c r="F50" i="7"/>
  <c r="E46" i="7"/>
  <c r="F46" i="7"/>
  <c r="E42" i="7"/>
  <c r="F42" i="7"/>
  <c r="E38" i="7"/>
  <c r="F38" i="7"/>
  <c r="E34" i="7"/>
  <c r="F34" i="7"/>
  <c r="E30" i="7"/>
  <c r="F30" i="7"/>
  <c r="E26" i="7"/>
  <c r="F26" i="7"/>
  <c r="E22" i="7"/>
  <c r="F22" i="7"/>
  <c r="E18" i="7"/>
  <c r="F18" i="7"/>
  <c r="E14" i="7"/>
  <c r="F14" i="7"/>
  <c r="E70" i="7"/>
  <c r="F70" i="7"/>
  <c r="E74" i="7"/>
  <c r="F74" i="7"/>
  <c r="E78" i="7"/>
  <c r="F78" i="7"/>
  <c r="E82" i="7"/>
  <c r="F82" i="7"/>
  <c r="E86" i="7"/>
  <c r="F86" i="7"/>
  <c r="E90" i="7"/>
  <c r="F90" i="7"/>
  <c r="E94" i="7"/>
  <c r="F94" i="7"/>
  <c r="E98" i="7"/>
  <c r="F98" i="7"/>
  <c r="E102" i="7"/>
  <c r="F102" i="7"/>
  <c r="E106" i="7"/>
  <c r="F106" i="7"/>
  <c r="F71" i="7"/>
  <c r="E71" i="7"/>
  <c r="F75" i="7"/>
  <c r="E75" i="7"/>
  <c r="F79" i="7"/>
  <c r="E79" i="7"/>
  <c r="F83" i="7"/>
  <c r="E83" i="7"/>
  <c r="F87" i="7"/>
  <c r="E87" i="7"/>
  <c r="F91" i="7"/>
  <c r="E91" i="7"/>
  <c r="F95" i="7"/>
  <c r="E95" i="7"/>
  <c r="F99" i="7"/>
  <c r="E99" i="7"/>
  <c r="F103" i="7"/>
  <c r="E103" i="7"/>
  <c r="F107" i="7"/>
  <c r="E107" i="7"/>
  <c r="D12" i="7"/>
  <c r="H35" i="7"/>
  <c r="J35" i="7" s="1"/>
  <c r="H19" i="7"/>
  <c r="J19" i="7" s="1"/>
  <c r="AI447" i="4"/>
  <c r="AI457" i="4"/>
  <c r="AI467" i="4"/>
  <c r="AI477" i="4"/>
  <c r="AI487" i="4"/>
  <c r="AI377" i="4"/>
  <c r="AI387" i="4"/>
  <c r="AI397" i="4"/>
  <c r="AI407" i="4"/>
  <c r="AI417" i="4"/>
  <c r="AI427" i="4"/>
  <c r="AI437" i="4"/>
  <c r="AI374" i="4"/>
  <c r="AI384" i="4"/>
  <c r="AI394" i="4"/>
  <c r="AI404" i="4"/>
  <c r="AI414" i="4"/>
  <c r="AI424" i="4"/>
  <c r="AI434" i="4"/>
  <c r="AI444" i="4"/>
  <c r="AI454" i="4"/>
  <c r="AI464" i="4"/>
  <c r="AI474" i="4"/>
  <c r="AI484" i="4"/>
  <c r="AI494" i="4"/>
  <c r="B117" i="1"/>
  <c r="B103" i="1"/>
  <c r="B104" i="1"/>
  <c r="B105" i="1"/>
  <c r="B106" i="1"/>
  <c r="B107" i="1"/>
  <c r="B108" i="1"/>
  <c r="D109" i="1"/>
  <c r="E109" i="1" s="1"/>
  <c r="B110" i="1"/>
  <c r="D111" i="1"/>
  <c r="E111" i="1" s="1"/>
  <c r="B112" i="1"/>
  <c r="D113" i="1"/>
  <c r="E113" i="1" s="1"/>
  <c r="B114" i="1"/>
  <c r="D115" i="1"/>
  <c r="E115" i="1" s="1"/>
  <c r="B116" i="1"/>
  <c r="D117" i="1"/>
  <c r="E117" i="1" s="1"/>
  <c r="B118" i="1"/>
  <c r="U12" i="4"/>
  <c r="U14" i="4"/>
  <c r="U16" i="4"/>
  <c r="U18" i="4"/>
  <c r="U20" i="4"/>
  <c r="U22" i="4"/>
  <c r="U24" i="4"/>
  <c r="U26" i="4"/>
  <c r="U28" i="4"/>
  <c r="U30" i="4"/>
  <c r="U32" i="4"/>
  <c r="U34" i="4"/>
  <c r="U36" i="4"/>
  <c r="U38" i="4"/>
  <c r="U40" i="4"/>
  <c r="U42" i="4"/>
  <c r="U44" i="4"/>
  <c r="U46" i="4"/>
  <c r="U48" i="4"/>
  <c r="U50" i="4"/>
  <c r="U52" i="4"/>
  <c r="U54" i="4"/>
  <c r="U56" i="4"/>
  <c r="U58" i="4"/>
  <c r="U60" i="4"/>
  <c r="U62" i="4"/>
  <c r="U64" i="4"/>
  <c r="U66" i="4"/>
  <c r="U68" i="4"/>
  <c r="U70" i="4"/>
  <c r="U72" i="4"/>
  <c r="U74" i="4"/>
  <c r="U76" i="4"/>
  <c r="U78" i="4"/>
  <c r="U80" i="4"/>
  <c r="U82" i="4"/>
  <c r="U84" i="4"/>
  <c r="U86" i="4"/>
  <c r="U88" i="4"/>
  <c r="U90" i="4"/>
  <c r="U92" i="4"/>
  <c r="U94" i="4"/>
  <c r="U96" i="4"/>
  <c r="U98" i="4"/>
  <c r="U100" i="4"/>
  <c r="U102" i="4"/>
  <c r="U104" i="4"/>
  <c r="U106" i="4"/>
  <c r="U108" i="4"/>
  <c r="D103" i="1"/>
  <c r="E103" i="1" s="1"/>
  <c r="D104" i="1"/>
  <c r="E104" i="1" s="1"/>
  <c r="D105" i="1"/>
  <c r="E105" i="1" s="1"/>
  <c r="D106" i="1"/>
  <c r="E106" i="1" s="1"/>
  <c r="D107" i="1"/>
  <c r="E107" i="1" s="1"/>
  <c r="D108" i="1"/>
  <c r="E108" i="1" s="1"/>
  <c r="B109" i="1"/>
  <c r="D110" i="1"/>
  <c r="E110" i="1" s="1"/>
  <c r="B111" i="1"/>
  <c r="D112" i="1"/>
  <c r="E112" i="1" s="1"/>
  <c r="B113" i="1"/>
  <c r="D114" i="1"/>
  <c r="E114" i="1" s="1"/>
  <c r="B115" i="1"/>
  <c r="D116" i="1"/>
  <c r="E116" i="1" s="1"/>
  <c r="U13" i="4"/>
  <c r="U15" i="4"/>
  <c r="U17" i="4"/>
  <c r="U19" i="4"/>
  <c r="U21" i="4"/>
  <c r="U23" i="4"/>
  <c r="U25" i="4"/>
  <c r="U27" i="4"/>
  <c r="U29" i="4"/>
  <c r="U31" i="4"/>
  <c r="U33" i="4"/>
  <c r="U35" i="4"/>
  <c r="U37" i="4"/>
  <c r="U39" i="4"/>
  <c r="U41" i="4"/>
  <c r="U43" i="4"/>
  <c r="U45" i="4"/>
  <c r="U47" i="4"/>
  <c r="U49" i="4"/>
  <c r="U51" i="4"/>
  <c r="U53" i="4"/>
  <c r="U55" i="4"/>
  <c r="U57" i="4"/>
  <c r="U59" i="4"/>
  <c r="U61" i="4"/>
  <c r="U63" i="4"/>
  <c r="U65" i="4"/>
  <c r="U67" i="4"/>
  <c r="U69" i="4"/>
  <c r="U71" i="4"/>
  <c r="U73" i="4"/>
  <c r="U75" i="4"/>
  <c r="U77" i="4"/>
  <c r="U79" i="4"/>
  <c r="U81" i="4"/>
  <c r="U83" i="4"/>
  <c r="U85" i="4"/>
  <c r="U87" i="4"/>
  <c r="U89" i="4"/>
  <c r="U91" i="4"/>
  <c r="U93" i="4"/>
  <c r="U95" i="4"/>
  <c r="U97" i="4"/>
  <c r="U99" i="4"/>
  <c r="U101" i="4"/>
  <c r="U103" i="4"/>
  <c r="U105" i="4"/>
  <c r="M17" i="6"/>
  <c r="J51" i="7" l="1"/>
  <c r="J67" i="7"/>
  <c r="G16" i="7"/>
  <c r="H16" i="7" s="1"/>
  <c r="J16" i="7" s="1"/>
  <c r="G32" i="7"/>
  <c r="H32" i="7" s="1"/>
  <c r="J32" i="7" s="1"/>
  <c r="G48" i="7"/>
  <c r="H48" i="7" s="1"/>
  <c r="J48" i="7" s="1"/>
  <c r="G64" i="7"/>
  <c r="H64" i="7" s="1"/>
  <c r="J64" i="7" s="1"/>
  <c r="G80" i="7"/>
  <c r="H80" i="7" s="1"/>
  <c r="J80" i="7" s="1"/>
  <c r="G96" i="7"/>
  <c r="H96" i="7" s="1"/>
  <c r="J96" i="7" s="1"/>
  <c r="G15" i="7"/>
  <c r="H15" i="7" s="1"/>
  <c r="G31" i="7"/>
  <c r="H31" i="7" s="1"/>
  <c r="G47" i="7"/>
  <c r="H47" i="7" s="1"/>
  <c r="G63" i="7"/>
  <c r="H63" i="7" s="1"/>
  <c r="G36" i="7"/>
  <c r="H36" i="7" s="1"/>
  <c r="J100" i="7"/>
  <c r="G24" i="7"/>
  <c r="H24" i="7" s="1"/>
  <c r="J24" i="7" s="1"/>
  <c r="G40" i="7"/>
  <c r="H40" i="7" s="1"/>
  <c r="J40" i="7" s="1"/>
  <c r="G56" i="7"/>
  <c r="H56" i="7" s="1"/>
  <c r="J56" i="7" s="1"/>
  <c r="G72" i="7"/>
  <c r="G88" i="7"/>
  <c r="H88" i="7" s="1"/>
  <c r="G104" i="7"/>
  <c r="H104" i="7" s="1"/>
  <c r="G23" i="7"/>
  <c r="H23" i="7" s="1"/>
  <c r="G39" i="7"/>
  <c r="H39" i="7" s="1"/>
  <c r="G55" i="7"/>
  <c r="H55" i="7" s="1"/>
  <c r="J55" i="7" s="1"/>
  <c r="G20" i="7"/>
  <c r="H20" i="7" s="1"/>
  <c r="J20" i="7" s="1"/>
  <c r="G68" i="7"/>
  <c r="H68" i="7" s="1"/>
  <c r="G52" i="7"/>
  <c r="H52" i="7" s="1"/>
  <c r="J84" i="7"/>
  <c r="G76" i="7"/>
  <c r="H76" i="7" s="1"/>
  <c r="J76" i="7" s="1"/>
  <c r="G92" i="7"/>
  <c r="H92" i="7" s="1"/>
  <c r="J92" i="7" s="1"/>
  <c r="G108" i="7"/>
  <c r="H108" i="7" s="1"/>
  <c r="J108" i="7" s="1"/>
  <c r="G27" i="7"/>
  <c r="H27" i="7" s="1"/>
  <c r="J27" i="7" s="1"/>
  <c r="G43" i="7"/>
  <c r="H43" i="7" s="1"/>
  <c r="J43" i="7" s="1"/>
  <c r="G59" i="7"/>
  <c r="H59" i="7" s="1"/>
  <c r="J59" i="7" s="1"/>
  <c r="M113" i="1"/>
  <c r="M109" i="1"/>
  <c r="M105" i="1"/>
  <c r="M101" i="1"/>
  <c r="M97" i="1"/>
  <c r="M93" i="1"/>
  <c r="M89" i="1"/>
  <c r="M85" i="1"/>
  <c r="M81" i="1"/>
  <c r="M77" i="1"/>
  <c r="M73" i="1"/>
  <c r="M69" i="1"/>
  <c r="M65" i="1"/>
  <c r="M61" i="1"/>
  <c r="M57" i="1"/>
  <c r="M53" i="1"/>
  <c r="M49" i="1"/>
  <c r="M45" i="1"/>
  <c r="M41" i="1"/>
  <c r="M37" i="1"/>
  <c r="M33" i="1"/>
  <c r="M29" i="1"/>
  <c r="M25" i="1"/>
  <c r="M118" i="1"/>
  <c r="M114" i="1"/>
  <c r="M110" i="1"/>
  <c r="M106" i="1"/>
  <c r="M102" i="1"/>
  <c r="M98" i="1"/>
  <c r="M94" i="1"/>
  <c r="M90" i="1"/>
  <c r="M86" i="1"/>
  <c r="M82" i="1"/>
  <c r="M78" i="1"/>
  <c r="M74" i="1"/>
  <c r="M70" i="1"/>
  <c r="M66" i="1"/>
  <c r="M62" i="1"/>
  <c r="M58" i="1"/>
  <c r="M54" i="1"/>
  <c r="M50" i="1"/>
  <c r="M46" i="1"/>
  <c r="M42" i="1"/>
  <c r="M38" i="1"/>
  <c r="M34" i="1"/>
  <c r="M30" i="1"/>
  <c r="M26" i="1"/>
  <c r="M22" i="1"/>
  <c r="C5" i="1"/>
  <c r="M117" i="1"/>
  <c r="M115" i="1"/>
  <c r="N115" i="1" s="1"/>
  <c r="C115" i="6" s="1"/>
  <c r="M111" i="1"/>
  <c r="M107" i="1"/>
  <c r="M103" i="1"/>
  <c r="M99" i="1"/>
  <c r="M95" i="1"/>
  <c r="M91" i="1"/>
  <c r="M87" i="1"/>
  <c r="M83" i="1"/>
  <c r="M79" i="1"/>
  <c r="M75" i="1"/>
  <c r="M71" i="1"/>
  <c r="M67" i="1"/>
  <c r="M63" i="1"/>
  <c r="M59" i="1"/>
  <c r="M55" i="1"/>
  <c r="M51" i="1"/>
  <c r="M47" i="1"/>
  <c r="M43" i="1"/>
  <c r="M39" i="1"/>
  <c r="M35" i="1"/>
  <c r="M31" i="1"/>
  <c r="M27" i="1"/>
  <c r="M23" i="1"/>
  <c r="M116" i="1"/>
  <c r="M112" i="1"/>
  <c r="M108" i="1"/>
  <c r="M104" i="1"/>
  <c r="M100" i="1"/>
  <c r="M96" i="1"/>
  <c r="M92" i="1"/>
  <c r="M88" i="1"/>
  <c r="M84" i="1"/>
  <c r="M80" i="1"/>
  <c r="M76" i="1"/>
  <c r="M72" i="1"/>
  <c r="M68" i="1"/>
  <c r="M64" i="1"/>
  <c r="M60" i="1"/>
  <c r="M56" i="1"/>
  <c r="M52" i="1"/>
  <c r="M48" i="1"/>
  <c r="M44" i="1"/>
  <c r="M40" i="1"/>
  <c r="M36" i="1"/>
  <c r="M32" i="1"/>
  <c r="M28" i="1"/>
  <c r="M24" i="1"/>
  <c r="J36" i="7"/>
  <c r="J44" i="7"/>
  <c r="J52" i="7"/>
  <c r="J60" i="7"/>
  <c r="J68" i="7"/>
  <c r="J88" i="7"/>
  <c r="J104" i="7"/>
  <c r="J15" i="7"/>
  <c r="J23" i="7"/>
  <c r="J31" i="7"/>
  <c r="J39" i="7"/>
  <c r="J47" i="7"/>
  <c r="J63" i="7"/>
  <c r="L115" i="1"/>
  <c r="G12" i="7"/>
  <c r="H12" i="7" s="1"/>
  <c r="J12" i="7" s="1"/>
  <c r="J28" i="7"/>
  <c r="G28" i="1"/>
  <c r="G36" i="1"/>
  <c r="G44" i="1"/>
  <c r="G52" i="1"/>
  <c r="G60" i="1"/>
  <c r="G68" i="1"/>
  <c r="G76" i="1"/>
  <c r="G84" i="1"/>
  <c r="G92" i="1"/>
  <c r="G100" i="1"/>
  <c r="G109" i="1"/>
  <c r="G117" i="1"/>
  <c r="G27" i="1"/>
  <c r="G35" i="1"/>
  <c r="G43" i="1"/>
  <c r="G51" i="1"/>
  <c r="G59" i="1"/>
  <c r="G67" i="1"/>
  <c r="G75" i="1"/>
  <c r="G83" i="1"/>
  <c r="G91" i="1"/>
  <c r="G99" i="1"/>
  <c r="G108" i="1"/>
  <c r="G116" i="1"/>
  <c r="G26" i="1"/>
  <c r="G34" i="1"/>
  <c r="G46" i="1"/>
  <c r="G54" i="1"/>
  <c r="G62" i="1"/>
  <c r="G70" i="1"/>
  <c r="G78" i="1"/>
  <c r="G86" i="1"/>
  <c r="G94" i="1"/>
  <c r="G103" i="1"/>
  <c r="G111" i="1"/>
  <c r="G102" i="1"/>
  <c r="G29" i="1"/>
  <c r="G37" i="1"/>
  <c r="G45" i="1"/>
  <c r="G53" i="1"/>
  <c r="G61" i="1"/>
  <c r="G69" i="1"/>
  <c r="G77" i="1"/>
  <c r="G85" i="1"/>
  <c r="G93" i="1"/>
  <c r="G101" i="1"/>
  <c r="G110" i="1"/>
  <c r="G24" i="1"/>
  <c r="G32" i="1"/>
  <c r="G40" i="1"/>
  <c r="G48" i="1"/>
  <c r="G56" i="1"/>
  <c r="G64" i="1"/>
  <c r="G72" i="1"/>
  <c r="G80" i="1"/>
  <c r="G88" i="1"/>
  <c r="G96" i="1"/>
  <c r="G105" i="1"/>
  <c r="G113" i="1"/>
  <c r="G23" i="1"/>
  <c r="G31" i="1"/>
  <c r="G39" i="1"/>
  <c r="G47" i="1"/>
  <c r="G55" i="1"/>
  <c r="G63" i="1"/>
  <c r="G71" i="1"/>
  <c r="G79" i="1"/>
  <c r="G87" i="1"/>
  <c r="G95" i="1"/>
  <c r="G104" i="1"/>
  <c r="G112" i="1"/>
  <c r="G22" i="1"/>
  <c r="G30" i="1"/>
  <c r="G42" i="1"/>
  <c r="G50" i="1"/>
  <c r="G58" i="1"/>
  <c r="G66" i="1"/>
  <c r="G74" i="1"/>
  <c r="G82" i="1"/>
  <c r="G90" i="1"/>
  <c r="G98" i="1"/>
  <c r="G107" i="1"/>
  <c r="G115" i="1"/>
  <c r="G25" i="1"/>
  <c r="G33" i="1"/>
  <c r="G41" i="1"/>
  <c r="G49" i="1"/>
  <c r="G57" i="1"/>
  <c r="G65" i="1"/>
  <c r="G73" i="1"/>
  <c r="G81" i="1"/>
  <c r="G89" i="1"/>
  <c r="G97" i="1"/>
  <c r="G106" i="1"/>
  <c r="G114" i="1"/>
  <c r="K61" i="9"/>
  <c r="M61" i="9" s="1"/>
  <c r="P61" i="9" s="1"/>
  <c r="K19" i="9"/>
  <c r="M19" i="9" s="1"/>
  <c r="P19" i="9" s="1"/>
  <c r="K26" i="9"/>
  <c r="M26" i="9" s="1"/>
  <c r="P26" i="9" s="1"/>
  <c r="K35" i="9"/>
  <c r="M35" i="9" s="1"/>
  <c r="P35" i="9" s="1"/>
  <c r="K77" i="9"/>
  <c r="M77" i="9" s="1"/>
  <c r="P77" i="9" s="1"/>
  <c r="K45" i="9"/>
  <c r="M45" i="9" s="1"/>
  <c r="P45" i="9" s="1"/>
  <c r="K93" i="9"/>
  <c r="M93" i="9" s="1"/>
  <c r="P93" i="9" s="1"/>
  <c r="K101" i="9"/>
  <c r="M101" i="9" s="1"/>
  <c r="P101" i="9" s="1"/>
  <c r="K27" i="9"/>
  <c r="M27" i="9" s="1"/>
  <c r="P27" i="9" s="1"/>
  <c r="K53" i="9"/>
  <c r="M53" i="9" s="1"/>
  <c r="P53" i="9" s="1"/>
  <c r="E59" i="8"/>
  <c r="F59" i="8"/>
  <c r="E51" i="8"/>
  <c r="F51" i="8"/>
  <c r="E43" i="8"/>
  <c r="F43" i="8"/>
  <c r="E35" i="8"/>
  <c r="F35" i="8"/>
  <c r="E27" i="8"/>
  <c r="F27" i="8"/>
  <c r="E19" i="8"/>
  <c r="F19" i="8"/>
  <c r="D108" i="8"/>
  <c r="D104" i="8"/>
  <c r="D100" i="8"/>
  <c r="D96" i="8"/>
  <c r="D92" i="8"/>
  <c r="D88" i="8"/>
  <c r="D84" i="8"/>
  <c r="D80" i="8"/>
  <c r="D76" i="8"/>
  <c r="D72" i="8"/>
  <c r="D68" i="8"/>
  <c r="D105" i="8"/>
  <c r="D101" i="8"/>
  <c r="D97" i="8"/>
  <c r="D93" i="8"/>
  <c r="D89" i="8"/>
  <c r="D85" i="8"/>
  <c r="D81" i="8"/>
  <c r="D77" i="8"/>
  <c r="D73" i="8"/>
  <c r="D69" i="8"/>
  <c r="D66" i="8"/>
  <c r="D62" i="8"/>
  <c r="D58" i="8"/>
  <c r="D54" i="8"/>
  <c r="D50" i="8"/>
  <c r="D46" i="8"/>
  <c r="D42" i="8"/>
  <c r="D38" i="8"/>
  <c r="D34" i="8"/>
  <c r="D30" i="8"/>
  <c r="D26" i="8"/>
  <c r="D22" i="8"/>
  <c r="D18" i="8"/>
  <c r="D14" i="8"/>
  <c r="D65" i="8"/>
  <c r="D61" i="8"/>
  <c r="D57" i="8"/>
  <c r="D53" i="8"/>
  <c r="D49" i="8"/>
  <c r="D45" i="8"/>
  <c r="D41" i="8"/>
  <c r="D37" i="8"/>
  <c r="D33" i="8"/>
  <c r="D29" i="8"/>
  <c r="D25" i="8"/>
  <c r="D21" i="8"/>
  <c r="D17" i="8"/>
  <c r="D13" i="8"/>
  <c r="D106" i="8"/>
  <c r="D102" i="8"/>
  <c r="D98" i="8"/>
  <c r="D94" i="8"/>
  <c r="D90" i="8"/>
  <c r="D86" i="8"/>
  <c r="D82" i="8"/>
  <c r="D78" i="8"/>
  <c r="D74" i="8"/>
  <c r="D70" i="8"/>
  <c r="D107" i="8"/>
  <c r="D103" i="8"/>
  <c r="D99" i="8"/>
  <c r="D95" i="8"/>
  <c r="D91" i="8"/>
  <c r="D87" i="8"/>
  <c r="D83" i="8"/>
  <c r="D79" i="8"/>
  <c r="D75" i="8"/>
  <c r="D71" i="8"/>
  <c r="D67" i="8"/>
  <c r="D64" i="8"/>
  <c r="D60" i="8"/>
  <c r="D56" i="8"/>
  <c r="D52" i="8"/>
  <c r="D48" i="8"/>
  <c r="D44" i="8"/>
  <c r="D40" i="8"/>
  <c r="D36" i="8"/>
  <c r="D32" i="8"/>
  <c r="D28" i="8"/>
  <c r="D24" i="8"/>
  <c r="D20" i="8"/>
  <c r="D16" i="8"/>
  <c r="D12" i="8"/>
  <c r="D63" i="8"/>
  <c r="D59" i="8"/>
  <c r="D55" i="8"/>
  <c r="D51" i="8"/>
  <c r="D47" i="8"/>
  <c r="D43" i="8"/>
  <c r="D39" i="8"/>
  <c r="D35" i="8"/>
  <c r="D31" i="8"/>
  <c r="D27" i="8"/>
  <c r="D23" i="8"/>
  <c r="D19" i="8"/>
  <c r="D15" i="8"/>
  <c r="F60" i="8"/>
  <c r="E60" i="8"/>
  <c r="F52" i="8"/>
  <c r="E52" i="8"/>
  <c r="F44" i="8"/>
  <c r="E44" i="8"/>
  <c r="F36" i="8"/>
  <c r="E36" i="8"/>
  <c r="F28" i="8"/>
  <c r="E28" i="8"/>
  <c r="F20" i="8"/>
  <c r="E20" i="8"/>
  <c r="F12" i="8"/>
  <c r="E12" i="8"/>
  <c r="F72" i="8"/>
  <c r="E72" i="8"/>
  <c r="F80" i="8"/>
  <c r="E80" i="8"/>
  <c r="F88" i="8"/>
  <c r="E88" i="8"/>
  <c r="F96" i="8"/>
  <c r="E96" i="8"/>
  <c r="F104" i="8"/>
  <c r="E104" i="8"/>
  <c r="E69" i="8"/>
  <c r="F69" i="8"/>
  <c r="E77" i="8"/>
  <c r="F77" i="8"/>
  <c r="E85" i="8"/>
  <c r="F85" i="8"/>
  <c r="E93" i="8"/>
  <c r="F93" i="8"/>
  <c r="E101" i="8"/>
  <c r="F101" i="8"/>
  <c r="F65" i="8"/>
  <c r="E65" i="8"/>
  <c r="F57" i="8"/>
  <c r="E57" i="8"/>
  <c r="F49" i="8"/>
  <c r="E49" i="8"/>
  <c r="F41" i="8"/>
  <c r="E41" i="8"/>
  <c r="F33" i="8"/>
  <c r="E33" i="8"/>
  <c r="F25" i="8"/>
  <c r="E25" i="8"/>
  <c r="F17" i="8"/>
  <c r="E17" i="8"/>
  <c r="E66" i="8"/>
  <c r="F66" i="8"/>
  <c r="E58" i="8"/>
  <c r="F58" i="8"/>
  <c r="E50" i="8"/>
  <c r="F50" i="8"/>
  <c r="E42" i="8"/>
  <c r="F42" i="8"/>
  <c r="E34" i="8"/>
  <c r="F34" i="8"/>
  <c r="E26" i="8"/>
  <c r="F26" i="8"/>
  <c r="E18" i="8"/>
  <c r="F18" i="8"/>
  <c r="E74" i="8"/>
  <c r="F74" i="8"/>
  <c r="E82" i="8"/>
  <c r="F82" i="8"/>
  <c r="E90" i="8"/>
  <c r="F90" i="8"/>
  <c r="E98" i="8"/>
  <c r="F98" i="8"/>
  <c r="E106" i="8"/>
  <c r="F106" i="8"/>
  <c r="F71" i="8"/>
  <c r="E71" i="8"/>
  <c r="F79" i="8"/>
  <c r="E79" i="8"/>
  <c r="F87" i="8"/>
  <c r="E87" i="8"/>
  <c r="F95" i="8"/>
  <c r="E95" i="8"/>
  <c r="F103" i="8"/>
  <c r="E103" i="8"/>
  <c r="I105" i="8"/>
  <c r="I101" i="8"/>
  <c r="I97" i="8"/>
  <c r="I93" i="8"/>
  <c r="I89" i="8"/>
  <c r="I85" i="8"/>
  <c r="I81" i="8"/>
  <c r="I77" i="8"/>
  <c r="I73" i="8"/>
  <c r="I69" i="8"/>
  <c r="I108" i="8"/>
  <c r="I104" i="8"/>
  <c r="I100" i="8"/>
  <c r="I96" i="8"/>
  <c r="I92" i="8"/>
  <c r="I88" i="8"/>
  <c r="I84" i="8"/>
  <c r="I80" i="8"/>
  <c r="I76" i="8"/>
  <c r="I72" i="8"/>
  <c r="I68" i="8"/>
  <c r="I65" i="8"/>
  <c r="I61" i="8"/>
  <c r="I57" i="8"/>
  <c r="I53" i="8"/>
  <c r="I49" i="8"/>
  <c r="I45" i="8"/>
  <c r="I41" i="8"/>
  <c r="I37" i="8"/>
  <c r="I33" i="8"/>
  <c r="I29" i="8"/>
  <c r="I25" i="8"/>
  <c r="I21" i="8"/>
  <c r="I17" i="8"/>
  <c r="I13" i="8"/>
  <c r="I62" i="8"/>
  <c r="I58" i="8"/>
  <c r="I54" i="8"/>
  <c r="I50" i="8"/>
  <c r="I46" i="8"/>
  <c r="I42" i="8"/>
  <c r="I38" i="8"/>
  <c r="I34" i="8"/>
  <c r="I30" i="8"/>
  <c r="I26" i="8"/>
  <c r="I22" i="8"/>
  <c r="I18" i="8"/>
  <c r="I14" i="8"/>
  <c r="I107" i="8"/>
  <c r="I103" i="8"/>
  <c r="I99" i="8"/>
  <c r="I95" i="8"/>
  <c r="I91" i="8"/>
  <c r="I87" i="8"/>
  <c r="I83" i="8"/>
  <c r="I79" i="8"/>
  <c r="I75" i="8"/>
  <c r="I71" i="8"/>
  <c r="I67" i="8"/>
  <c r="I106" i="8"/>
  <c r="I102" i="8"/>
  <c r="I98" i="8"/>
  <c r="I94" i="8"/>
  <c r="I90" i="8"/>
  <c r="I86" i="8"/>
  <c r="I82" i="8"/>
  <c r="I78" i="8"/>
  <c r="I74" i="8"/>
  <c r="I70" i="8"/>
  <c r="I66" i="8"/>
  <c r="I63" i="8"/>
  <c r="I59" i="8"/>
  <c r="I55" i="8"/>
  <c r="I51" i="8"/>
  <c r="I47" i="8"/>
  <c r="I43" i="8"/>
  <c r="I39" i="8"/>
  <c r="I35" i="8"/>
  <c r="I31" i="8"/>
  <c r="I27" i="8"/>
  <c r="I23" i="8"/>
  <c r="I19" i="8"/>
  <c r="I15" i="8"/>
  <c r="I64" i="8"/>
  <c r="I60" i="8"/>
  <c r="I56" i="8"/>
  <c r="I52" i="8"/>
  <c r="I48" i="8"/>
  <c r="I44" i="8"/>
  <c r="I40" i="8"/>
  <c r="I36" i="8"/>
  <c r="I32" i="8"/>
  <c r="I28" i="8"/>
  <c r="I24" i="8"/>
  <c r="I20" i="8"/>
  <c r="I16" i="8"/>
  <c r="I12" i="8"/>
  <c r="F22" i="10"/>
  <c r="E22" i="10"/>
  <c r="F14" i="10"/>
  <c r="E14" i="10"/>
  <c r="E27" i="10"/>
  <c r="F27" i="10"/>
  <c r="E35" i="10"/>
  <c r="F35" i="10"/>
  <c r="E43" i="10"/>
  <c r="F43" i="10"/>
  <c r="E51" i="10"/>
  <c r="F51" i="10"/>
  <c r="E59" i="10"/>
  <c r="F59" i="10"/>
  <c r="F28" i="10"/>
  <c r="E28" i="10"/>
  <c r="F36" i="10"/>
  <c r="E36" i="10"/>
  <c r="F44" i="10"/>
  <c r="E44" i="10"/>
  <c r="F52" i="10"/>
  <c r="E52" i="10"/>
  <c r="F60" i="10"/>
  <c r="E60" i="10"/>
  <c r="E68" i="10"/>
  <c r="F68" i="10"/>
  <c r="E76" i="10"/>
  <c r="F76" i="10"/>
  <c r="E84" i="10"/>
  <c r="F84" i="10"/>
  <c r="E92" i="10"/>
  <c r="F92" i="10"/>
  <c r="E100" i="10"/>
  <c r="F100" i="10"/>
  <c r="E108" i="10"/>
  <c r="F108" i="10"/>
  <c r="F73" i="10"/>
  <c r="E73" i="10"/>
  <c r="F81" i="10"/>
  <c r="E81" i="10"/>
  <c r="F89" i="10"/>
  <c r="E89" i="10"/>
  <c r="F97" i="10"/>
  <c r="E97" i="10"/>
  <c r="F105" i="10"/>
  <c r="E105" i="10"/>
  <c r="E17" i="10"/>
  <c r="F17" i="10"/>
  <c r="I105" i="10"/>
  <c r="I101" i="10"/>
  <c r="I97" i="10"/>
  <c r="I93" i="10"/>
  <c r="I89" i="10"/>
  <c r="I85" i="10"/>
  <c r="I81" i="10"/>
  <c r="I77" i="10"/>
  <c r="I73" i="10"/>
  <c r="I69" i="10"/>
  <c r="I108" i="10"/>
  <c r="I104" i="10"/>
  <c r="I100" i="10"/>
  <c r="I96" i="10"/>
  <c r="I92" i="10"/>
  <c r="I88" i="10"/>
  <c r="I84" i="10"/>
  <c r="I80" i="10"/>
  <c r="I76" i="10"/>
  <c r="I72" i="10"/>
  <c r="I68" i="10"/>
  <c r="I64" i="10"/>
  <c r="I60" i="10"/>
  <c r="I56" i="10"/>
  <c r="I52" i="10"/>
  <c r="I48" i="10"/>
  <c r="I44" i="10"/>
  <c r="I40" i="10"/>
  <c r="I36" i="10"/>
  <c r="I32" i="10"/>
  <c r="I28" i="10"/>
  <c r="I63" i="10"/>
  <c r="I59" i="10"/>
  <c r="I55" i="10"/>
  <c r="I51" i="10"/>
  <c r="I47" i="10"/>
  <c r="I43" i="10"/>
  <c r="I39" i="10"/>
  <c r="I35" i="10"/>
  <c r="I31" i="10"/>
  <c r="I27" i="10"/>
  <c r="I22" i="10"/>
  <c r="I18" i="10"/>
  <c r="I14" i="10"/>
  <c r="I26" i="10"/>
  <c r="I23" i="10"/>
  <c r="I19" i="10"/>
  <c r="I15" i="10"/>
  <c r="I107" i="10"/>
  <c r="I103" i="10"/>
  <c r="I99" i="10"/>
  <c r="I95" i="10"/>
  <c r="I91" i="10"/>
  <c r="I87" i="10"/>
  <c r="I83" i="10"/>
  <c r="I79" i="10"/>
  <c r="I75" i="10"/>
  <c r="I71" i="10"/>
  <c r="I67" i="10"/>
  <c r="I106" i="10"/>
  <c r="I102" i="10"/>
  <c r="I98" i="10"/>
  <c r="I94" i="10"/>
  <c r="I90" i="10"/>
  <c r="I86" i="10"/>
  <c r="I82" i="10"/>
  <c r="I78" i="10"/>
  <c r="I74" i="10"/>
  <c r="I70" i="10"/>
  <c r="I66" i="10"/>
  <c r="I62" i="10"/>
  <c r="I58" i="10"/>
  <c r="I54" i="10"/>
  <c r="I50" i="10"/>
  <c r="I46" i="10"/>
  <c r="I42" i="10"/>
  <c r="I38" i="10"/>
  <c r="I34" i="10"/>
  <c r="I30" i="10"/>
  <c r="I65" i="10"/>
  <c r="I61" i="10"/>
  <c r="I57" i="10"/>
  <c r="I53" i="10"/>
  <c r="I49" i="10"/>
  <c r="I45" i="10"/>
  <c r="I41" i="10"/>
  <c r="I37" i="10"/>
  <c r="I33" i="10"/>
  <c r="I29" i="10"/>
  <c r="I25" i="10"/>
  <c r="I20" i="10"/>
  <c r="I16" i="10"/>
  <c r="I12" i="10"/>
  <c r="I24" i="10"/>
  <c r="I21" i="10"/>
  <c r="I17" i="10"/>
  <c r="I13" i="10"/>
  <c r="E20" i="10"/>
  <c r="F20" i="10"/>
  <c r="E12" i="10"/>
  <c r="F12" i="10"/>
  <c r="E29" i="10"/>
  <c r="F29" i="10"/>
  <c r="F37" i="10"/>
  <c r="E37" i="10"/>
  <c r="F45" i="10"/>
  <c r="E45" i="10"/>
  <c r="F53" i="10"/>
  <c r="E53" i="10"/>
  <c r="F61" i="10"/>
  <c r="E61" i="10"/>
  <c r="E30" i="10"/>
  <c r="F30" i="10"/>
  <c r="E38" i="10"/>
  <c r="F38" i="10"/>
  <c r="E46" i="10"/>
  <c r="F46" i="10"/>
  <c r="E54" i="10"/>
  <c r="F54" i="10"/>
  <c r="E62" i="10"/>
  <c r="F62" i="10"/>
  <c r="F70" i="10"/>
  <c r="E70" i="10"/>
  <c r="F78" i="10"/>
  <c r="E78" i="10"/>
  <c r="F86" i="10"/>
  <c r="E86" i="10"/>
  <c r="F94" i="10"/>
  <c r="E94" i="10"/>
  <c r="F102" i="10"/>
  <c r="E102" i="10"/>
  <c r="E67" i="10"/>
  <c r="F67" i="10"/>
  <c r="E75" i="10"/>
  <c r="F75" i="10"/>
  <c r="E83" i="10"/>
  <c r="F83" i="10"/>
  <c r="E91" i="10"/>
  <c r="F91" i="10"/>
  <c r="E99" i="10"/>
  <c r="F99" i="10"/>
  <c r="E107" i="10"/>
  <c r="F107" i="10"/>
  <c r="F15" i="10"/>
  <c r="E15" i="10"/>
  <c r="E23" i="10"/>
  <c r="F23" i="10"/>
  <c r="E63" i="8"/>
  <c r="F63" i="8"/>
  <c r="E55" i="8"/>
  <c r="F55" i="8"/>
  <c r="E47" i="8"/>
  <c r="F47" i="8"/>
  <c r="E39" i="8"/>
  <c r="F39" i="8"/>
  <c r="E31" i="8"/>
  <c r="F31" i="8"/>
  <c r="E23" i="8"/>
  <c r="F23" i="8"/>
  <c r="E15" i="8"/>
  <c r="F15" i="8"/>
  <c r="F64" i="8"/>
  <c r="E64" i="8"/>
  <c r="F56" i="8"/>
  <c r="E56" i="8"/>
  <c r="F48" i="8"/>
  <c r="E48" i="8"/>
  <c r="F40" i="8"/>
  <c r="E40" i="8"/>
  <c r="F32" i="8"/>
  <c r="E32" i="8"/>
  <c r="F24" i="8"/>
  <c r="E24" i="8"/>
  <c r="F16" i="8"/>
  <c r="E16" i="8"/>
  <c r="F68" i="8"/>
  <c r="E68" i="8"/>
  <c r="F76" i="8"/>
  <c r="E76" i="8"/>
  <c r="F84" i="8"/>
  <c r="E84" i="8"/>
  <c r="F92" i="8"/>
  <c r="E92" i="8"/>
  <c r="F100" i="8"/>
  <c r="E100" i="8"/>
  <c r="F108" i="8"/>
  <c r="E108" i="8"/>
  <c r="E73" i="8"/>
  <c r="F73" i="8"/>
  <c r="E81" i="8"/>
  <c r="F81" i="8"/>
  <c r="E89" i="8"/>
  <c r="F89" i="8"/>
  <c r="E97" i="8"/>
  <c r="F97" i="8"/>
  <c r="E105" i="8"/>
  <c r="F105" i="8"/>
  <c r="F61" i="8"/>
  <c r="E61" i="8"/>
  <c r="F53" i="8"/>
  <c r="E53" i="8"/>
  <c r="F45" i="8"/>
  <c r="E45" i="8"/>
  <c r="F37" i="8"/>
  <c r="E37" i="8"/>
  <c r="F29" i="8"/>
  <c r="E29" i="8"/>
  <c r="F21" i="8"/>
  <c r="E21" i="8"/>
  <c r="F13" i="8"/>
  <c r="E13" i="8"/>
  <c r="F62" i="8"/>
  <c r="E62" i="8"/>
  <c r="E54" i="8"/>
  <c r="F54" i="8"/>
  <c r="E46" i="8"/>
  <c r="F46" i="8"/>
  <c r="E38" i="8"/>
  <c r="F38" i="8"/>
  <c r="E30" i="8"/>
  <c r="F30" i="8"/>
  <c r="E22" i="8"/>
  <c r="F22" i="8"/>
  <c r="E14" i="8"/>
  <c r="F14" i="8"/>
  <c r="E70" i="8"/>
  <c r="F70" i="8"/>
  <c r="E78" i="8"/>
  <c r="F78" i="8"/>
  <c r="E86" i="8"/>
  <c r="F86" i="8"/>
  <c r="E94" i="8"/>
  <c r="F94" i="8"/>
  <c r="E102" i="8"/>
  <c r="F102" i="8"/>
  <c r="F67" i="8"/>
  <c r="E67" i="8"/>
  <c r="F75" i="8"/>
  <c r="E75" i="8"/>
  <c r="F83" i="8"/>
  <c r="E83" i="8"/>
  <c r="F91" i="8"/>
  <c r="E91" i="8"/>
  <c r="F99" i="8"/>
  <c r="E99" i="8"/>
  <c r="F107" i="8"/>
  <c r="E107" i="8"/>
  <c r="E26" i="10"/>
  <c r="F26" i="10"/>
  <c r="F18" i="10"/>
  <c r="E18" i="10"/>
  <c r="E31" i="10"/>
  <c r="F31" i="10"/>
  <c r="E39" i="10"/>
  <c r="F39" i="10"/>
  <c r="E47" i="10"/>
  <c r="F47" i="10"/>
  <c r="E55" i="10"/>
  <c r="F55" i="10"/>
  <c r="E63" i="10"/>
  <c r="F63" i="10"/>
  <c r="F32" i="10"/>
  <c r="E32" i="10"/>
  <c r="F40" i="10"/>
  <c r="E40" i="10"/>
  <c r="F48" i="10"/>
  <c r="E48" i="10"/>
  <c r="F56" i="10"/>
  <c r="E56" i="10"/>
  <c r="F64" i="10"/>
  <c r="E64" i="10"/>
  <c r="E72" i="10"/>
  <c r="F72" i="10"/>
  <c r="E80" i="10"/>
  <c r="F80" i="10"/>
  <c r="E88" i="10"/>
  <c r="F88" i="10"/>
  <c r="E96" i="10"/>
  <c r="F96" i="10"/>
  <c r="E104" i="10"/>
  <c r="F104" i="10"/>
  <c r="F69" i="10"/>
  <c r="E69" i="10"/>
  <c r="F77" i="10"/>
  <c r="E77" i="10"/>
  <c r="F85" i="10"/>
  <c r="E85" i="10"/>
  <c r="F93" i="10"/>
  <c r="E93" i="10"/>
  <c r="F101" i="10"/>
  <c r="E101" i="10"/>
  <c r="E21" i="10"/>
  <c r="F21" i="10"/>
  <c r="E13" i="10"/>
  <c r="F13" i="10"/>
  <c r="F24" i="10"/>
  <c r="E24" i="10"/>
  <c r="E16" i="10"/>
  <c r="F16" i="10"/>
  <c r="E25" i="10"/>
  <c r="F25" i="10"/>
  <c r="F33" i="10"/>
  <c r="E33" i="10"/>
  <c r="F41" i="10"/>
  <c r="E41" i="10"/>
  <c r="F49" i="10"/>
  <c r="E49" i="10"/>
  <c r="F57" i="10"/>
  <c r="E57" i="10"/>
  <c r="F65" i="10"/>
  <c r="E65" i="10"/>
  <c r="E34" i="10"/>
  <c r="F34" i="10"/>
  <c r="E42" i="10"/>
  <c r="F42" i="10"/>
  <c r="E50" i="10"/>
  <c r="F50" i="10"/>
  <c r="E58" i="10"/>
  <c r="F58" i="10"/>
  <c r="E66" i="10"/>
  <c r="F66" i="10"/>
  <c r="F74" i="10"/>
  <c r="E74" i="10"/>
  <c r="F82" i="10"/>
  <c r="E82" i="10"/>
  <c r="F90" i="10"/>
  <c r="E90" i="10"/>
  <c r="F98" i="10"/>
  <c r="E98" i="10"/>
  <c r="F106" i="10"/>
  <c r="E106" i="10"/>
  <c r="E71" i="10"/>
  <c r="F71" i="10"/>
  <c r="E79" i="10"/>
  <c r="F79" i="10"/>
  <c r="E87" i="10"/>
  <c r="F87" i="10"/>
  <c r="E95" i="10"/>
  <c r="F95" i="10"/>
  <c r="E103" i="10"/>
  <c r="F103" i="10"/>
  <c r="F19" i="10"/>
  <c r="E19" i="10"/>
  <c r="D108" i="10"/>
  <c r="D104" i="10"/>
  <c r="D100" i="10"/>
  <c r="D96" i="10"/>
  <c r="D92" i="10"/>
  <c r="D88" i="10"/>
  <c r="D84" i="10"/>
  <c r="D80" i="10"/>
  <c r="D76" i="10"/>
  <c r="D72" i="10"/>
  <c r="D68" i="10"/>
  <c r="D105" i="10"/>
  <c r="D101" i="10"/>
  <c r="D97" i="10"/>
  <c r="D93" i="10"/>
  <c r="D89" i="10"/>
  <c r="D85" i="10"/>
  <c r="D81" i="10"/>
  <c r="D77" i="10"/>
  <c r="D73" i="10"/>
  <c r="D69" i="10"/>
  <c r="D65" i="10"/>
  <c r="D61" i="10"/>
  <c r="D57" i="10"/>
  <c r="D53" i="10"/>
  <c r="D49" i="10"/>
  <c r="D45" i="10"/>
  <c r="D41" i="10"/>
  <c r="D37" i="10"/>
  <c r="D33" i="10"/>
  <c r="D29" i="10"/>
  <c r="D64" i="10"/>
  <c r="D60" i="10"/>
  <c r="D56" i="10"/>
  <c r="D52" i="10"/>
  <c r="D48" i="10"/>
  <c r="D44" i="10"/>
  <c r="D40" i="10"/>
  <c r="D36" i="10"/>
  <c r="D32" i="10"/>
  <c r="D28" i="10"/>
  <c r="D24" i="10"/>
  <c r="D21" i="10"/>
  <c r="D17" i="10"/>
  <c r="D13" i="10"/>
  <c r="D25" i="10"/>
  <c r="D20" i="10"/>
  <c r="D16" i="10"/>
  <c r="D12" i="10"/>
  <c r="D106" i="10"/>
  <c r="D102" i="10"/>
  <c r="D98" i="10"/>
  <c r="D94" i="10"/>
  <c r="D90" i="10"/>
  <c r="D86" i="10"/>
  <c r="D82" i="10"/>
  <c r="D78" i="10"/>
  <c r="D74" i="10"/>
  <c r="D70" i="10"/>
  <c r="D107" i="10"/>
  <c r="D103" i="10"/>
  <c r="D99" i="10"/>
  <c r="D95" i="10"/>
  <c r="D91" i="10"/>
  <c r="D87" i="10"/>
  <c r="D83" i="10"/>
  <c r="D79" i="10"/>
  <c r="D75" i="10"/>
  <c r="D71" i="10"/>
  <c r="D67" i="10"/>
  <c r="D63" i="10"/>
  <c r="D59" i="10"/>
  <c r="D55" i="10"/>
  <c r="D51" i="10"/>
  <c r="D47" i="10"/>
  <c r="D43" i="10"/>
  <c r="D39" i="10"/>
  <c r="D35" i="10"/>
  <c r="D31" i="10"/>
  <c r="D66" i="10"/>
  <c r="D62" i="10"/>
  <c r="D58" i="10"/>
  <c r="D54" i="10"/>
  <c r="D50" i="10"/>
  <c r="D46" i="10"/>
  <c r="D42" i="10"/>
  <c r="D38" i="10"/>
  <c r="D34" i="10"/>
  <c r="D30" i="10"/>
  <c r="D26" i="10"/>
  <c r="D23" i="10"/>
  <c r="D19" i="10"/>
  <c r="D15" i="10"/>
  <c r="D27" i="10"/>
  <c r="D22" i="10"/>
  <c r="D18" i="10"/>
  <c r="D14" i="10"/>
  <c r="K69" i="9"/>
  <c r="M69" i="9" s="1"/>
  <c r="P69" i="9" s="1"/>
  <c r="K85" i="9"/>
  <c r="M85" i="9" s="1"/>
  <c r="P85" i="9" s="1"/>
  <c r="K43" i="9"/>
  <c r="M43" i="9" s="1"/>
  <c r="P43" i="9" s="1"/>
  <c r="K34" i="9"/>
  <c r="M34" i="9" s="1"/>
  <c r="P34" i="9" s="1"/>
  <c r="K18" i="9"/>
  <c r="M18" i="9" s="1"/>
  <c r="P18" i="9" s="1"/>
  <c r="K51" i="9"/>
  <c r="M51" i="9" s="1"/>
  <c r="P51" i="9" s="1"/>
  <c r="K67" i="9"/>
  <c r="M67" i="9" s="1"/>
  <c r="P67" i="9" s="1"/>
  <c r="K83" i="9"/>
  <c r="M83" i="9" s="1"/>
  <c r="P83" i="9" s="1"/>
  <c r="K99" i="9"/>
  <c r="M99" i="9" s="1"/>
  <c r="P99" i="9" s="1"/>
  <c r="K44" i="9"/>
  <c r="M44" i="9" s="1"/>
  <c r="P44" i="9" s="1"/>
  <c r="K60" i="9"/>
  <c r="M60" i="9" s="1"/>
  <c r="P60" i="9" s="1"/>
  <c r="K76" i="9"/>
  <c r="M76" i="9" s="1"/>
  <c r="P76" i="9" s="1"/>
  <c r="K92" i="9"/>
  <c r="M92" i="9" s="1"/>
  <c r="P92" i="9" s="1"/>
  <c r="K108" i="9"/>
  <c r="M108" i="9" s="1"/>
  <c r="P108" i="9" s="1"/>
  <c r="K21" i="9"/>
  <c r="M21" i="9" s="1"/>
  <c r="P21" i="9" s="1"/>
  <c r="K31" i="9"/>
  <c r="M31" i="9" s="1"/>
  <c r="P31" i="9" s="1"/>
  <c r="K22" i="9"/>
  <c r="M22" i="9" s="1"/>
  <c r="P22" i="9" s="1"/>
  <c r="K48" i="9"/>
  <c r="M48" i="9" s="1"/>
  <c r="P48" i="9" s="1"/>
  <c r="K64" i="9"/>
  <c r="M64" i="9" s="1"/>
  <c r="P64" i="9" s="1"/>
  <c r="K80" i="9"/>
  <c r="M80" i="9" s="1"/>
  <c r="P80" i="9" s="1"/>
  <c r="K96" i="9"/>
  <c r="M96" i="9" s="1"/>
  <c r="P96" i="9" s="1"/>
  <c r="K33" i="9"/>
  <c r="M33" i="9" s="1"/>
  <c r="P33" i="9" s="1"/>
  <c r="K17" i="9"/>
  <c r="M17" i="9" s="1"/>
  <c r="P17" i="9" s="1"/>
  <c r="K37" i="9"/>
  <c r="M37" i="9" s="1"/>
  <c r="P37" i="9" s="1"/>
  <c r="K47" i="9"/>
  <c r="M47" i="9" s="1"/>
  <c r="P47" i="9" s="1"/>
  <c r="K63" i="9"/>
  <c r="M63" i="9" s="1"/>
  <c r="P63" i="9" s="1"/>
  <c r="K79" i="9"/>
  <c r="M79" i="9" s="1"/>
  <c r="P79" i="9" s="1"/>
  <c r="K95" i="9"/>
  <c r="M95" i="9" s="1"/>
  <c r="P95" i="9" s="1"/>
  <c r="K41" i="9"/>
  <c r="M41" i="9" s="1"/>
  <c r="P41" i="9" s="1"/>
  <c r="K57" i="9"/>
  <c r="M57" i="9" s="1"/>
  <c r="P57" i="9" s="1"/>
  <c r="K73" i="9"/>
  <c r="M73" i="9" s="1"/>
  <c r="P73" i="9" s="1"/>
  <c r="K89" i="9"/>
  <c r="M89" i="9" s="1"/>
  <c r="P89" i="9" s="1"/>
  <c r="K105" i="9"/>
  <c r="M105" i="9" s="1"/>
  <c r="P105" i="9" s="1"/>
  <c r="K32" i="9"/>
  <c r="M32" i="9" s="1"/>
  <c r="P32" i="9" s="1"/>
  <c r="K24" i="9"/>
  <c r="M24" i="9" s="1"/>
  <c r="P24" i="9" s="1"/>
  <c r="K16" i="9"/>
  <c r="M16" i="9" s="1"/>
  <c r="P16" i="9" s="1"/>
  <c r="K12" i="9"/>
  <c r="M12" i="9" s="1"/>
  <c r="P12" i="9" s="1"/>
  <c r="K42" i="9"/>
  <c r="M42" i="9" s="1"/>
  <c r="P42" i="9" s="1"/>
  <c r="K50" i="9"/>
  <c r="M50" i="9" s="1"/>
  <c r="P50" i="9" s="1"/>
  <c r="K58" i="9"/>
  <c r="M58" i="9" s="1"/>
  <c r="P58" i="9" s="1"/>
  <c r="K66" i="9"/>
  <c r="M66" i="9" s="1"/>
  <c r="P66" i="9" s="1"/>
  <c r="K74" i="9"/>
  <c r="M74" i="9" s="1"/>
  <c r="P74" i="9" s="1"/>
  <c r="K82" i="9"/>
  <c r="M82" i="9" s="1"/>
  <c r="P82" i="9" s="1"/>
  <c r="K90" i="9"/>
  <c r="M90" i="9" s="1"/>
  <c r="P90" i="9" s="1"/>
  <c r="K98" i="9"/>
  <c r="M98" i="9" s="1"/>
  <c r="P98" i="9" s="1"/>
  <c r="K106" i="9"/>
  <c r="M106" i="9" s="1"/>
  <c r="P106" i="9" s="1"/>
  <c r="K59" i="9"/>
  <c r="M59" i="9" s="1"/>
  <c r="P59" i="9" s="1"/>
  <c r="K75" i="9"/>
  <c r="M75" i="9" s="1"/>
  <c r="P75" i="9" s="1"/>
  <c r="K91" i="9"/>
  <c r="M91" i="9" s="1"/>
  <c r="P91" i="9" s="1"/>
  <c r="K107" i="9"/>
  <c r="M107" i="9" s="1"/>
  <c r="P107" i="9" s="1"/>
  <c r="K52" i="9"/>
  <c r="M52" i="9" s="1"/>
  <c r="P52" i="9" s="1"/>
  <c r="K68" i="9"/>
  <c r="M68" i="9" s="1"/>
  <c r="P68" i="9" s="1"/>
  <c r="K84" i="9"/>
  <c r="M84" i="9" s="1"/>
  <c r="P84" i="9" s="1"/>
  <c r="K100" i="9"/>
  <c r="M100" i="9" s="1"/>
  <c r="P100" i="9" s="1"/>
  <c r="K29" i="9"/>
  <c r="M29" i="9" s="1"/>
  <c r="P29" i="9" s="1"/>
  <c r="K15" i="9"/>
  <c r="M15" i="9" s="1"/>
  <c r="P15" i="9" s="1"/>
  <c r="K23" i="9"/>
  <c r="M23" i="9" s="1"/>
  <c r="P23" i="9" s="1"/>
  <c r="K30" i="9"/>
  <c r="M30" i="9" s="1"/>
  <c r="P30" i="9" s="1"/>
  <c r="K40" i="9"/>
  <c r="M40" i="9" s="1"/>
  <c r="P40" i="9" s="1"/>
  <c r="K56" i="9"/>
  <c r="M56" i="9" s="1"/>
  <c r="P56" i="9" s="1"/>
  <c r="K72" i="9"/>
  <c r="M72" i="9" s="1"/>
  <c r="P72" i="9" s="1"/>
  <c r="K88" i="9"/>
  <c r="M88" i="9" s="1"/>
  <c r="P88" i="9" s="1"/>
  <c r="K104" i="9"/>
  <c r="M104" i="9" s="1"/>
  <c r="P104" i="9" s="1"/>
  <c r="K25" i="9"/>
  <c r="M25" i="9" s="1"/>
  <c r="P25" i="9" s="1"/>
  <c r="K13" i="9"/>
  <c r="M13" i="9" s="1"/>
  <c r="P13" i="9" s="1"/>
  <c r="K39" i="9"/>
  <c r="M39" i="9" s="1"/>
  <c r="P39" i="9" s="1"/>
  <c r="K55" i="9"/>
  <c r="M55" i="9" s="1"/>
  <c r="P55" i="9" s="1"/>
  <c r="K71" i="9"/>
  <c r="M71" i="9" s="1"/>
  <c r="P71" i="9" s="1"/>
  <c r="K87" i="9"/>
  <c r="M87" i="9" s="1"/>
  <c r="P87" i="9" s="1"/>
  <c r="K103" i="9"/>
  <c r="M103" i="9" s="1"/>
  <c r="P103" i="9" s="1"/>
  <c r="K49" i="9"/>
  <c r="M49" i="9" s="1"/>
  <c r="P49" i="9" s="1"/>
  <c r="K65" i="9"/>
  <c r="M65" i="9" s="1"/>
  <c r="P65" i="9" s="1"/>
  <c r="K81" i="9"/>
  <c r="M81" i="9" s="1"/>
  <c r="P81" i="9" s="1"/>
  <c r="K97" i="9"/>
  <c r="M97" i="9" s="1"/>
  <c r="P97" i="9" s="1"/>
  <c r="K36" i="9"/>
  <c r="M36" i="9" s="1"/>
  <c r="P36" i="9" s="1"/>
  <c r="K28" i="9"/>
  <c r="M28" i="9" s="1"/>
  <c r="P28" i="9" s="1"/>
  <c r="K20" i="9"/>
  <c r="M20" i="9" s="1"/>
  <c r="P20" i="9" s="1"/>
  <c r="K14" i="9"/>
  <c r="M14" i="9" s="1"/>
  <c r="P14" i="9" s="1"/>
  <c r="K38" i="9"/>
  <c r="M38" i="9" s="1"/>
  <c r="P38" i="9" s="1"/>
  <c r="K46" i="9"/>
  <c r="M46" i="9" s="1"/>
  <c r="P46" i="9" s="1"/>
  <c r="K54" i="9"/>
  <c r="M54" i="9" s="1"/>
  <c r="P54" i="9" s="1"/>
  <c r="K62" i="9"/>
  <c r="M62" i="9" s="1"/>
  <c r="P62" i="9" s="1"/>
  <c r="K70" i="9"/>
  <c r="M70" i="9" s="1"/>
  <c r="P70" i="9" s="1"/>
  <c r="K78" i="9"/>
  <c r="M78" i="9" s="1"/>
  <c r="P78" i="9" s="1"/>
  <c r="K86" i="9"/>
  <c r="M86" i="9" s="1"/>
  <c r="P86" i="9" s="1"/>
  <c r="K94" i="9"/>
  <c r="M94" i="9" s="1"/>
  <c r="P94" i="9" s="1"/>
  <c r="K102" i="9"/>
  <c r="M102" i="9" s="1"/>
  <c r="P102" i="9" s="1"/>
  <c r="G71" i="7"/>
  <c r="H71" i="7" s="1"/>
  <c r="J71" i="7" s="1"/>
  <c r="G75" i="7"/>
  <c r="H75" i="7" s="1"/>
  <c r="J75" i="7" s="1"/>
  <c r="G79" i="7"/>
  <c r="H79" i="7" s="1"/>
  <c r="J79" i="7" s="1"/>
  <c r="G83" i="7"/>
  <c r="H83" i="7" s="1"/>
  <c r="J83" i="7" s="1"/>
  <c r="G87" i="7"/>
  <c r="H87" i="7" s="1"/>
  <c r="J87" i="7" s="1"/>
  <c r="G91" i="7"/>
  <c r="H91" i="7" s="1"/>
  <c r="J91" i="7" s="1"/>
  <c r="G95" i="7"/>
  <c r="H95" i="7" s="1"/>
  <c r="J95" i="7" s="1"/>
  <c r="G99" i="7"/>
  <c r="H99" i="7" s="1"/>
  <c r="J99" i="7" s="1"/>
  <c r="G103" i="7"/>
  <c r="H103" i="7" s="1"/>
  <c r="J103" i="7" s="1"/>
  <c r="G107" i="7"/>
  <c r="H107" i="7" s="1"/>
  <c r="J107" i="7" s="1"/>
  <c r="G14" i="7"/>
  <c r="G18" i="7"/>
  <c r="G22" i="7"/>
  <c r="G26" i="7"/>
  <c r="G30" i="7"/>
  <c r="G34" i="7"/>
  <c r="G38" i="7"/>
  <c r="G42" i="7"/>
  <c r="G46" i="7"/>
  <c r="G50" i="7"/>
  <c r="G54" i="7"/>
  <c r="G58" i="7"/>
  <c r="G62" i="7"/>
  <c r="G66" i="7"/>
  <c r="G70" i="7"/>
  <c r="H70" i="7" s="1"/>
  <c r="J70" i="7" s="1"/>
  <c r="G74" i="7"/>
  <c r="H74" i="7" s="1"/>
  <c r="J74" i="7" s="1"/>
  <c r="G78" i="7"/>
  <c r="H78" i="7" s="1"/>
  <c r="J78" i="7" s="1"/>
  <c r="G82" i="7"/>
  <c r="H82" i="7" s="1"/>
  <c r="J82" i="7" s="1"/>
  <c r="G86" i="7"/>
  <c r="H86" i="7" s="1"/>
  <c r="J86" i="7" s="1"/>
  <c r="G90" i="7"/>
  <c r="H90" i="7" s="1"/>
  <c r="J90" i="7" s="1"/>
  <c r="G94" i="7"/>
  <c r="H94" i="7" s="1"/>
  <c r="J94" i="7" s="1"/>
  <c r="G98" i="7"/>
  <c r="H98" i="7" s="1"/>
  <c r="J98" i="7" s="1"/>
  <c r="G102" i="7"/>
  <c r="H102" i="7" s="1"/>
  <c r="J102" i="7" s="1"/>
  <c r="G106" i="7"/>
  <c r="H106" i="7" s="1"/>
  <c r="J106" i="7" s="1"/>
  <c r="G13" i="7"/>
  <c r="H13" i="7" s="1"/>
  <c r="J13" i="7" s="1"/>
  <c r="G17" i="7"/>
  <c r="H17" i="7" s="1"/>
  <c r="J17" i="7" s="1"/>
  <c r="G21" i="7"/>
  <c r="H21" i="7" s="1"/>
  <c r="J21" i="7" s="1"/>
  <c r="G25" i="7"/>
  <c r="H25" i="7" s="1"/>
  <c r="J25" i="7" s="1"/>
  <c r="G29" i="7"/>
  <c r="H29" i="7" s="1"/>
  <c r="J29" i="7" s="1"/>
  <c r="G33" i="7"/>
  <c r="H33" i="7" s="1"/>
  <c r="J33" i="7" s="1"/>
  <c r="G37" i="7"/>
  <c r="H37" i="7" s="1"/>
  <c r="J37" i="7" s="1"/>
  <c r="G41" i="7"/>
  <c r="H41" i="7" s="1"/>
  <c r="J41" i="7" s="1"/>
  <c r="G45" i="7"/>
  <c r="H45" i="7" s="1"/>
  <c r="J45" i="7" s="1"/>
  <c r="G49" i="7"/>
  <c r="H49" i="7" s="1"/>
  <c r="J49" i="7" s="1"/>
  <c r="G53" i="7"/>
  <c r="H53" i="7" s="1"/>
  <c r="J53" i="7" s="1"/>
  <c r="G57" i="7"/>
  <c r="H57" i="7" s="1"/>
  <c r="J57" i="7" s="1"/>
  <c r="G61" i="7"/>
  <c r="H61" i="7" s="1"/>
  <c r="J61" i="7" s="1"/>
  <c r="G65" i="7"/>
  <c r="H65" i="7" s="1"/>
  <c r="J65" i="7" s="1"/>
  <c r="G69" i="7"/>
  <c r="H69" i="7" s="1"/>
  <c r="J69" i="7" s="1"/>
  <c r="G73" i="7"/>
  <c r="H73" i="7" s="1"/>
  <c r="J73" i="7" s="1"/>
  <c r="G77" i="7"/>
  <c r="H77" i="7" s="1"/>
  <c r="J77" i="7" s="1"/>
  <c r="G81" i="7"/>
  <c r="H81" i="7" s="1"/>
  <c r="J81" i="7" s="1"/>
  <c r="G85" i="7"/>
  <c r="H85" i="7" s="1"/>
  <c r="J85" i="7" s="1"/>
  <c r="G89" i="7"/>
  <c r="H89" i="7" s="1"/>
  <c r="J89" i="7" s="1"/>
  <c r="G93" i="7"/>
  <c r="H93" i="7" s="1"/>
  <c r="J93" i="7" s="1"/>
  <c r="G97" i="7"/>
  <c r="H97" i="7" s="1"/>
  <c r="J97" i="7" s="1"/>
  <c r="G101" i="7"/>
  <c r="H101" i="7" s="1"/>
  <c r="J101" i="7" s="1"/>
  <c r="G105" i="7"/>
  <c r="H105" i="7" s="1"/>
  <c r="J105" i="7" s="1"/>
  <c r="H14" i="7"/>
  <c r="J14" i="7" s="1"/>
  <c r="H18" i="7"/>
  <c r="J18" i="7" s="1"/>
  <c r="H22" i="7"/>
  <c r="J22" i="7" s="1"/>
  <c r="H26" i="7"/>
  <c r="J26" i="7" s="1"/>
  <c r="H30" i="7"/>
  <c r="J30" i="7" s="1"/>
  <c r="H34" i="7"/>
  <c r="J34" i="7" s="1"/>
  <c r="H38" i="7"/>
  <c r="J38" i="7" s="1"/>
  <c r="H42" i="7"/>
  <c r="J42" i="7" s="1"/>
  <c r="H46" i="7"/>
  <c r="J46" i="7" s="1"/>
  <c r="H50" i="7"/>
  <c r="J50" i="7" s="1"/>
  <c r="H54" i="7"/>
  <c r="J54" i="7" s="1"/>
  <c r="H58" i="7"/>
  <c r="J58" i="7" s="1"/>
  <c r="H62" i="7"/>
  <c r="J62" i="7" s="1"/>
  <c r="H66" i="7"/>
  <c r="J66" i="7" s="1"/>
  <c r="H72" i="7"/>
  <c r="J72" i="7" s="1"/>
  <c r="G38" i="1"/>
  <c r="G118" i="1"/>
  <c r="L102" i="1"/>
  <c r="N102" i="1" s="1"/>
  <c r="C102" i="6" s="1"/>
  <c r="L113" i="1"/>
  <c r="N113" i="1" s="1"/>
  <c r="C113" i="6" s="1"/>
  <c r="L111" i="1"/>
  <c r="N111" i="1" s="1"/>
  <c r="C111" i="6" s="1"/>
  <c r="L109" i="1"/>
  <c r="N109" i="1" s="1"/>
  <c r="C109" i="6" s="1"/>
  <c r="L118" i="1"/>
  <c r="N118" i="1" s="1"/>
  <c r="L116" i="1"/>
  <c r="N116" i="1" s="1"/>
  <c r="C116" i="6" s="1"/>
  <c r="L114" i="1"/>
  <c r="L112" i="1"/>
  <c r="N112" i="1" s="1"/>
  <c r="C112" i="6" s="1"/>
  <c r="L110" i="1"/>
  <c r="N110" i="1" s="1"/>
  <c r="C110" i="6" s="1"/>
  <c r="L108" i="1"/>
  <c r="N108" i="1" s="1"/>
  <c r="C108" i="6" s="1"/>
  <c r="L106" i="1"/>
  <c r="L104" i="1"/>
  <c r="N104" i="1" s="1"/>
  <c r="C104" i="6" s="1"/>
  <c r="L31" i="1"/>
  <c r="N31" i="1" s="1"/>
  <c r="C31" i="6" s="1"/>
  <c r="L35" i="1"/>
  <c r="N35" i="1" s="1"/>
  <c r="C35" i="6" s="1"/>
  <c r="L97" i="1"/>
  <c r="L58" i="1"/>
  <c r="N58" i="1" s="1"/>
  <c r="C58" i="6" s="1"/>
  <c r="L59" i="1"/>
  <c r="L79" i="1"/>
  <c r="N79" i="1" s="1"/>
  <c r="C79" i="6" s="1"/>
  <c r="L39" i="1"/>
  <c r="N39" i="1" s="1"/>
  <c r="C39" i="6" s="1"/>
  <c r="L46" i="1"/>
  <c r="N46" i="1" s="1"/>
  <c r="C46" i="6" s="1"/>
  <c r="L41" i="1"/>
  <c r="L95" i="1"/>
  <c r="N95" i="1" s="1"/>
  <c r="C95" i="6" s="1"/>
  <c r="L45" i="1"/>
  <c r="N45" i="1" s="1"/>
  <c r="C45" i="6" s="1"/>
  <c r="L89" i="1"/>
  <c r="N89" i="1" s="1"/>
  <c r="C89" i="6" s="1"/>
  <c r="L23" i="1"/>
  <c r="N23" i="1" s="1"/>
  <c r="C23" i="6" s="1"/>
  <c r="L53" i="1"/>
  <c r="N53" i="1" s="1"/>
  <c r="C53" i="6" s="1"/>
  <c r="L68" i="1"/>
  <c r="L36" i="1"/>
  <c r="N36" i="1" s="1"/>
  <c r="C36" i="6" s="1"/>
  <c r="L30" i="1"/>
  <c r="N30" i="1" s="1"/>
  <c r="C30" i="6" s="1"/>
  <c r="L34" i="1"/>
  <c r="N34" i="1" s="1"/>
  <c r="C34" i="6" s="1"/>
  <c r="L43" i="1"/>
  <c r="L48" i="1"/>
  <c r="N48" i="1" s="1"/>
  <c r="C48" i="6" s="1"/>
  <c r="L57" i="1"/>
  <c r="L24" i="1"/>
  <c r="N24" i="1" s="1"/>
  <c r="C24" i="6" s="1"/>
  <c r="L84" i="1"/>
  <c r="L70" i="1"/>
  <c r="N70" i="1" s="1"/>
  <c r="C70" i="6" s="1"/>
  <c r="L64" i="1"/>
  <c r="N64" i="1" s="1"/>
  <c r="C64" i="6" s="1"/>
  <c r="L101" i="1"/>
  <c r="N101" i="1" s="1"/>
  <c r="C101" i="6" s="1"/>
  <c r="L87" i="1"/>
  <c r="N87" i="1" s="1"/>
  <c r="C87" i="6" s="1"/>
  <c r="L77" i="1"/>
  <c r="N77" i="1" s="1"/>
  <c r="C77" i="6" s="1"/>
  <c r="L40" i="1"/>
  <c r="N40" i="1" s="1"/>
  <c r="C40" i="6" s="1"/>
  <c r="L98" i="1"/>
  <c r="N98" i="1" s="1"/>
  <c r="C98" i="6" s="1"/>
  <c r="L65" i="1"/>
  <c r="L25" i="1"/>
  <c r="N25" i="1" s="1"/>
  <c r="C25" i="6" s="1"/>
  <c r="L88" i="1"/>
  <c r="N88" i="1" s="1"/>
  <c r="C88" i="6" s="1"/>
  <c r="L94" i="1"/>
  <c r="N94" i="1" s="1"/>
  <c r="C94" i="6" s="1"/>
  <c r="L86" i="1"/>
  <c r="N86" i="1" s="1"/>
  <c r="C86" i="6" s="1"/>
  <c r="L90" i="1"/>
  <c r="N90" i="1" s="1"/>
  <c r="C90" i="6" s="1"/>
  <c r="L99" i="1"/>
  <c r="L51" i="1"/>
  <c r="N51" i="1" s="1"/>
  <c r="C51" i="6" s="1"/>
  <c r="L27" i="1"/>
  <c r="L69" i="1"/>
  <c r="N69" i="1" s="1"/>
  <c r="C69" i="6" s="1"/>
  <c r="L107" i="1"/>
  <c r="L105" i="1"/>
  <c r="N105" i="1" s="1"/>
  <c r="C105" i="6" s="1"/>
  <c r="L103" i="1"/>
  <c r="N103" i="1" s="1"/>
  <c r="C103" i="6" s="1"/>
  <c r="L117" i="1"/>
  <c r="N117" i="1" s="1"/>
  <c r="C117" i="6" s="1"/>
  <c r="L85" i="1"/>
  <c r="N85" i="1" s="1"/>
  <c r="C85" i="6" s="1"/>
  <c r="L52" i="1"/>
  <c r="N52" i="1" s="1"/>
  <c r="C52" i="6" s="1"/>
  <c r="L32" i="1"/>
  <c r="N32" i="1" s="1"/>
  <c r="C32" i="6" s="1"/>
  <c r="L42" i="1"/>
  <c r="N42" i="1" s="1"/>
  <c r="C42" i="6" s="1"/>
  <c r="L37" i="1"/>
  <c r="N37" i="1" s="1"/>
  <c r="C37" i="6" s="1"/>
  <c r="L28" i="1"/>
  <c r="N28" i="1" s="1"/>
  <c r="C28" i="6" s="1"/>
  <c r="L72" i="1"/>
  <c r="N72" i="1" s="1"/>
  <c r="C72" i="6" s="1"/>
  <c r="L60" i="1"/>
  <c r="N60" i="1" s="1"/>
  <c r="C60" i="6" s="1"/>
  <c r="L50" i="1"/>
  <c r="L74" i="1"/>
  <c r="N74" i="1" s="1"/>
  <c r="C74" i="6" s="1"/>
  <c r="L62" i="1"/>
  <c r="N62" i="1" s="1"/>
  <c r="C62" i="6" s="1"/>
  <c r="L100" i="1"/>
  <c r="N100" i="1" s="1"/>
  <c r="C100" i="6" s="1"/>
  <c r="L92" i="1"/>
  <c r="L75" i="1"/>
  <c r="N75" i="1" s="1"/>
  <c r="C75" i="6" s="1"/>
  <c r="L49" i="1"/>
  <c r="L55" i="1"/>
  <c r="N55" i="1" s="1"/>
  <c r="C55" i="6" s="1"/>
  <c r="L47" i="1"/>
  <c r="N47" i="1" s="1"/>
  <c r="C47" i="6" s="1"/>
  <c r="L29" i="1"/>
  <c r="N29" i="1" s="1"/>
  <c r="C29" i="6" s="1"/>
  <c r="L73" i="1"/>
  <c r="L22" i="1"/>
  <c r="N22" i="1" s="1"/>
  <c r="C22" i="6" s="1"/>
  <c r="L96" i="1"/>
  <c r="N96" i="1" s="1"/>
  <c r="C96" i="6" s="1"/>
  <c r="L66" i="1"/>
  <c r="N66" i="1" s="1"/>
  <c r="C66" i="6" s="1"/>
  <c r="L26" i="1"/>
  <c r="L71" i="1"/>
  <c r="N71" i="1" s="1"/>
  <c r="C71" i="6" s="1"/>
  <c r="L78" i="1"/>
  <c r="N78" i="1" s="1"/>
  <c r="C78" i="6" s="1"/>
  <c r="L67" i="1"/>
  <c r="N67" i="1" s="1"/>
  <c r="C67" i="6" s="1"/>
  <c r="L81" i="1"/>
  <c r="L44" i="1"/>
  <c r="N44" i="1" s="1"/>
  <c r="C44" i="6" s="1"/>
  <c r="L91" i="1"/>
  <c r="L33" i="1"/>
  <c r="N33" i="1" s="1"/>
  <c r="C33" i="6" s="1"/>
  <c r="L38" i="1"/>
  <c r="N38" i="1" s="1"/>
  <c r="C38" i="6" s="1"/>
  <c r="L63" i="1"/>
  <c r="N63" i="1" s="1"/>
  <c r="C63" i="6" s="1"/>
  <c r="L61" i="1"/>
  <c r="N61" i="1" s="1"/>
  <c r="C61" i="6" s="1"/>
  <c r="L93" i="1"/>
  <c r="N93" i="1" s="1"/>
  <c r="C93" i="6" s="1"/>
  <c r="L82" i="1"/>
  <c r="L54" i="1"/>
  <c r="N54" i="1" s="1"/>
  <c r="C54" i="6" s="1"/>
  <c r="L76" i="1"/>
  <c r="L56" i="1"/>
  <c r="N56" i="1" s="1"/>
  <c r="C56" i="6" s="1"/>
  <c r="L80" i="1"/>
  <c r="N80" i="1" s="1"/>
  <c r="C80" i="6" s="1"/>
  <c r="L83" i="1"/>
  <c r="N83" i="1" s="1"/>
  <c r="C83" i="6" s="1"/>
  <c r="N76" i="1" l="1"/>
  <c r="C76" i="6" s="1"/>
  <c r="N82" i="1"/>
  <c r="C82" i="6" s="1"/>
  <c r="N91" i="1"/>
  <c r="C91" i="6" s="1"/>
  <c r="N81" i="1"/>
  <c r="C81" i="6" s="1"/>
  <c r="N26" i="1"/>
  <c r="C26" i="6" s="1"/>
  <c r="N73" i="1"/>
  <c r="C73" i="6" s="1"/>
  <c r="N49" i="1"/>
  <c r="C49" i="6" s="1"/>
  <c r="N92" i="1"/>
  <c r="C92" i="6" s="1"/>
  <c r="N50" i="1"/>
  <c r="C50" i="6" s="1"/>
  <c r="N107" i="1"/>
  <c r="C107" i="6" s="1"/>
  <c r="N27" i="1"/>
  <c r="C27" i="6" s="1"/>
  <c r="N99" i="1"/>
  <c r="C99" i="6" s="1"/>
  <c r="N65" i="1"/>
  <c r="C65" i="6" s="1"/>
  <c r="N84" i="1"/>
  <c r="C84" i="6" s="1"/>
  <c r="N57" i="1"/>
  <c r="C57" i="6" s="1"/>
  <c r="N43" i="1"/>
  <c r="C43" i="6" s="1"/>
  <c r="N68" i="1"/>
  <c r="C68" i="6" s="1"/>
  <c r="N41" i="1"/>
  <c r="C41" i="6" s="1"/>
  <c r="N59" i="1"/>
  <c r="C59" i="6" s="1"/>
  <c r="N97" i="1"/>
  <c r="C97" i="6" s="1"/>
  <c r="N106" i="1"/>
  <c r="C106" i="6" s="1"/>
  <c r="N114" i="1"/>
  <c r="C114" i="6" s="1"/>
  <c r="G14" i="10"/>
  <c r="H14" i="10" s="1"/>
  <c r="J14" i="10" s="1"/>
  <c r="G22" i="10"/>
  <c r="H22" i="10" s="1"/>
  <c r="J22" i="10" s="1"/>
  <c r="G15" i="10"/>
  <c r="H15" i="10" s="1"/>
  <c r="J15" i="10" s="1"/>
  <c r="G23" i="10"/>
  <c r="H23" i="10" s="1"/>
  <c r="J23" i="10" s="1"/>
  <c r="G30" i="10"/>
  <c r="H30" i="10" s="1"/>
  <c r="J30" i="10" s="1"/>
  <c r="G38" i="10"/>
  <c r="H38" i="10" s="1"/>
  <c r="J38" i="10" s="1"/>
  <c r="G46" i="10"/>
  <c r="H46" i="10" s="1"/>
  <c r="J46" i="10" s="1"/>
  <c r="G54" i="10"/>
  <c r="H54" i="10" s="1"/>
  <c r="J54" i="10" s="1"/>
  <c r="G62" i="10"/>
  <c r="H62" i="10" s="1"/>
  <c r="J62" i="10" s="1"/>
  <c r="G31" i="10"/>
  <c r="H31" i="10" s="1"/>
  <c r="J31" i="10" s="1"/>
  <c r="G39" i="10"/>
  <c r="H39" i="10" s="1"/>
  <c r="J39" i="10" s="1"/>
  <c r="G47" i="10"/>
  <c r="H47" i="10" s="1"/>
  <c r="J47" i="10" s="1"/>
  <c r="G55" i="10"/>
  <c r="H55" i="10" s="1"/>
  <c r="J55" i="10" s="1"/>
  <c r="G63" i="10"/>
  <c r="H63" i="10" s="1"/>
  <c r="J63" i="10" s="1"/>
  <c r="G71" i="10"/>
  <c r="H71" i="10" s="1"/>
  <c r="J71" i="10" s="1"/>
  <c r="G79" i="10"/>
  <c r="H79" i="10" s="1"/>
  <c r="J79" i="10" s="1"/>
  <c r="G87" i="10"/>
  <c r="H87" i="10" s="1"/>
  <c r="J87" i="10" s="1"/>
  <c r="G95" i="10"/>
  <c r="H95" i="10" s="1"/>
  <c r="J95" i="10" s="1"/>
  <c r="G103" i="10"/>
  <c r="H103" i="10" s="1"/>
  <c r="J103" i="10" s="1"/>
  <c r="G70" i="10"/>
  <c r="H70" i="10" s="1"/>
  <c r="J70" i="10" s="1"/>
  <c r="G78" i="10"/>
  <c r="H78" i="10" s="1"/>
  <c r="J78" i="10" s="1"/>
  <c r="G86" i="10"/>
  <c r="H86" i="10" s="1"/>
  <c r="J86" i="10" s="1"/>
  <c r="G94" i="10"/>
  <c r="H94" i="10" s="1"/>
  <c r="J94" i="10" s="1"/>
  <c r="G102" i="10"/>
  <c r="H102" i="10" s="1"/>
  <c r="J102" i="10" s="1"/>
  <c r="G12" i="10"/>
  <c r="H12" i="10" s="1"/>
  <c r="J12" i="10" s="1"/>
  <c r="G20" i="10"/>
  <c r="H20" i="10" s="1"/>
  <c r="J20" i="10" s="1"/>
  <c r="G13" i="10"/>
  <c r="H13" i="10" s="1"/>
  <c r="J13" i="10" s="1"/>
  <c r="G21" i="10"/>
  <c r="H21" i="10" s="1"/>
  <c r="J21" i="10" s="1"/>
  <c r="G28" i="10"/>
  <c r="H28" i="10" s="1"/>
  <c r="J28" i="10" s="1"/>
  <c r="G36" i="10"/>
  <c r="H36" i="10" s="1"/>
  <c r="J36" i="10" s="1"/>
  <c r="G44" i="10"/>
  <c r="H44" i="10" s="1"/>
  <c r="J44" i="10" s="1"/>
  <c r="G52" i="10"/>
  <c r="H52" i="10" s="1"/>
  <c r="J52" i="10" s="1"/>
  <c r="G60" i="10"/>
  <c r="H60" i="10" s="1"/>
  <c r="J60" i="10" s="1"/>
  <c r="G29" i="10"/>
  <c r="H29" i="10" s="1"/>
  <c r="J29" i="10" s="1"/>
  <c r="G37" i="10"/>
  <c r="H37" i="10" s="1"/>
  <c r="J37" i="10" s="1"/>
  <c r="G45" i="10"/>
  <c r="H45" i="10" s="1"/>
  <c r="J45" i="10" s="1"/>
  <c r="G53" i="10"/>
  <c r="H53" i="10" s="1"/>
  <c r="J53" i="10" s="1"/>
  <c r="G61" i="10"/>
  <c r="H61" i="10" s="1"/>
  <c r="J61" i="10" s="1"/>
  <c r="G69" i="10"/>
  <c r="H69" i="10" s="1"/>
  <c r="J69" i="10" s="1"/>
  <c r="G77" i="10"/>
  <c r="H77" i="10" s="1"/>
  <c r="J77" i="10" s="1"/>
  <c r="G85" i="10"/>
  <c r="H85" i="10" s="1"/>
  <c r="J85" i="10" s="1"/>
  <c r="G93" i="10"/>
  <c r="H93" i="10" s="1"/>
  <c r="J93" i="10" s="1"/>
  <c r="G101" i="10"/>
  <c r="H101" i="10" s="1"/>
  <c r="J101" i="10" s="1"/>
  <c r="G68" i="10"/>
  <c r="H68" i="10" s="1"/>
  <c r="J68" i="10" s="1"/>
  <c r="G76" i="10"/>
  <c r="H76" i="10" s="1"/>
  <c r="J76" i="10" s="1"/>
  <c r="G84" i="10"/>
  <c r="H84" i="10" s="1"/>
  <c r="J84" i="10" s="1"/>
  <c r="G92" i="10"/>
  <c r="H92" i="10" s="1"/>
  <c r="J92" i="10" s="1"/>
  <c r="G100" i="10"/>
  <c r="H100" i="10" s="1"/>
  <c r="J100" i="10" s="1"/>
  <c r="G108" i="10"/>
  <c r="H108" i="10" s="1"/>
  <c r="J108" i="10" s="1"/>
  <c r="G19" i="8"/>
  <c r="H19" i="8" s="1"/>
  <c r="G27" i="8"/>
  <c r="H27" i="8" s="1"/>
  <c r="G35" i="8"/>
  <c r="H35" i="8" s="1"/>
  <c r="G43" i="8"/>
  <c r="H43" i="8" s="1"/>
  <c r="G51" i="8"/>
  <c r="H51" i="8" s="1"/>
  <c r="G59" i="8"/>
  <c r="H59" i="8" s="1"/>
  <c r="C118" i="6"/>
  <c r="K48" i="7"/>
  <c r="M48" i="7" s="1"/>
  <c r="P48" i="7" s="1"/>
  <c r="K61" i="7"/>
  <c r="M61" i="7" s="1"/>
  <c r="P61" i="7" s="1"/>
  <c r="G18" i="10"/>
  <c r="H18" i="10" s="1"/>
  <c r="J18" i="10" s="1"/>
  <c r="G27" i="10"/>
  <c r="H27" i="10" s="1"/>
  <c r="J27" i="10" s="1"/>
  <c r="G19" i="10"/>
  <c r="H19" i="10" s="1"/>
  <c r="J19" i="10" s="1"/>
  <c r="G26" i="10"/>
  <c r="H26" i="10" s="1"/>
  <c r="J26" i="10" s="1"/>
  <c r="G34" i="10"/>
  <c r="H34" i="10" s="1"/>
  <c r="J34" i="10" s="1"/>
  <c r="G42" i="10"/>
  <c r="H42" i="10" s="1"/>
  <c r="J42" i="10" s="1"/>
  <c r="G50" i="10"/>
  <c r="H50" i="10" s="1"/>
  <c r="J50" i="10" s="1"/>
  <c r="G58" i="10"/>
  <c r="H58" i="10" s="1"/>
  <c r="J58" i="10" s="1"/>
  <c r="G66" i="10"/>
  <c r="H66" i="10" s="1"/>
  <c r="J66" i="10" s="1"/>
  <c r="G35" i="10"/>
  <c r="H35" i="10" s="1"/>
  <c r="J35" i="10" s="1"/>
  <c r="G43" i="10"/>
  <c r="H43" i="10" s="1"/>
  <c r="J43" i="10" s="1"/>
  <c r="G51" i="10"/>
  <c r="H51" i="10" s="1"/>
  <c r="J51" i="10" s="1"/>
  <c r="G59" i="10"/>
  <c r="H59" i="10" s="1"/>
  <c r="J59" i="10" s="1"/>
  <c r="G67" i="10"/>
  <c r="H67" i="10" s="1"/>
  <c r="J67" i="10" s="1"/>
  <c r="G75" i="10"/>
  <c r="H75" i="10" s="1"/>
  <c r="J75" i="10" s="1"/>
  <c r="G83" i="10"/>
  <c r="H83" i="10" s="1"/>
  <c r="J83" i="10" s="1"/>
  <c r="G91" i="10"/>
  <c r="H91" i="10" s="1"/>
  <c r="J91" i="10" s="1"/>
  <c r="G99" i="10"/>
  <c r="H99" i="10" s="1"/>
  <c r="J99" i="10" s="1"/>
  <c r="G107" i="10"/>
  <c r="H107" i="10" s="1"/>
  <c r="J107" i="10" s="1"/>
  <c r="G74" i="10"/>
  <c r="H74" i="10" s="1"/>
  <c r="J74" i="10" s="1"/>
  <c r="G82" i="10"/>
  <c r="H82" i="10" s="1"/>
  <c r="J82" i="10" s="1"/>
  <c r="G90" i="10"/>
  <c r="H90" i="10" s="1"/>
  <c r="J90" i="10" s="1"/>
  <c r="G98" i="10"/>
  <c r="H98" i="10" s="1"/>
  <c r="J98" i="10" s="1"/>
  <c r="G106" i="10"/>
  <c r="H106" i="10" s="1"/>
  <c r="J106" i="10" s="1"/>
  <c r="G16" i="10"/>
  <c r="H16" i="10" s="1"/>
  <c r="J16" i="10" s="1"/>
  <c r="G25" i="10"/>
  <c r="H25" i="10" s="1"/>
  <c r="J25" i="10" s="1"/>
  <c r="G17" i="10"/>
  <c r="H17" i="10" s="1"/>
  <c r="J17" i="10" s="1"/>
  <c r="G24" i="10"/>
  <c r="H24" i="10" s="1"/>
  <c r="J24" i="10" s="1"/>
  <c r="G32" i="10"/>
  <c r="H32" i="10" s="1"/>
  <c r="J32" i="10" s="1"/>
  <c r="G40" i="10"/>
  <c r="H40" i="10" s="1"/>
  <c r="J40" i="10" s="1"/>
  <c r="G48" i="10"/>
  <c r="H48" i="10" s="1"/>
  <c r="J48" i="10" s="1"/>
  <c r="G56" i="10"/>
  <c r="H56" i="10" s="1"/>
  <c r="J56" i="10" s="1"/>
  <c r="G64" i="10"/>
  <c r="H64" i="10" s="1"/>
  <c r="J64" i="10" s="1"/>
  <c r="G33" i="10"/>
  <c r="H33" i="10" s="1"/>
  <c r="J33" i="10" s="1"/>
  <c r="G41" i="10"/>
  <c r="H41" i="10" s="1"/>
  <c r="J41" i="10" s="1"/>
  <c r="G49" i="10"/>
  <c r="H49" i="10" s="1"/>
  <c r="J49" i="10" s="1"/>
  <c r="G57" i="10"/>
  <c r="H57" i="10" s="1"/>
  <c r="J57" i="10" s="1"/>
  <c r="G73" i="10"/>
  <c r="H73" i="10" s="1"/>
  <c r="J73" i="10" s="1"/>
  <c r="G81" i="10"/>
  <c r="H81" i="10" s="1"/>
  <c r="J81" i="10" s="1"/>
  <c r="G89" i="10"/>
  <c r="H89" i="10" s="1"/>
  <c r="J89" i="10" s="1"/>
  <c r="G97" i="10"/>
  <c r="H97" i="10" s="1"/>
  <c r="J97" i="10" s="1"/>
  <c r="G105" i="10"/>
  <c r="H105" i="10" s="1"/>
  <c r="J105" i="10" s="1"/>
  <c r="K45" i="7"/>
  <c r="M45" i="7" s="1"/>
  <c r="P45" i="7" s="1"/>
  <c r="K13" i="7"/>
  <c r="M13" i="7" s="1"/>
  <c r="P13" i="7" s="1"/>
  <c r="K29" i="7"/>
  <c r="M29" i="7" s="1"/>
  <c r="P29" i="7" s="1"/>
  <c r="K84" i="7"/>
  <c r="M84" i="7" s="1"/>
  <c r="P84" i="7" s="1"/>
  <c r="K100" i="7"/>
  <c r="M100" i="7" s="1"/>
  <c r="P100" i="7" s="1"/>
  <c r="Q94" i="9"/>
  <c r="L104" i="6" s="1"/>
  <c r="AD94" i="4" s="1"/>
  <c r="G65" i="10"/>
  <c r="H65" i="10" s="1"/>
  <c r="J65" i="10" s="1"/>
  <c r="G72" i="10"/>
  <c r="H72" i="10" s="1"/>
  <c r="J72" i="10" s="1"/>
  <c r="G80" i="10"/>
  <c r="H80" i="10" s="1"/>
  <c r="J80" i="10" s="1"/>
  <c r="G88" i="10"/>
  <c r="H88" i="10" s="1"/>
  <c r="J88" i="10" s="1"/>
  <c r="G96" i="10"/>
  <c r="H96" i="10" s="1"/>
  <c r="J96" i="10" s="1"/>
  <c r="G104" i="10"/>
  <c r="H104" i="10" s="1"/>
  <c r="J104" i="10" s="1"/>
  <c r="G15" i="8"/>
  <c r="H15" i="8" s="1"/>
  <c r="J15" i="8" s="1"/>
  <c r="G23" i="8"/>
  <c r="H23" i="8" s="1"/>
  <c r="J23" i="8" s="1"/>
  <c r="G31" i="8"/>
  <c r="H31" i="8" s="1"/>
  <c r="J31" i="8" s="1"/>
  <c r="G39" i="8"/>
  <c r="H39" i="8" s="1"/>
  <c r="J39" i="8" s="1"/>
  <c r="G47" i="8"/>
  <c r="H47" i="8" s="1"/>
  <c r="J47" i="8" s="1"/>
  <c r="G55" i="8"/>
  <c r="H55" i="8" s="1"/>
  <c r="J55" i="8" s="1"/>
  <c r="G63" i="8"/>
  <c r="H63" i="8" s="1"/>
  <c r="J63" i="8" s="1"/>
  <c r="G16" i="8"/>
  <c r="H16" i="8" s="1"/>
  <c r="J16" i="8" s="1"/>
  <c r="G24" i="8"/>
  <c r="H24" i="8" s="1"/>
  <c r="J24" i="8" s="1"/>
  <c r="G32" i="8"/>
  <c r="H32" i="8" s="1"/>
  <c r="J32" i="8" s="1"/>
  <c r="G40" i="8"/>
  <c r="H40" i="8" s="1"/>
  <c r="J40" i="8" s="1"/>
  <c r="G48" i="8"/>
  <c r="H48" i="8" s="1"/>
  <c r="J48" i="8" s="1"/>
  <c r="G56" i="8"/>
  <c r="H56" i="8" s="1"/>
  <c r="J56" i="8" s="1"/>
  <c r="G64" i="8"/>
  <c r="H64" i="8" s="1"/>
  <c r="J64" i="8" s="1"/>
  <c r="G71" i="8"/>
  <c r="H71" i="8" s="1"/>
  <c r="J71" i="8" s="1"/>
  <c r="G79" i="8"/>
  <c r="H79" i="8" s="1"/>
  <c r="J79" i="8" s="1"/>
  <c r="G87" i="8"/>
  <c r="H87" i="8" s="1"/>
  <c r="J87" i="8" s="1"/>
  <c r="G95" i="8"/>
  <c r="H95" i="8" s="1"/>
  <c r="J95" i="8" s="1"/>
  <c r="G103" i="8"/>
  <c r="H103" i="8" s="1"/>
  <c r="J103" i="8" s="1"/>
  <c r="G70" i="8"/>
  <c r="H70" i="8" s="1"/>
  <c r="J70" i="8" s="1"/>
  <c r="G78" i="8"/>
  <c r="H78" i="8" s="1"/>
  <c r="J78" i="8" s="1"/>
  <c r="G86" i="8"/>
  <c r="H86" i="8" s="1"/>
  <c r="J86" i="8" s="1"/>
  <c r="G94" i="8"/>
  <c r="H94" i="8" s="1"/>
  <c r="J94" i="8" s="1"/>
  <c r="G102" i="8"/>
  <c r="H102" i="8" s="1"/>
  <c r="J102" i="8" s="1"/>
  <c r="G13" i="8"/>
  <c r="H13" i="8" s="1"/>
  <c r="J13" i="8" s="1"/>
  <c r="G21" i="8"/>
  <c r="H21" i="8" s="1"/>
  <c r="J21" i="8" s="1"/>
  <c r="G29" i="8"/>
  <c r="H29" i="8" s="1"/>
  <c r="J29" i="8" s="1"/>
  <c r="G37" i="8"/>
  <c r="H37" i="8" s="1"/>
  <c r="J37" i="8" s="1"/>
  <c r="G45" i="8"/>
  <c r="H45" i="8" s="1"/>
  <c r="J45" i="8" s="1"/>
  <c r="G53" i="8"/>
  <c r="H53" i="8" s="1"/>
  <c r="J53" i="8" s="1"/>
  <c r="G61" i="8"/>
  <c r="H61" i="8" s="1"/>
  <c r="J61" i="8" s="1"/>
  <c r="G14" i="8"/>
  <c r="H14" i="8" s="1"/>
  <c r="J14" i="8" s="1"/>
  <c r="G22" i="8"/>
  <c r="H22" i="8" s="1"/>
  <c r="J22" i="8" s="1"/>
  <c r="G30" i="8"/>
  <c r="H30" i="8" s="1"/>
  <c r="J30" i="8" s="1"/>
  <c r="G38" i="8"/>
  <c r="H38" i="8" s="1"/>
  <c r="J38" i="8" s="1"/>
  <c r="G46" i="8"/>
  <c r="H46" i="8" s="1"/>
  <c r="J46" i="8" s="1"/>
  <c r="G54" i="8"/>
  <c r="H54" i="8" s="1"/>
  <c r="J54" i="8" s="1"/>
  <c r="G62" i="8"/>
  <c r="H62" i="8" s="1"/>
  <c r="J62" i="8" s="1"/>
  <c r="G69" i="8"/>
  <c r="H69" i="8" s="1"/>
  <c r="J69" i="8" s="1"/>
  <c r="G77" i="8"/>
  <c r="H77" i="8" s="1"/>
  <c r="J77" i="8" s="1"/>
  <c r="G85" i="8"/>
  <c r="H85" i="8" s="1"/>
  <c r="J85" i="8" s="1"/>
  <c r="G93" i="8"/>
  <c r="H93" i="8" s="1"/>
  <c r="J93" i="8" s="1"/>
  <c r="G101" i="8"/>
  <c r="H101" i="8" s="1"/>
  <c r="J101" i="8" s="1"/>
  <c r="G68" i="8"/>
  <c r="H68" i="8" s="1"/>
  <c r="J68" i="8" s="1"/>
  <c r="G76" i="8"/>
  <c r="H76" i="8" s="1"/>
  <c r="J76" i="8" s="1"/>
  <c r="G84" i="8"/>
  <c r="H84" i="8" s="1"/>
  <c r="J84" i="8" s="1"/>
  <c r="G92" i="8"/>
  <c r="H92" i="8" s="1"/>
  <c r="J92" i="8" s="1"/>
  <c r="G100" i="8"/>
  <c r="H100" i="8" s="1"/>
  <c r="J100" i="8" s="1"/>
  <c r="G108" i="8"/>
  <c r="H108" i="8" s="1"/>
  <c r="J108" i="8" s="1"/>
  <c r="J19" i="8"/>
  <c r="J27" i="8"/>
  <c r="J35" i="8"/>
  <c r="J43" i="8"/>
  <c r="J51" i="8"/>
  <c r="J59" i="8"/>
  <c r="G12" i="8"/>
  <c r="H12" i="8" s="1"/>
  <c r="J12" i="8" s="1"/>
  <c r="G20" i="8"/>
  <c r="H20" i="8" s="1"/>
  <c r="J20" i="8" s="1"/>
  <c r="G28" i="8"/>
  <c r="H28" i="8" s="1"/>
  <c r="J28" i="8" s="1"/>
  <c r="G36" i="8"/>
  <c r="H36" i="8" s="1"/>
  <c r="J36" i="8" s="1"/>
  <c r="G44" i="8"/>
  <c r="H44" i="8" s="1"/>
  <c r="J44" i="8" s="1"/>
  <c r="G52" i="8"/>
  <c r="H52" i="8" s="1"/>
  <c r="J52" i="8" s="1"/>
  <c r="G60" i="8"/>
  <c r="H60" i="8" s="1"/>
  <c r="J60" i="8" s="1"/>
  <c r="G67" i="8"/>
  <c r="H67" i="8" s="1"/>
  <c r="J67" i="8" s="1"/>
  <c r="G75" i="8"/>
  <c r="H75" i="8" s="1"/>
  <c r="J75" i="8" s="1"/>
  <c r="G83" i="8"/>
  <c r="H83" i="8" s="1"/>
  <c r="J83" i="8" s="1"/>
  <c r="G91" i="8"/>
  <c r="H91" i="8" s="1"/>
  <c r="J91" i="8" s="1"/>
  <c r="G99" i="8"/>
  <c r="H99" i="8" s="1"/>
  <c r="J99" i="8" s="1"/>
  <c r="G107" i="8"/>
  <c r="H107" i="8" s="1"/>
  <c r="J107" i="8" s="1"/>
  <c r="G74" i="8"/>
  <c r="H74" i="8" s="1"/>
  <c r="J74" i="8" s="1"/>
  <c r="G82" i="8"/>
  <c r="H82" i="8" s="1"/>
  <c r="J82" i="8" s="1"/>
  <c r="G90" i="8"/>
  <c r="H90" i="8" s="1"/>
  <c r="J90" i="8" s="1"/>
  <c r="G98" i="8"/>
  <c r="H98" i="8" s="1"/>
  <c r="J98" i="8" s="1"/>
  <c r="G106" i="8"/>
  <c r="H106" i="8" s="1"/>
  <c r="J106" i="8" s="1"/>
  <c r="G17" i="8"/>
  <c r="H17" i="8" s="1"/>
  <c r="J17" i="8" s="1"/>
  <c r="G25" i="8"/>
  <c r="H25" i="8" s="1"/>
  <c r="J25" i="8" s="1"/>
  <c r="G33" i="8"/>
  <c r="H33" i="8" s="1"/>
  <c r="J33" i="8" s="1"/>
  <c r="G41" i="8"/>
  <c r="H41" i="8" s="1"/>
  <c r="J41" i="8" s="1"/>
  <c r="G49" i="8"/>
  <c r="H49" i="8" s="1"/>
  <c r="J49" i="8" s="1"/>
  <c r="G57" i="8"/>
  <c r="H57" i="8" s="1"/>
  <c r="J57" i="8" s="1"/>
  <c r="G65" i="8"/>
  <c r="H65" i="8" s="1"/>
  <c r="J65" i="8" s="1"/>
  <c r="G18" i="8"/>
  <c r="H18" i="8" s="1"/>
  <c r="J18" i="8" s="1"/>
  <c r="G26" i="8"/>
  <c r="H26" i="8" s="1"/>
  <c r="J26" i="8" s="1"/>
  <c r="G34" i="8"/>
  <c r="H34" i="8" s="1"/>
  <c r="J34" i="8" s="1"/>
  <c r="G42" i="8"/>
  <c r="H42" i="8" s="1"/>
  <c r="J42" i="8" s="1"/>
  <c r="G50" i="8"/>
  <c r="H50" i="8" s="1"/>
  <c r="J50" i="8" s="1"/>
  <c r="G58" i="8"/>
  <c r="H58" i="8" s="1"/>
  <c r="J58" i="8" s="1"/>
  <c r="G66" i="8"/>
  <c r="H66" i="8" s="1"/>
  <c r="J66" i="8" s="1"/>
  <c r="G73" i="8"/>
  <c r="H73" i="8" s="1"/>
  <c r="J73" i="8" s="1"/>
  <c r="G81" i="8"/>
  <c r="H81" i="8" s="1"/>
  <c r="J81" i="8" s="1"/>
  <c r="G89" i="8"/>
  <c r="H89" i="8" s="1"/>
  <c r="J89" i="8" s="1"/>
  <c r="G97" i="8"/>
  <c r="H97" i="8" s="1"/>
  <c r="J97" i="8" s="1"/>
  <c r="G105" i="8"/>
  <c r="H105" i="8" s="1"/>
  <c r="J105" i="8" s="1"/>
  <c r="G72" i="8"/>
  <c r="H72" i="8" s="1"/>
  <c r="J72" i="8" s="1"/>
  <c r="G80" i="8"/>
  <c r="H80" i="8" s="1"/>
  <c r="J80" i="8" s="1"/>
  <c r="G88" i="8"/>
  <c r="H88" i="8" s="1"/>
  <c r="J88" i="8" s="1"/>
  <c r="G96" i="8"/>
  <c r="H96" i="8" s="1"/>
  <c r="J96" i="8" s="1"/>
  <c r="G104" i="8"/>
  <c r="H104" i="8" s="1"/>
  <c r="J104" i="8" s="1"/>
  <c r="Q53" i="9"/>
  <c r="L63" i="6" s="1"/>
  <c r="AD53" i="4" s="1"/>
  <c r="Q102" i="9"/>
  <c r="L112" i="6" s="1"/>
  <c r="AD102" i="4" s="1"/>
  <c r="Q86" i="9"/>
  <c r="L96" i="6" s="1"/>
  <c r="AD86" i="4" s="1"/>
  <c r="Q70" i="9"/>
  <c r="L80" i="6" s="1"/>
  <c r="AD70" i="4" s="1"/>
  <c r="Q54" i="9"/>
  <c r="L64" i="6" s="1"/>
  <c r="AD54" i="4" s="1"/>
  <c r="Q38" i="9"/>
  <c r="L48" i="6" s="1"/>
  <c r="AD38" i="4" s="1"/>
  <c r="Q20" i="9"/>
  <c r="L30" i="6" s="1"/>
  <c r="AD20" i="4" s="1"/>
  <c r="Q36" i="9"/>
  <c r="L46" i="6" s="1"/>
  <c r="AD36" i="4" s="1"/>
  <c r="Q81" i="9"/>
  <c r="L91" i="6" s="1"/>
  <c r="AD81" i="4" s="1"/>
  <c r="Q49" i="9"/>
  <c r="L59" i="6" s="1"/>
  <c r="AD49" i="4" s="1"/>
  <c r="Q87" i="9"/>
  <c r="L97" i="6" s="1"/>
  <c r="AD87" i="4" s="1"/>
  <c r="Q55" i="9"/>
  <c r="L65" i="6" s="1"/>
  <c r="AD55" i="4" s="1"/>
  <c r="Q13" i="9"/>
  <c r="L23" i="6" s="1"/>
  <c r="AD13" i="4" s="1"/>
  <c r="Q104" i="9"/>
  <c r="L114" i="6" s="1"/>
  <c r="AD104" i="4" s="1"/>
  <c r="Q72" i="9"/>
  <c r="L82" i="6" s="1"/>
  <c r="AD72" i="4" s="1"/>
  <c r="Q40" i="9"/>
  <c r="L50" i="6" s="1"/>
  <c r="AD40" i="4" s="1"/>
  <c r="Q23" i="9"/>
  <c r="L33" i="6" s="1"/>
  <c r="AD23" i="4" s="1"/>
  <c r="Q29" i="9"/>
  <c r="L39" i="6" s="1"/>
  <c r="AD29" i="4" s="1"/>
  <c r="Q84" i="9"/>
  <c r="L94" i="6" s="1"/>
  <c r="AD84" i="4" s="1"/>
  <c r="Q52" i="9"/>
  <c r="L62" i="6" s="1"/>
  <c r="AD52" i="4" s="1"/>
  <c r="Q91" i="9"/>
  <c r="L101" i="6" s="1"/>
  <c r="AD91" i="4" s="1"/>
  <c r="Q59" i="9"/>
  <c r="L69" i="6" s="1"/>
  <c r="AD59" i="4" s="1"/>
  <c r="Q26" i="9"/>
  <c r="L36" i="6" s="1"/>
  <c r="AD26" i="4" s="1"/>
  <c r="Q19" i="9"/>
  <c r="L29" i="6" s="1"/>
  <c r="AD19" i="4" s="1"/>
  <c r="Q93" i="9"/>
  <c r="L103" i="6" s="1"/>
  <c r="AD93" i="4" s="1"/>
  <c r="Q61" i="9"/>
  <c r="L71" i="6" s="1"/>
  <c r="AD61" i="4" s="1"/>
  <c r="Q106" i="9"/>
  <c r="L116" i="6" s="1"/>
  <c r="AD106" i="4" s="1"/>
  <c r="Q90" i="9"/>
  <c r="L100" i="6" s="1"/>
  <c r="AD90" i="4" s="1"/>
  <c r="Q74" i="9"/>
  <c r="L84" i="6" s="1"/>
  <c r="AD74" i="4" s="1"/>
  <c r="Q58" i="9"/>
  <c r="L68" i="6" s="1"/>
  <c r="AD58" i="4" s="1"/>
  <c r="Q42" i="9"/>
  <c r="L52" i="6" s="1"/>
  <c r="AD42" i="4" s="1"/>
  <c r="Q16" i="9"/>
  <c r="L26" i="6" s="1"/>
  <c r="AD16" i="4" s="1"/>
  <c r="Q32" i="9"/>
  <c r="L42" i="6" s="1"/>
  <c r="AD32" i="4" s="1"/>
  <c r="Q89" i="9"/>
  <c r="L99" i="6" s="1"/>
  <c r="AD89" i="4" s="1"/>
  <c r="Q57" i="9"/>
  <c r="L67" i="6" s="1"/>
  <c r="AD57" i="4" s="1"/>
  <c r="Q95" i="9"/>
  <c r="L105" i="6" s="1"/>
  <c r="AD95" i="4" s="1"/>
  <c r="Q63" i="9"/>
  <c r="L73" i="6" s="1"/>
  <c r="AD63" i="4" s="1"/>
  <c r="Q37" i="9"/>
  <c r="L47" i="6" s="1"/>
  <c r="AD37" i="4" s="1"/>
  <c r="Q33" i="9"/>
  <c r="L43" i="6" s="1"/>
  <c r="AD33" i="4" s="1"/>
  <c r="Q80" i="9"/>
  <c r="L90" i="6" s="1"/>
  <c r="AD80" i="4" s="1"/>
  <c r="Q48" i="9"/>
  <c r="L58" i="6" s="1"/>
  <c r="AD48" i="4" s="1"/>
  <c r="Q21" i="9"/>
  <c r="L31" i="6" s="1"/>
  <c r="AD21" i="4" s="1"/>
  <c r="Q92" i="9"/>
  <c r="L102" i="6" s="1"/>
  <c r="AD92" i="4" s="1"/>
  <c r="Q60" i="9"/>
  <c r="L70" i="6" s="1"/>
  <c r="AD60" i="4" s="1"/>
  <c r="Q99" i="9"/>
  <c r="L109" i="6" s="1"/>
  <c r="AD99" i="4" s="1"/>
  <c r="Q67" i="9"/>
  <c r="L77" i="6" s="1"/>
  <c r="AD67" i="4" s="1"/>
  <c r="Q18" i="9"/>
  <c r="L28" i="6" s="1"/>
  <c r="AD18" i="4" s="1"/>
  <c r="Q27" i="9"/>
  <c r="L37" i="6" s="1"/>
  <c r="AD27" i="4" s="1"/>
  <c r="Q85" i="9"/>
  <c r="L95" i="6" s="1"/>
  <c r="AD85" i="4" s="1"/>
  <c r="Q78" i="9"/>
  <c r="L88" i="6" s="1"/>
  <c r="AD78" i="4" s="1"/>
  <c r="Q62" i="9"/>
  <c r="L72" i="6" s="1"/>
  <c r="AD62" i="4" s="1"/>
  <c r="Q46" i="9"/>
  <c r="L56" i="6" s="1"/>
  <c r="AD46" i="4" s="1"/>
  <c r="Q14" i="9"/>
  <c r="L24" i="6" s="1"/>
  <c r="AD14" i="4" s="1"/>
  <c r="Q28" i="9"/>
  <c r="L38" i="6" s="1"/>
  <c r="AD28" i="4" s="1"/>
  <c r="Q97" i="9"/>
  <c r="L107" i="6" s="1"/>
  <c r="AD97" i="4" s="1"/>
  <c r="Q65" i="9"/>
  <c r="L75" i="6" s="1"/>
  <c r="AD65" i="4" s="1"/>
  <c r="Q103" i="9"/>
  <c r="L113" i="6" s="1"/>
  <c r="AD103" i="4" s="1"/>
  <c r="Q71" i="9"/>
  <c r="L81" i="6" s="1"/>
  <c r="AD71" i="4" s="1"/>
  <c r="Q39" i="9"/>
  <c r="L49" i="6" s="1"/>
  <c r="AD39" i="4" s="1"/>
  <c r="Q25" i="9"/>
  <c r="L35" i="6" s="1"/>
  <c r="AD25" i="4" s="1"/>
  <c r="Q88" i="9"/>
  <c r="L98" i="6" s="1"/>
  <c r="AD88" i="4" s="1"/>
  <c r="Q56" i="9"/>
  <c r="L66" i="6" s="1"/>
  <c r="AD56" i="4" s="1"/>
  <c r="Q30" i="9"/>
  <c r="L40" i="6" s="1"/>
  <c r="AD30" i="4" s="1"/>
  <c r="Q15" i="9"/>
  <c r="L25" i="6" s="1"/>
  <c r="AD15" i="4" s="1"/>
  <c r="Q100" i="9"/>
  <c r="L110" i="6" s="1"/>
  <c r="AD100" i="4" s="1"/>
  <c r="Q68" i="9"/>
  <c r="L78" i="6" s="1"/>
  <c r="AD68" i="4" s="1"/>
  <c r="Q107" i="9"/>
  <c r="L117" i="6" s="1"/>
  <c r="AD107" i="4" s="1"/>
  <c r="Q75" i="9"/>
  <c r="L85" i="6" s="1"/>
  <c r="AD75" i="4" s="1"/>
  <c r="Q43" i="9"/>
  <c r="L53" i="6" s="1"/>
  <c r="AD43" i="4" s="1"/>
  <c r="Q35" i="9"/>
  <c r="L45" i="6" s="1"/>
  <c r="AD35" i="4" s="1"/>
  <c r="Q77" i="9"/>
  <c r="L87" i="6" s="1"/>
  <c r="AD77" i="4" s="1"/>
  <c r="Q45" i="9"/>
  <c r="L55" i="6" s="1"/>
  <c r="AD45" i="4" s="1"/>
  <c r="Q98" i="9"/>
  <c r="L108" i="6" s="1"/>
  <c r="AD98" i="4" s="1"/>
  <c r="Q82" i="9"/>
  <c r="L92" i="6" s="1"/>
  <c r="AD82" i="4" s="1"/>
  <c r="Q66" i="9"/>
  <c r="L76" i="6" s="1"/>
  <c r="AD66" i="4" s="1"/>
  <c r="Q50" i="9"/>
  <c r="L60" i="6" s="1"/>
  <c r="AD50" i="4" s="1"/>
  <c r="Q12" i="9"/>
  <c r="Q24" i="9"/>
  <c r="L34" i="6" s="1"/>
  <c r="AD24" i="4" s="1"/>
  <c r="Q105" i="9"/>
  <c r="L115" i="6" s="1"/>
  <c r="AD105" i="4" s="1"/>
  <c r="Q73" i="9"/>
  <c r="L83" i="6" s="1"/>
  <c r="AD73" i="4" s="1"/>
  <c r="Q41" i="9"/>
  <c r="L51" i="6" s="1"/>
  <c r="AD41" i="4" s="1"/>
  <c r="Q79" i="9"/>
  <c r="L89" i="6" s="1"/>
  <c r="AD79" i="4" s="1"/>
  <c r="Q47" i="9"/>
  <c r="L57" i="6" s="1"/>
  <c r="AD47" i="4" s="1"/>
  <c r="Q17" i="9"/>
  <c r="L27" i="6" s="1"/>
  <c r="AD17" i="4" s="1"/>
  <c r="Q96" i="9"/>
  <c r="L106" i="6" s="1"/>
  <c r="AD96" i="4" s="1"/>
  <c r="Q64" i="9"/>
  <c r="L74" i="6" s="1"/>
  <c r="AD64" i="4" s="1"/>
  <c r="Q22" i="9"/>
  <c r="L32" i="6" s="1"/>
  <c r="AD22" i="4" s="1"/>
  <c r="Q31" i="9"/>
  <c r="L41" i="6" s="1"/>
  <c r="AD31" i="4" s="1"/>
  <c r="Q108" i="9"/>
  <c r="L118" i="6" s="1"/>
  <c r="AD108" i="4" s="1"/>
  <c r="Q76" i="9"/>
  <c r="L86" i="6" s="1"/>
  <c r="AD76" i="4" s="1"/>
  <c r="Q44" i="9"/>
  <c r="L54" i="6" s="1"/>
  <c r="AD44" i="4" s="1"/>
  <c r="Q83" i="9"/>
  <c r="L93" i="6" s="1"/>
  <c r="AD83" i="4" s="1"/>
  <c r="Q51" i="9"/>
  <c r="L61" i="6" s="1"/>
  <c r="AD51" i="4" s="1"/>
  <c r="Q34" i="9"/>
  <c r="L44" i="6" s="1"/>
  <c r="AD34" i="4" s="1"/>
  <c r="Q101" i="9"/>
  <c r="L111" i="6" s="1"/>
  <c r="AD101" i="4" s="1"/>
  <c r="Q69" i="9"/>
  <c r="L79" i="6" s="1"/>
  <c r="AD69" i="4" s="1"/>
  <c r="K53" i="7"/>
  <c r="M53" i="7" s="1"/>
  <c r="P53" i="7" s="1"/>
  <c r="K37" i="7"/>
  <c r="M37" i="7" s="1"/>
  <c r="P37" i="7" s="1"/>
  <c r="K21" i="7"/>
  <c r="M21" i="7" s="1"/>
  <c r="P21" i="7" s="1"/>
  <c r="K76" i="7"/>
  <c r="M76" i="7" s="1"/>
  <c r="P76" i="7" s="1"/>
  <c r="K14" i="7"/>
  <c r="M14" i="7" s="1"/>
  <c r="P14" i="7" s="1"/>
  <c r="K92" i="7"/>
  <c r="M92" i="7" s="1"/>
  <c r="P92" i="7" s="1"/>
  <c r="K64" i="7"/>
  <c r="M64" i="7" s="1"/>
  <c r="P64" i="7" s="1"/>
  <c r="K69" i="7"/>
  <c r="M69" i="7" s="1"/>
  <c r="P69" i="7" s="1"/>
  <c r="K77" i="7"/>
  <c r="M77" i="7" s="1"/>
  <c r="P77" i="7" s="1"/>
  <c r="K108" i="7"/>
  <c r="M108" i="7" s="1"/>
  <c r="P108" i="7" s="1"/>
  <c r="K56" i="7"/>
  <c r="M56" i="7" s="1"/>
  <c r="P56" i="7" s="1"/>
  <c r="K40" i="7"/>
  <c r="M40" i="7" s="1"/>
  <c r="P40" i="7" s="1"/>
  <c r="K24" i="7"/>
  <c r="M24" i="7" s="1"/>
  <c r="P24" i="7" s="1"/>
  <c r="K39" i="7"/>
  <c r="M39" i="7" s="1"/>
  <c r="P39" i="7" s="1"/>
  <c r="K86" i="7"/>
  <c r="M86" i="7" s="1"/>
  <c r="P86" i="7" s="1"/>
  <c r="K93" i="7"/>
  <c r="M93" i="7" s="1"/>
  <c r="P93" i="7" s="1"/>
  <c r="K49" i="7"/>
  <c r="M49" i="7" s="1"/>
  <c r="P49" i="7" s="1"/>
  <c r="K32" i="7"/>
  <c r="M32" i="7" s="1"/>
  <c r="P32" i="7" s="1"/>
  <c r="K16" i="7"/>
  <c r="M16" i="7" s="1"/>
  <c r="P16" i="7" s="1"/>
  <c r="K55" i="7"/>
  <c r="M55" i="7" s="1"/>
  <c r="P55" i="7" s="1"/>
  <c r="K23" i="7"/>
  <c r="M23" i="7" s="1"/>
  <c r="P23" i="7" s="1"/>
  <c r="K15" i="7"/>
  <c r="M15" i="7" s="1"/>
  <c r="P15" i="7" s="1"/>
  <c r="K70" i="7"/>
  <c r="M70" i="7" s="1"/>
  <c r="P70" i="7" s="1"/>
  <c r="K102" i="7"/>
  <c r="M102" i="7" s="1"/>
  <c r="P102" i="7" s="1"/>
  <c r="K17" i="7"/>
  <c r="M17" i="7" s="1"/>
  <c r="P17" i="7" s="1"/>
  <c r="K63" i="7"/>
  <c r="M63" i="7" s="1"/>
  <c r="P63" i="7" s="1"/>
  <c r="K47" i="7"/>
  <c r="M47" i="7" s="1"/>
  <c r="P47" i="7" s="1"/>
  <c r="K31" i="7"/>
  <c r="M31" i="7" s="1"/>
  <c r="P31" i="7" s="1"/>
  <c r="K85" i="7"/>
  <c r="M85" i="7" s="1"/>
  <c r="P85" i="7" s="1"/>
  <c r="K33" i="7"/>
  <c r="M33" i="7" s="1"/>
  <c r="P33" i="7" s="1"/>
  <c r="K80" i="7"/>
  <c r="M80" i="7" s="1"/>
  <c r="P80" i="7" s="1"/>
  <c r="K101" i="7"/>
  <c r="M101" i="7" s="1"/>
  <c r="P101" i="7" s="1"/>
  <c r="K78" i="7"/>
  <c r="M78" i="7" s="1"/>
  <c r="P78" i="7" s="1"/>
  <c r="K94" i="7"/>
  <c r="M94" i="7" s="1"/>
  <c r="P94" i="7" s="1"/>
  <c r="K65" i="7"/>
  <c r="M65" i="7" s="1"/>
  <c r="P65" i="7" s="1"/>
  <c r="K72" i="7"/>
  <c r="M72" i="7" s="1"/>
  <c r="P72" i="7" s="1"/>
  <c r="K36" i="7"/>
  <c r="M36" i="7" s="1"/>
  <c r="P36" i="7" s="1"/>
  <c r="K57" i="7"/>
  <c r="M57" i="7" s="1"/>
  <c r="P57" i="7" s="1"/>
  <c r="K41" i="7"/>
  <c r="M41" i="7" s="1"/>
  <c r="P41" i="7" s="1"/>
  <c r="K25" i="7"/>
  <c r="M25" i="7" s="1"/>
  <c r="P25" i="7" s="1"/>
  <c r="K68" i="7"/>
  <c r="M68" i="7" s="1"/>
  <c r="P68" i="7" s="1"/>
  <c r="K59" i="7"/>
  <c r="M59" i="7" s="1"/>
  <c r="P59" i="7" s="1"/>
  <c r="K96" i="7"/>
  <c r="M96" i="7" s="1"/>
  <c r="P96" i="7" s="1"/>
  <c r="K52" i="7"/>
  <c r="M52" i="7" s="1"/>
  <c r="P52" i="7" s="1"/>
  <c r="K20" i="7"/>
  <c r="M20" i="7" s="1"/>
  <c r="P20" i="7" s="1"/>
  <c r="K73" i="7"/>
  <c r="M73" i="7" s="1"/>
  <c r="P73" i="7" s="1"/>
  <c r="K82" i="7"/>
  <c r="M82" i="7" s="1"/>
  <c r="P82" i="7" s="1"/>
  <c r="K28" i="7"/>
  <c r="M28" i="7" s="1"/>
  <c r="P28" i="7" s="1"/>
  <c r="K43" i="7"/>
  <c r="M43" i="7" s="1"/>
  <c r="P43" i="7" s="1"/>
  <c r="K88" i="7"/>
  <c r="M88" i="7" s="1"/>
  <c r="P88" i="7" s="1"/>
  <c r="K104" i="7"/>
  <c r="M104" i="7" s="1"/>
  <c r="P104" i="7" s="1"/>
  <c r="K60" i="7"/>
  <c r="M60" i="7" s="1"/>
  <c r="P60" i="7" s="1"/>
  <c r="K44" i="7"/>
  <c r="M44" i="7" s="1"/>
  <c r="P44" i="7" s="1"/>
  <c r="K12" i="7"/>
  <c r="K89" i="7"/>
  <c r="M89" i="7" s="1"/>
  <c r="P89" i="7" s="1"/>
  <c r="K54" i="7"/>
  <c r="M54" i="7" s="1"/>
  <c r="P54" i="7" s="1"/>
  <c r="K67" i="7"/>
  <c r="M67" i="7" s="1"/>
  <c r="P67" i="7" s="1"/>
  <c r="K51" i="7"/>
  <c r="M51" i="7" s="1"/>
  <c r="P51" i="7" s="1"/>
  <c r="K27" i="7"/>
  <c r="M27" i="7" s="1"/>
  <c r="P27" i="7" s="1"/>
  <c r="K35" i="7"/>
  <c r="M35" i="7" s="1"/>
  <c r="P35" i="7" s="1"/>
  <c r="K19" i="7"/>
  <c r="M19" i="7" s="1"/>
  <c r="P19" i="7" s="1"/>
  <c r="K81" i="7"/>
  <c r="M81" i="7" s="1"/>
  <c r="P81" i="7" s="1"/>
  <c r="K105" i="7"/>
  <c r="M105" i="7" s="1"/>
  <c r="P105" i="7" s="1"/>
  <c r="K106" i="7"/>
  <c r="M106" i="7" s="1"/>
  <c r="P106" i="7" s="1"/>
  <c r="K30" i="7"/>
  <c r="M30" i="7" s="1"/>
  <c r="P30" i="7" s="1"/>
  <c r="K79" i="7"/>
  <c r="M79" i="7" s="1"/>
  <c r="P79" i="7" s="1"/>
  <c r="K97" i="7"/>
  <c r="M97" i="7" s="1"/>
  <c r="P97" i="7" s="1"/>
  <c r="K74" i="7"/>
  <c r="M74" i="7" s="1"/>
  <c r="P74" i="7" s="1"/>
  <c r="K90" i="7"/>
  <c r="M90" i="7" s="1"/>
  <c r="P90" i="7" s="1"/>
  <c r="K62" i="7"/>
  <c r="M62" i="7" s="1"/>
  <c r="P62" i="7" s="1"/>
  <c r="K46" i="7"/>
  <c r="M46" i="7" s="1"/>
  <c r="P46" i="7" s="1"/>
  <c r="K95" i="7"/>
  <c r="M95" i="7" s="1"/>
  <c r="P95" i="7" s="1"/>
  <c r="K98" i="7"/>
  <c r="M98" i="7" s="1"/>
  <c r="P98" i="7" s="1"/>
  <c r="K66" i="7"/>
  <c r="M66" i="7" s="1"/>
  <c r="P66" i="7" s="1"/>
  <c r="K58" i="7"/>
  <c r="M58" i="7" s="1"/>
  <c r="P58" i="7" s="1"/>
  <c r="K50" i="7"/>
  <c r="M50" i="7" s="1"/>
  <c r="P50" i="7" s="1"/>
  <c r="K38" i="7"/>
  <c r="M38" i="7" s="1"/>
  <c r="P38" i="7" s="1"/>
  <c r="K22" i="7"/>
  <c r="M22" i="7" s="1"/>
  <c r="P22" i="7" s="1"/>
  <c r="K87" i="7"/>
  <c r="M87" i="7" s="1"/>
  <c r="P87" i="7" s="1"/>
  <c r="K103" i="7"/>
  <c r="M103" i="7" s="1"/>
  <c r="P103" i="7" s="1"/>
  <c r="K42" i="7"/>
  <c r="M42" i="7" s="1"/>
  <c r="P42" i="7" s="1"/>
  <c r="K34" i="7"/>
  <c r="M34" i="7" s="1"/>
  <c r="P34" i="7" s="1"/>
  <c r="K26" i="7"/>
  <c r="M26" i="7" s="1"/>
  <c r="P26" i="7" s="1"/>
  <c r="K71" i="7"/>
  <c r="M71" i="7" s="1"/>
  <c r="P71" i="7" s="1"/>
  <c r="K75" i="7"/>
  <c r="M75" i="7" s="1"/>
  <c r="P75" i="7" s="1"/>
  <c r="K83" i="7"/>
  <c r="M83" i="7" s="1"/>
  <c r="P83" i="7" s="1"/>
  <c r="K91" i="7"/>
  <c r="M91" i="7" s="1"/>
  <c r="P91" i="7" s="1"/>
  <c r="K99" i="7"/>
  <c r="M99" i="7" s="1"/>
  <c r="P99" i="7" s="1"/>
  <c r="K107" i="7"/>
  <c r="M107" i="7" s="1"/>
  <c r="P107" i="7" s="1"/>
  <c r="K18" i="7"/>
  <c r="M18" i="7" s="1"/>
  <c r="P18" i="7" s="1"/>
  <c r="H6" i="1" l="1"/>
  <c r="L9" i="1"/>
  <c r="L10" i="1" s="1"/>
  <c r="I19" i="4" s="1"/>
  <c r="C17" i="6" s="1"/>
  <c r="H5" i="1"/>
  <c r="H9" i="1" s="1"/>
  <c r="H7" i="1"/>
  <c r="H10" i="1" s="1"/>
  <c r="L7" i="1" s="1"/>
  <c r="K104" i="8"/>
  <c r="M104" i="8" s="1"/>
  <c r="P104" i="8" s="1"/>
  <c r="K96" i="10"/>
  <c r="M96" i="10" s="1"/>
  <c r="P96" i="10" s="1"/>
  <c r="K18" i="10"/>
  <c r="M18" i="10" s="1"/>
  <c r="P18" i="10" s="1"/>
  <c r="L22" i="6"/>
  <c r="L16" i="6" s="1"/>
  <c r="K104" i="10"/>
  <c r="M104" i="10" s="1"/>
  <c r="P104" i="10" s="1"/>
  <c r="K88" i="10"/>
  <c r="M88" i="10" s="1"/>
  <c r="P88" i="10" s="1"/>
  <c r="K72" i="10"/>
  <c r="M72" i="10" s="1"/>
  <c r="P72" i="10" s="1"/>
  <c r="K108" i="10"/>
  <c r="M108" i="10" s="1"/>
  <c r="P108" i="10" s="1"/>
  <c r="K92" i="10"/>
  <c r="M92" i="10" s="1"/>
  <c r="P92" i="10" s="1"/>
  <c r="K76" i="10"/>
  <c r="M76" i="10" s="1"/>
  <c r="P76" i="10" s="1"/>
  <c r="K101" i="10"/>
  <c r="M101" i="10" s="1"/>
  <c r="P101" i="10" s="1"/>
  <c r="K85" i="10"/>
  <c r="M85" i="10" s="1"/>
  <c r="P85" i="10" s="1"/>
  <c r="K69" i="10"/>
  <c r="M69" i="10" s="1"/>
  <c r="P69" i="10" s="1"/>
  <c r="K53" i="10"/>
  <c r="M53" i="10" s="1"/>
  <c r="P53" i="10" s="1"/>
  <c r="K37" i="10"/>
  <c r="M37" i="10" s="1"/>
  <c r="P37" i="10" s="1"/>
  <c r="K60" i="10"/>
  <c r="M60" i="10" s="1"/>
  <c r="P60" i="10" s="1"/>
  <c r="K44" i="10"/>
  <c r="M44" i="10" s="1"/>
  <c r="P44" i="10" s="1"/>
  <c r="K28" i="10"/>
  <c r="M28" i="10" s="1"/>
  <c r="P28" i="10" s="1"/>
  <c r="K13" i="10"/>
  <c r="M13" i="10" s="1"/>
  <c r="P13" i="10" s="1"/>
  <c r="K12" i="10"/>
  <c r="M12" i="10" s="1"/>
  <c r="P12" i="10" s="1"/>
  <c r="K94" i="10"/>
  <c r="M94" i="10" s="1"/>
  <c r="P94" i="10" s="1"/>
  <c r="K78" i="10"/>
  <c r="M78" i="10" s="1"/>
  <c r="P78" i="10" s="1"/>
  <c r="K103" i="10"/>
  <c r="M103" i="10" s="1"/>
  <c r="P103" i="10" s="1"/>
  <c r="K87" i="10"/>
  <c r="M87" i="10" s="1"/>
  <c r="P87" i="10" s="1"/>
  <c r="K71" i="10"/>
  <c r="M71" i="10" s="1"/>
  <c r="P71" i="10" s="1"/>
  <c r="K55" i="10"/>
  <c r="M55" i="10" s="1"/>
  <c r="P55" i="10" s="1"/>
  <c r="K39" i="10"/>
  <c r="M39" i="10" s="1"/>
  <c r="P39" i="10" s="1"/>
  <c r="K62" i="10"/>
  <c r="M62" i="10" s="1"/>
  <c r="P62" i="10" s="1"/>
  <c r="K46" i="10"/>
  <c r="M46" i="10" s="1"/>
  <c r="P46" i="10" s="1"/>
  <c r="K30" i="10"/>
  <c r="M30" i="10" s="1"/>
  <c r="P30" i="10" s="1"/>
  <c r="K15" i="10"/>
  <c r="M15" i="10" s="1"/>
  <c r="P15" i="10" s="1"/>
  <c r="K14" i="10"/>
  <c r="M14" i="10" s="1"/>
  <c r="P14" i="10" s="1"/>
  <c r="K97" i="10"/>
  <c r="M97" i="10" s="1"/>
  <c r="P97" i="10" s="1"/>
  <c r="K81" i="10"/>
  <c r="M81" i="10" s="1"/>
  <c r="P81" i="10" s="1"/>
  <c r="K57" i="10"/>
  <c r="M57" i="10" s="1"/>
  <c r="P57" i="10" s="1"/>
  <c r="K41" i="10"/>
  <c r="M41" i="10" s="1"/>
  <c r="P41" i="10" s="1"/>
  <c r="K64" i="10"/>
  <c r="M64" i="10" s="1"/>
  <c r="P64" i="10" s="1"/>
  <c r="K48" i="10"/>
  <c r="M48" i="10" s="1"/>
  <c r="P48" i="10" s="1"/>
  <c r="K32" i="10"/>
  <c r="M32" i="10" s="1"/>
  <c r="P32" i="10" s="1"/>
  <c r="K17" i="10"/>
  <c r="M17" i="10" s="1"/>
  <c r="P17" i="10" s="1"/>
  <c r="K16" i="10"/>
  <c r="M16" i="10" s="1"/>
  <c r="P16" i="10" s="1"/>
  <c r="K98" i="10"/>
  <c r="M98" i="10" s="1"/>
  <c r="P98" i="10" s="1"/>
  <c r="K82" i="10"/>
  <c r="M82" i="10" s="1"/>
  <c r="P82" i="10" s="1"/>
  <c r="K107" i="10"/>
  <c r="M107" i="10" s="1"/>
  <c r="P107" i="10" s="1"/>
  <c r="K91" i="10"/>
  <c r="M91" i="10" s="1"/>
  <c r="P91" i="10" s="1"/>
  <c r="K75" i="10"/>
  <c r="M75" i="10" s="1"/>
  <c r="P75" i="10" s="1"/>
  <c r="K59" i="10"/>
  <c r="M59" i="10" s="1"/>
  <c r="P59" i="10" s="1"/>
  <c r="K43" i="10"/>
  <c r="M43" i="10" s="1"/>
  <c r="P43" i="10" s="1"/>
  <c r="K66" i="10"/>
  <c r="M66" i="10" s="1"/>
  <c r="P66" i="10" s="1"/>
  <c r="K50" i="10"/>
  <c r="M50" i="10" s="1"/>
  <c r="P50" i="10" s="1"/>
  <c r="K34" i="10"/>
  <c r="M34" i="10" s="1"/>
  <c r="P34" i="10" s="1"/>
  <c r="K19" i="10"/>
  <c r="M19" i="10" s="1"/>
  <c r="P19" i="10" s="1"/>
  <c r="K80" i="10"/>
  <c r="M80" i="10" s="1"/>
  <c r="P80" i="10" s="1"/>
  <c r="K65" i="10"/>
  <c r="M65" i="10" s="1"/>
  <c r="P65" i="10" s="1"/>
  <c r="K100" i="10"/>
  <c r="M100" i="10" s="1"/>
  <c r="P100" i="10" s="1"/>
  <c r="K84" i="10"/>
  <c r="M84" i="10" s="1"/>
  <c r="P84" i="10" s="1"/>
  <c r="K68" i="10"/>
  <c r="M68" i="10" s="1"/>
  <c r="P68" i="10" s="1"/>
  <c r="K93" i="10"/>
  <c r="M93" i="10" s="1"/>
  <c r="P93" i="10" s="1"/>
  <c r="K77" i="10"/>
  <c r="M77" i="10" s="1"/>
  <c r="P77" i="10" s="1"/>
  <c r="K61" i="10"/>
  <c r="M61" i="10" s="1"/>
  <c r="P61" i="10" s="1"/>
  <c r="K45" i="10"/>
  <c r="M45" i="10" s="1"/>
  <c r="P45" i="10" s="1"/>
  <c r="K29" i="10"/>
  <c r="M29" i="10" s="1"/>
  <c r="P29" i="10" s="1"/>
  <c r="K52" i="10"/>
  <c r="M52" i="10" s="1"/>
  <c r="P52" i="10" s="1"/>
  <c r="K36" i="10"/>
  <c r="M36" i="10" s="1"/>
  <c r="P36" i="10" s="1"/>
  <c r="K21" i="10"/>
  <c r="M21" i="10" s="1"/>
  <c r="P21" i="10" s="1"/>
  <c r="K20" i="10"/>
  <c r="M20" i="10" s="1"/>
  <c r="P20" i="10" s="1"/>
  <c r="K102" i="10"/>
  <c r="M102" i="10" s="1"/>
  <c r="P102" i="10" s="1"/>
  <c r="K86" i="10"/>
  <c r="M86" i="10" s="1"/>
  <c r="P86" i="10" s="1"/>
  <c r="K70" i="10"/>
  <c r="M70" i="10" s="1"/>
  <c r="P70" i="10" s="1"/>
  <c r="K95" i="10"/>
  <c r="M95" i="10" s="1"/>
  <c r="P95" i="10" s="1"/>
  <c r="K79" i="10"/>
  <c r="M79" i="10" s="1"/>
  <c r="P79" i="10" s="1"/>
  <c r="K63" i="10"/>
  <c r="M63" i="10" s="1"/>
  <c r="P63" i="10" s="1"/>
  <c r="K47" i="10"/>
  <c r="M47" i="10" s="1"/>
  <c r="P47" i="10" s="1"/>
  <c r="K31" i="10"/>
  <c r="M31" i="10" s="1"/>
  <c r="P31" i="10" s="1"/>
  <c r="K54" i="10"/>
  <c r="M54" i="10" s="1"/>
  <c r="P54" i="10" s="1"/>
  <c r="K38" i="10"/>
  <c r="M38" i="10" s="1"/>
  <c r="P38" i="10" s="1"/>
  <c r="K23" i="10"/>
  <c r="M23" i="10" s="1"/>
  <c r="P23" i="10" s="1"/>
  <c r="K22" i="10"/>
  <c r="M22" i="10" s="1"/>
  <c r="P22" i="10" s="1"/>
  <c r="K105" i="10"/>
  <c r="M105" i="10" s="1"/>
  <c r="P105" i="10" s="1"/>
  <c r="K89" i="10"/>
  <c r="M89" i="10" s="1"/>
  <c r="P89" i="10" s="1"/>
  <c r="K73" i="10"/>
  <c r="M73" i="10" s="1"/>
  <c r="P73" i="10" s="1"/>
  <c r="K49" i="10"/>
  <c r="M49" i="10" s="1"/>
  <c r="P49" i="10" s="1"/>
  <c r="K33" i="10"/>
  <c r="M33" i="10" s="1"/>
  <c r="P33" i="10" s="1"/>
  <c r="K56" i="10"/>
  <c r="M56" i="10" s="1"/>
  <c r="P56" i="10" s="1"/>
  <c r="K40" i="10"/>
  <c r="M40" i="10" s="1"/>
  <c r="P40" i="10" s="1"/>
  <c r="K24" i="10"/>
  <c r="M24" i="10" s="1"/>
  <c r="P24" i="10" s="1"/>
  <c r="K25" i="10"/>
  <c r="M25" i="10" s="1"/>
  <c r="P25" i="10" s="1"/>
  <c r="K106" i="10"/>
  <c r="M106" i="10" s="1"/>
  <c r="P106" i="10" s="1"/>
  <c r="K90" i="10"/>
  <c r="M90" i="10" s="1"/>
  <c r="P90" i="10" s="1"/>
  <c r="K74" i="10"/>
  <c r="M74" i="10" s="1"/>
  <c r="P74" i="10" s="1"/>
  <c r="K99" i="10"/>
  <c r="M99" i="10" s="1"/>
  <c r="P99" i="10" s="1"/>
  <c r="K83" i="10"/>
  <c r="M83" i="10" s="1"/>
  <c r="P83" i="10" s="1"/>
  <c r="K67" i="10"/>
  <c r="M67" i="10" s="1"/>
  <c r="P67" i="10" s="1"/>
  <c r="K51" i="10"/>
  <c r="M51" i="10" s="1"/>
  <c r="P51" i="10" s="1"/>
  <c r="K35" i="10"/>
  <c r="M35" i="10" s="1"/>
  <c r="P35" i="10" s="1"/>
  <c r="K58" i="10"/>
  <c r="M58" i="10" s="1"/>
  <c r="P58" i="10" s="1"/>
  <c r="K42" i="10"/>
  <c r="M42" i="10" s="1"/>
  <c r="P42" i="10" s="1"/>
  <c r="K26" i="10"/>
  <c r="M26" i="10" s="1"/>
  <c r="P26" i="10" s="1"/>
  <c r="K27" i="10"/>
  <c r="M27" i="10" s="1"/>
  <c r="P27" i="10" s="1"/>
  <c r="K96" i="8"/>
  <c r="M96" i="8" s="1"/>
  <c r="P96" i="8" s="1"/>
  <c r="K80" i="8"/>
  <c r="M80" i="8" s="1"/>
  <c r="P80" i="8" s="1"/>
  <c r="K105" i="8"/>
  <c r="M105" i="8" s="1"/>
  <c r="P105" i="8" s="1"/>
  <c r="K89" i="8"/>
  <c r="M89" i="8" s="1"/>
  <c r="P89" i="8" s="1"/>
  <c r="K73" i="8"/>
  <c r="M73" i="8" s="1"/>
  <c r="P73" i="8" s="1"/>
  <c r="K58" i="8"/>
  <c r="M58" i="8" s="1"/>
  <c r="P58" i="8" s="1"/>
  <c r="K42" i="8"/>
  <c r="M42" i="8" s="1"/>
  <c r="P42" i="8" s="1"/>
  <c r="K26" i="8"/>
  <c r="M26" i="8" s="1"/>
  <c r="P26" i="8" s="1"/>
  <c r="K65" i="8"/>
  <c r="M65" i="8" s="1"/>
  <c r="P65" i="8" s="1"/>
  <c r="K49" i="8"/>
  <c r="M49" i="8" s="1"/>
  <c r="P49" i="8" s="1"/>
  <c r="K33" i="8"/>
  <c r="M33" i="8" s="1"/>
  <c r="P33" i="8" s="1"/>
  <c r="K17" i="8"/>
  <c r="M17" i="8" s="1"/>
  <c r="P17" i="8" s="1"/>
  <c r="K98" i="8"/>
  <c r="M98" i="8" s="1"/>
  <c r="P98" i="8" s="1"/>
  <c r="K82" i="8"/>
  <c r="M82" i="8" s="1"/>
  <c r="P82" i="8" s="1"/>
  <c r="K107" i="8"/>
  <c r="M107" i="8" s="1"/>
  <c r="P107" i="8" s="1"/>
  <c r="K91" i="8"/>
  <c r="M91" i="8" s="1"/>
  <c r="P91" i="8" s="1"/>
  <c r="K75" i="8"/>
  <c r="M75" i="8" s="1"/>
  <c r="P75" i="8" s="1"/>
  <c r="K60" i="8"/>
  <c r="M60" i="8" s="1"/>
  <c r="P60" i="8" s="1"/>
  <c r="K44" i="8"/>
  <c r="M44" i="8" s="1"/>
  <c r="P44" i="8" s="1"/>
  <c r="K28" i="8"/>
  <c r="M28" i="8" s="1"/>
  <c r="P28" i="8" s="1"/>
  <c r="K12" i="8"/>
  <c r="M12" i="8" s="1"/>
  <c r="P12" i="8" s="1"/>
  <c r="K51" i="8"/>
  <c r="M51" i="8" s="1"/>
  <c r="P51" i="8" s="1"/>
  <c r="K35" i="8"/>
  <c r="M35" i="8" s="1"/>
  <c r="P35" i="8" s="1"/>
  <c r="K19" i="8"/>
  <c r="M19" i="8" s="1"/>
  <c r="P19" i="8" s="1"/>
  <c r="K108" i="8"/>
  <c r="M108" i="8" s="1"/>
  <c r="P108" i="8" s="1"/>
  <c r="K92" i="8"/>
  <c r="M92" i="8" s="1"/>
  <c r="P92" i="8" s="1"/>
  <c r="K76" i="8"/>
  <c r="M76" i="8" s="1"/>
  <c r="P76" i="8" s="1"/>
  <c r="K101" i="8"/>
  <c r="M101" i="8" s="1"/>
  <c r="P101" i="8" s="1"/>
  <c r="K85" i="8"/>
  <c r="M85" i="8" s="1"/>
  <c r="P85" i="8" s="1"/>
  <c r="K69" i="8"/>
  <c r="M69" i="8" s="1"/>
  <c r="P69" i="8" s="1"/>
  <c r="K54" i="8"/>
  <c r="M54" i="8" s="1"/>
  <c r="P54" i="8" s="1"/>
  <c r="K38" i="8"/>
  <c r="M38" i="8" s="1"/>
  <c r="P38" i="8" s="1"/>
  <c r="K22" i="8"/>
  <c r="M22" i="8" s="1"/>
  <c r="P22" i="8" s="1"/>
  <c r="K61" i="8"/>
  <c r="M61" i="8" s="1"/>
  <c r="P61" i="8" s="1"/>
  <c r="K45" i="8"/>
  <c r="M45" i="8" s="1"/>
  <c r="P45" i="8" s="1"/>
  <c r="K29" i="8"/>
  <c r="M29" i="8" s="1"/>
  <c r="P29" i="8" s="1"/>
  <c r="K13" i="8"/>
  <c r="M13" i="8" s="1"/>
  <c r="P13" i="8" s="1"/>
  <c r="K94" i="8"/>
  <c r="M94" i="8" s="1"/>
  <c r="P94" i="8" s="1"/>
  <c r="K78" i="8"/>
  <c r="M78" i="8" s="1"/>
  <c r="P78" i="8" s="1"/>
  <c r="K103" i="8"/>
  <c r="M103" i="8" s="1"/>
  <c r="P103" i="8" s="1"/>
  <c r="K87" i="8"/>
  <c r="M87" i="8" s="1"/>
  <c r="P87" i="8" s="1"/>
  <c r="K71" i="8"/>
  <c r="M71" i="8" s="1"/>
  <c r="P71" i="8" s="1"/>
  <c r="K56" i="8"/>
  <c r="M56" i="8" s="1"/>
  <c r="P56" i="8" s="1"/>
  <c r="K40" i="8"/>
  <c r="M40" i="8" s="1"/>
  <c r="P40" i="8" s="1"/>
  <c r="K24" i="8"/>
  <c r="M24" i="8" s="1"/>
  <c r="P24" i="8" s="1"/>
  <c r="K63" i="8"/>
  <c r="M63" i="8" s="1"/>
  <c r="P63" i="8" s="1"/>
  <c r="K47" i="8"/>
  <c r="M47" i="8" s="1"/>
  <c r="P47" i="8" s="1"/>
  <c r="K31" i="8"/>
  <c r="M31" i="8" s="1"/>
  <c r="P31" i="8" s="1"/>
  <c r="K15" i="8"/>
  <c r="M15" i="8" s="1"/>
  <c r="P15" i="8" s="1"/>
  <c r="K88" i="8"/>
  <c r="M88" i="8" s="1"/>
  <c r="P88" i="8" s="1"/>
  <c r="K72" i="8"/>
  <c r="M72" i="8" s="1"/>
  <c r="P72" i="8" s="1"/>
  <c r="K97" i="8"/>
  <c r="M97" i="8" s="1"/>
  <c r="P97" i="8" s="1"/>
  <c r="K81" i="8"/>
  <c r="M81" i="8" s="1"/>
  <c r="P81" i="8" s="1"/>
  <c r="K66" i="8"/>
  <c r="M66" i="8" s="1"/>
  <c r="P66" i="8" s="1"/>
  <c r="K50" i="8"/>
  <c r="M50" i="8" s="1"/>
  <c r="P50" i="8" s="1"/>
  <c r="K34" i="8"/>
  <c r="M34" i="8" s="1"/>
  <c r="P34" i="8" s="1"/>
  <c r="K18" i="8"/>
  <c r="M18" i="8" s="1"/>
  <c r="P18" i="8" s="1"/>
  <c r="K57" i="8"/>
  <c r="M57" i="8" s="1"/>
  <c r="P57" i="8" s="1"/>
  <c r="K41" i="8"/>
  <c r="M41" i="8" s="1"/>
  <c r="P41" i="8" s="1"/>
  <c r="K25" i="8"/>
  <c r="M25" i="8" s="1"/>
  <c r="P25" i="8" s="1"/>
  <c r="K106" i="8"/>
  <c r="M106" i="8" s="1"/>
  <c r="P106" i="8" s="1"/>
  <c r="K90" i="8"/>
  <c r="M90" i="8" s="1"/>
  <c r="P90" i="8" s="1"/>
  <c r="K74" i="8"/>
  <c r="M74" i="8" s="1"/>
  <c r="P74" i="8" s="1"/>
  <c r="K99" i="8"/>
  <c r="M99" i="8" s="1"/>
  <c r="P99" i="8" s="1"/>
  <c r="K83" i="8"/>
  <c r="M83" i="8" s="1"/>
  <c r="P83" i="8" s="1"/>
  <c r="K67" i="8"/>
  <c r="M67" i="8" s="1"/>
  <c r="P67" i="8" s="1"/>
  <c r="K52" i="8"/>
  <c r="M52" i="8" s="1"/>
  <c r="P52" i="8" s="1"/>
  <c r="K36" i="8"/>
  <c r="M36" i="8" s="1"/>
  <c r="P36" i="8" s="1"/>
  <c r="K20" i="8"/>
  <c r="M20" i="8" s="1"/>
  <c r="P20" i="8" s="1"/>
  <c r="K59" i="8"/>
  <c r="M59" i="8" s="1"/>
  <c r="P59" i="8" s="1"/>
  <c r="K43" i="8"/>
  <c r="M43" i="8" s="1"/>
  <c r="P43" i="8" s="1"/>
  <c r="K27" i="8"/>
  <c r="M27" i="8" s="1"/>
  <c r="P27" i="8" s="1"/>
  <c r="K100" i="8"/>
  <c r="M100" i="8" s="1"/>
  <c r="P100" i="8" s="1"/>
  <c r="K84" i="8"/>
  <c r="M84" i="8" s="1"/>
  <c r="P84" i="8" s="1"/>
  <c r="K68" i="8"/>
  <c r="M68" i="8" s="1"/>
  <c r="P68" i="8" s="1"/>
  <c r="K93" i="8"/>
  <c r="M93" i="8" s="1"/>
  <c r="P93" i="8" s="1"/>
  <c r="K77" i="8"/>
  <c r="M77" i="8" s="1"/>
  <c r="P77" i="8" s="1"/>
  <c r="K62" i="8"/>
  <c r="M62" i="8" s="1"/>
  <c r="P62" i="8" s="1"/>
  <c r="K46" i="8"/>
  <c r="M46" i="8" s="1"/>
  <c r="P46" i="8" s="1"/>
  <c r="K30" i="8"/>
  <c r="M30" i="8" s="1"/>
  <c r="P30" i="8" s="1"/>
  <c r="K14" i="8"/>
  <c r="M14" i="8" s="1"/>
  <c r="P14" i="8" s="1"/>
  <c r="K53" i="8"/>
  <c r="M53" i="8" s="1"/>
  <c r="P53" i="8" s="1"/>
  <c r="K37" i="8"/>
  <c r="M37" i="8" s="1"/>
  <c r="P37" i="8" s="1"/>
  <c r="K21" i="8"/>
  <c r="M21" i="8" s="1"/>
  <c r="P21" i="8" s="1"/>
  <c r="K102" i="8"/>
  <c r="M102" i="8" s="1"/>
  <c r="P102" i="8" s="1"/>
  <c r="K86" i="8"/>
  <c r="M86" i="8" s="1"/>
  <c r="P86" i="8" s="1"/>
  <c r="K70" i="8"/>
  <c r="M70" i="8" s="1"/>
  <c r="P70" i="8" s="1"/>
  <c r="K95" i="8"/>
  <c r="M95" i="8" s="1"/>
  <c r="P95" i="8" s="1"/>
  <c r="K79" i="8"/>
  <c r="M79" i="8" s="1"/>
  <c r="P79" i="8" s="1"/>
  <c r="K64" i="8"/>
  <c r="M64" i="8" s="1"/>
  <c r="P64" i="8" s="1"/>
  <c r="K48" i="8"/>
  <c r="M48" i="8" s="1"/>
  <c r="P48" i="8" s="1"/>
  <c r="K32" i="8"/>
  <c r="M32" i="8" s="1"/>
  <c r="P32" i="8" s="1"/>
  <c r="K16" i="8"/>
  <c r="M16" i="8" s="1"/>
  <c r="P16" i="8" s="1"/>
  <c r="K55" i="8"/>
  <c r="M55" i="8" s="1"/>
  <c r="P55" i="8" s="1"/>
  <c r="K39" i="8"/>
  <c r="M39" i="8" s="1"/>
  <c r="P39" i="8" s="1"/>
  <c r="K23" i="8"/>
  <c r="M23" i="8" s="1"/>
  <c r="P23" i="8" s="1"/>
  <c r="M12" i="7"/>
  <c r="P12" i="7" s="1"/>
  <c r="Q18" i="7" s="1"/>
  <c r="I28" i="6" s="1"/>
  <c r="Q74" i="10" l="1"/>
  <c r="K84" i="6" s="1"/>
  <c r="Q18" i="10"/>
  <c r="K28" i="6" s="1"/>
  <c r="Q96" i="10"/>
  <c r="K106" i="6" s="1"/>
  <c r="Q38" i="10"/>
  <c r="K48" i="6" s="1"/>
  <c r="Q84" i="10"/>
  <c r="K94" i="6" s="1"/>
  <c r="Q47" i="10"/>
  <c r="K57" i="6" s="1"/>
  <c r="Q71" i="10"/>
  <c r="K81" i="6" s="1"/>
  <c r="Q87" i="10"/>
  <c r="K97" i="6" s="1"/>
  <c r="Q95" i="10"/>
  <c r="K105" i="6" s="1"/>
  <c r="Q98" i="10"/>
  <c r="K108" i="6" s="1"/>
  <c r="Q76" i="10"/>
  <c r="K86" i="6" s="1"/>
  <c r="Q51" i="10"/>
  <c r="K61" i="6" s="1"/>
  <c r="Q41" i="10"/>
  <c r="K51" i="6" s="1"/>
  <c r="Q33" i="10"/>
  <c r="K43" i="6" s="1"/>
  <c r="Q36" i="10"/>
  <c r="K46" i="6" s="1"/>
  <c r="Q27" i="10"/>
  <c r="K37" i="6" s="1"/>
  <c r="Q37" i="10"/>
  <c r="K47" i="6" s="1"/>
  <c r="Q91" i="10"/>
  <c r="K101" i="6" s="1"/>
  <c r="Q32" i="10"/>
  <c r="K42" i="6" s="1"/>
  <c r="Q28" i="10"/>
  <c r="K38" i="6" s="1"/>
  <c r="Q43" i="10"/>
  <c r="K53" i="6" s="1"/>
  <c r="Q81" i="10"/>
  <c r="K91" i="6" s="1"/>
  <c r="Q56" i="10"/>
  <c r="K66" i="6" s="1"/>
  <c r="Q61" i="10"/>
  <c r="K71" i="6" s="1"/>
  <c r="Q19" i="10"/>
  <c r="K29" i="6" s="1"/>
  <c r="Q107" i="10"/>
  <c r="K117" i="6" s="1"/>
  <c r="Q17" i="10"/>
  <c r="K27" i="6" s="1"/>
  <c r="Q14" i="10"/>
  <c r="K24" i="6" s="1"/>
  <c r="Q45" i="10"/>
  <c r="K55" i="6" s="1"/>
  <c r="Q53" i="10"/>
  <c r="K63" i="6" s="1"/>
  <c r="Q105" i="10"/>
  <c r="K115" i="6" s="1"/>
  <c r="Q13" i="10"/>
  <c r="K23" i="6" s="1"/>
  <c r="Q101" i="10"/>
  <c r="K111" i="6" s="1"/>
  <c r="Q66" i="10"/>
  <c r="K76" i="6" s="1"/>
  <c r="Q72" i="10"/>
  <c r="K82" i="6" s="1"/>
  <c r="Q54" i="10"/>
  <c r="K64" i="6" s="1"/>
  <c r="Q57" i="10"/>
  <c r="K67" i="6" s="1"/>
  <c r="Q70" i="10"/>
  <c r="K80" i="6" s="1"/>
  <c r="Q46" i="10"/>
  <c r="K56" i="6" s="1"/>
  <c r="Q94" i="10"/>
  <c r="K104" i="6" s="1"/>
  <c r="Q25" i="10"/>
  <c r="K35" i="6" s="1"/>
  <c r="Q58" i="10"/>
  <c r="K68" i="6" s="1"/>
  <c r="Q83" i="10"/>
  <c r="K93" i="6" s="1"/>
  <c r="Q24" i="10"/>
  <c r="K34" i="6" s="1"/>
  <c r="Q49" i="10"/>
  <c r="K59" i="6" s="1"/>
  <c r="Q89" i="10"/>
  <c r="K99" i="6" s="1"/>
  <c r="Q22" i="10"/>
  <c r="K32" i="6" s="1"/>
  <c r="Q31" i="10"/>
  <c r="K41" i="6" s="1"/>
  <c r="Q63" i="10"/>
  <c r="K73" i="6" s="1"/>
  <c r="Q86" i="10"/>
  <c r="K96" i="6" s="1"/>
  <c r="Q20" i="10"/>
  <c r="K30" i="6" s="1"/>
  <c r="Q29" i="10"/>
  <c r="K39" i="6" s="1"/>
  <c r="Q93" i="10"/>
  <c r="K103" i="6" s="1"/>
  <c r="Q65" i="10"/>
  <c r="K75" i="6" s="1"/>
  <c r="Q50" i="10"/>
  <c r="K60" i="6" s="1"/>
  <c r="Q75" i="10"/>
  <c r="K85" i="6" s="1"/>
  <c r="Q48" i="10"/>
  <c r="K58" i="6" s="1"/>
  <c r="Q62" i="10"/>
  <c r="K72" i="6" s="1"/>
  <c r="Q42" i="10"/>
  <c r="K52" i="6" s="1"/>
  <c r="Q60" i="10"/>
  <c r="K70" i="6" s="1"/>
  <c r="Q85" i="10"/>
  <c r="K95" i="6" s="1"/>
  <c r="Q108" i="10"/>
  <c r="K118" i="6" s="1"/>
  <c r="Q88" i="10"/>
  <c r="K98" i="6" s="1"/>
  <c r="Q73" i="10"/>
  <c r="K83" i="6" s="1"/>
  <c r="Q44" i="10"/>
  <c r="K54" i="6" s="1"/>
  <c r="Q69" i="10"/>
  <c r="K79" i="6" s="1"/>
  <c r="Q92" i="10"/>
  <c r="K102" i="6" s="1"/>
  <c r="Q34" i="10"/>
  <c r="K44" i="6" s="1"/>
  <c r="Q59" i="10"/>
  <c r="K69" i="6" s="1"/>
  <c r="Q82" i="10"/>
  <c r="K92" i="6" s="1"/>
  <c r="Q23" i="10"/>
  <c r="K33" i="6" s="1"/>
  <c r="Q16" i="10"/>
  <c r="K26" i="6" s="1"/>
  <c r="Q64" i="10"/>
  <c r="K74" i="6" s="1"/>
  <c r="Q79" i="10"/>
  <c r="K89" i="6" s="1"/>
  <c r="Q12" i="10"/>
  <c r="K22" i="6" s="1"/>
  <c r="Q80" i="10"/>
  <c r="K90" i="6" s="1"/>
  <c r="Q15" i="10"/>
  <c r="K25" i="6" s="1"/>
  <c r="Q39" i="10"/>
  <c r="K49" i="6" s="1"/>
  <c r="Q103" i="10"/>
  <c r="K113" i="6" s="1"/>
  <c r="Q40" i="10"/>
  <c r="K50" i="6" s="1"/>
  <c r="Q21" i="10"/>
  <c r="K31" i="6" s="1"/>
  <c r="Q68" i="10"/>
  <c r="K78" i="6" s="1"/>
  <c r="L5" i="1"/>
  <c r="I23" i="4" s="1"/>
  <c r="L6" i="1"/>
  <c r="C11" i="6" s="1"/>
  <c r="L17" i="6"/>
  <c r="AD12" i="4"/>
  <c r="Q39" i="7"/>
  <c r="I49" i="6" s="1"/>
  <c r="Q76" i="7"/>
  <c r="I86" i="6" s="1"/>
  <c r="Q41" i="7"/>
  <c r="I51" i="6" s="1"/>
  <c r="Q40" i="7"/>
  <c r="I50" i="6" s="1"/>
  <c r="Q70" i="7"/>
  <c r="I80" i="6" s="1"/>
  <c r="Q17" i="7"/>
  <c r="I27" i="6" s="1"/>
  <c r="Q98" i="7"/>
  <c r="I108" i="6" s="1"/>
  <c r="Q100" i="7"/>
  <c r="I110" i="6" s="1"/>
  <c r="Q67" i="7"/>
  <c r="I77" i="6" s="1"/>
  <c r="Q53" i="7"/>
  <c r="I63" i="6" s="1"/>
  <c r="Q86" i="7"/>
  <c r="I96" i="6" s="1"/>
  <c r="Q64" i="7"/>
  <c r="I74" i="6" s="1"/>
  <c r="Q106" i="10"/>
  <c r="K116" i="6" s="1"/>
  <c r="Q52" i="7"/>
  <c r="I62" i="6" s="1"/>
  <c r="Q15" i="7"/>
  <c r="I25" i="6" s="1"/>
  <c r="Q43" i="7"/>
  <c r="I53" i="6" s="1"/>
  <c r="Q30" i="7"/>
  <c r="I40" i="6" s="1"/>
  <c r="Q42" i="7"/>
  <c r="I52" i="6" s="1"/>
  <c r="Q24" i="7"/>
  <c r="I34" i="6" s="1"/>
  <c r="Q20" i="7"/>
  <c r="I30" i="6" s="1"/>
  <c r="Q65" i="7"/>
  <c r="I75" i="6" s="1"/>
  <c r="Q45" i="7"/>
  <c r="I55" i="6" s="1"/>
  <c r="Q16" i="7"/>
  <c r="I26" i="6" s="1"/>
  <c r="Q94" i="7"/>
  <c r="I104" i="6" s="1"/>
  <c r="Q59" i="7"/>
  <c r="I69" i="6" s="1"/>
  <c r="Q44" i="7"/>
  <c r="I54" i="6" s="1"/>
  <c r="Q19" i="7"/>
  <c r="I29" i="6" s="1"/>
  <c r="Q90" i="7"/>
  <c r="I100" i="6" s="1"/>
  <c r="Q38" i="7"/>
  <c r="I48" i="6" s="1"/>
  <c r="Q75" i="7"/>
  <c r="I85" i="6" s="1"/>
  <c r="Q92" i="7"/>
  <c r="I102" i="6" s="1"/>
  <c r="Q23" i="7"/>
  <c r="I33" i="6" s="1"/>
  <c r="Q25" i="7"/>
  <c r="I35" i="6" s="1"/>
  <c r="Q29" i="7"/>
  <c r="I39" i="6" s="1"/>
  <c r="Q63" i="7"/>
  <c r="I73" i="6" s="1"/>
  <c r="Q14" i="7"/>
  <c r="I24" i="6" s="1"/>
  <c r="Q39" i="8"/>
  <c r="J49" i="6" s="1"/>
  <c r="Q90" i="10"/>
  <c r="K100" i="6" s="1"/>
  <c r="Q85" i="7"/>
  <c r="I95" i="6" s="1"/>
  <c r="Q80" i="7"/>
  <c r="I90" i="6" s="1"/>
  <c r="Q88" i="7"/>
  <c r="I98" i="6" s="1"/>
  <c r="Q104" i="8"/>
  <c r="J114" i="6" s="1"/>
  <c r="Q12" i="7"/>
  <c r="Q97" i="10"/>
  <c r="K107" i="6" s="1"/>
  <c r="Q30" i="10"/>
  <c r="K40" i="6" s="1"/>
  <c r="Q55" i="10"/>
  <c r="K65" i="6" s="1"/>
  <c r="Q78" i="10"/>
  <c r="K88" i="6" s="1"/>
  <c r="Q52" i="10"/>
  <c r="K62" i="6" s="1"/>
  <c r="Q77" i="10"/>
  <c r="K87" i="6" s="1"/>
  <c r="Q100" i="10"/>
  <c r="K110" i="6" s="1"/>
  <c r="Q26" i="10"/>
  <c r="K36" i="6" s="1"/>
  <c r="Q35" i="10"/>
  <c r="K45" i="6" s="1"/>
  <c r="Q67" i="10"/>
  <c r="K77" i="6" s="1"/>
  <c r="Q99" i="10"/>
  <c r="K109" i="6" s="1"/>
  <c r="Q102" i="10"/>
  <c r="K112" i="6" s="1"/>
  <c r="Q104" i="10"/>
  <c r="K114" i="6" s="1"/>
  <c r="Q23" i="8"/>
  <c r="J33" i="6" s="1"/>
  <c r="Q55" i="8"/>
  <c r="J65" i="6" s="1"/>
  <c r="Q32" i="8"/>
  <c r="J42" i="6" s="1"/>
  <c r="Q64" i="8"/>
  <c r="J74" i="6" s="1"/>
  <c r="Q95" i="8"/>
  <c r="J105" i="6" s="1"/>
  <c r="Q86" i="8"/>
  <c r="J96" i="6" s="1"/>
  <c r="Q21" i="8"/>
  <c r="J31" i="6" s="1"/>
  <c r="Q53" i="8"/>
  <c r="J63" i="6" s="1"/>
  <c r="Q30" i="8"/>
  <c r="J40" i="6" s="1"/>
  <c r="Q62" i="8"/>
  <c r="J72" i="6" s="1"/>
  <c r="Q93" i="8"/>
  <c r="J103" i="6" s="1"/>
  <c r="Q84" i="8"/>
  <c r="J94" i="6" s="1"/>
  <c r="Q27" i="8"/>
  <c r="J37" i="6" s="1"/>
  <c r="Q59" i="8"/>
  <c r="J69" i="6" s="1"/>
  <c r="Q36" i="8"/>
  <c r="J46" i="6" s="1"/>
  <c r="Q67" i="8"/>
  <c r="J77" i="6" s="1"/>
  <c r="Q99" i="8"/>
  <c r="J109" i="6" s="1"/>
  <c r="Q90" i="8"/>
  <c r="J100" i="6" s="1"/>
  <c r="Q25" i="8"/>
  <c r="J35" i="6" s="1"/>
  <c r="Q57" i="8"/>
  <c r="J67" i="6" s="1"/>
  <c r="Q34" i="8"/>
  <c r="J44" i="6" s="1"/>
  <c r="Q66" i="8"/>
  <c r="J76" i="6" s="1"/>
  <c r="Q97" i="8"/>
  <c r="J107" i="6" s="1"/>
  <c r="Q88" i="8"/>
  <c r="J98" i="6" s="1"/>
  <c r="Q31" i="8"/>
  <c r="J41" i="6" s="1"/>
  <c r="Q63" i="8"/>
  <c r="J73" i="6" s="1"/>
  <c r="Q40" i="8"/>
  <c r="J50" i="6" s="1"/>
  <c r="Q71" i="8"/>
  <c r="J81" i="6" s="1"/>
  <c r="Q103" i="8"/>
  <c r="J113" i="6" s="1"/>
  <c r="Q94" i="8"/>
  <c r="J104" i="6" s="1"/>
  <c r="Q29" i="8"/>
  <c r="J39" i="6" s="1"/>
  <c r="Q61" i="8"/>
  <c r="J71" i="6" s="1"/>
  <c r="Q38" i="8"/>
  <c r="J48" i="6" s="1"/>
  <c r="Q69" i="8"/>
  <c r="J79" i="6" s="1"/>
  <c r="Q101" i="8"/>
  <c r="J111" i="6" s="1"/>
  <c r="Q92" i="8"/>
  <c r="J102" i="6" s="1"/>
  <c r="Q19" i="8"/>
  <c r="J29" i="6" s="1"/>
  <c r="Q51" i="8"/>
  <c r="J61" i="6" s="1"/>
  <c r="Q28" i="8"/>
  <c r="J38" i="6" s="1"/>
  <c r="Q60" i="8"/>
  <c r="J70" i="6" s="1"/>
  <c r="Q91" i="8"/>
  <c r="J101" i="6" s="1"/>
  <c r="Q82" i="8"/>
  <c r="J92" i="6" s="1"/>
  <c r="Q17" i="8"/>
  <c r="J27" i="6" s="1"/>
  <c r="Q49" i="8"/>
  <c r="J59" i="6" s="1"/>
  <c r="Q26" i="8"/>
  <c r="J36" i="6" s="1"/>
  <c r="Q58" i="8"/>
  <c r="J68" i="6" s="1"/>
  <c r="Q89" i="8"/>
  <c r="J99" i="6" s="1"/>
  <c r="Q80" i="8"/>
  <c r="J90" i="6" s="1"/>
  <c r="Q16" i="8"/>
  <c r="J26" i="6" s="1"/>
  <c r="Q48" i="8"/>
  <c r="J58" i="6" s="1"/>
  <c r="Q79" i="8"/>
  <c r="J89" i="6" s="1"/>
  <c r="Q70" i="8"/>
  <c r="J80" i="6" s="1"/>
  <c r="Q102" i="8"/>
  <c r="J112" i="6" s="1"/>
  <c r="Q37" i="8"/>
  <c r="J47" i="6" s="1"/>
  <c r="Q14" i="8"/>
  <c r="J24" i="6" s="1"/>
  <c r="Q46" i="8"/>
  <c r="J56" i="6" s="1"/>
  <c r="Q77" i="8"/>
  <c r="J87" i="6" s="1"/>
  <c r="Q68" i="8"/>
  <c r="J78" i="6" s="1"/>
  <c r="Q100" i="8"/>
  <c r="J110" i="6" s="1"/>
  <c r="Q43" i="8"/>
  <c r="J53" i="6" s="1"/>
  <c r="Q20" i="8"/>
  <c r="J30" i="6" s="1"/>
  <c r="Q52" i="8"/>
  <c r="J62" i="6" s="1"/>
  <c r="Q83" i="8"/>
  <c r="J93" i="6" s="1"/>
  <c r="Q74" i="8"/>
  <c r="J84" i="6" s="1"/>
  <c r="Q106" i="8"/>
  <c r="J116" i="6" s="1"/>
  <c r="Q41" i="8"/>
  <c r="J51" i="6" s="1"/>
  <c r="Q18" i="8"/>
  <c r="J28" i="6" s="1"/>
  <c r="Q50" i="8"/>
  <c r="J60" i="6" s="1"/>
  <c r="Q81" i="8"/>
  <c r="J91" i="6" s="1"/>
  <c r="Q72" i="8"/>
  <c r="J82" i="6" s="1"/>
  <c r="Q15" i="8"/>
  <c r="J25" i="6" s="1"/>
  <c r="Q47" i="8"/>
  <c r="J57" i="6" s="1"/>
  <c r="Q24" i="8"/>
  <c r="J34" i="6" s="1"/>
  <c r="Q56" i="8"/>
  <c r="J66" i="6" s="1"/>
  <c r="Q87" i="8"/>
  <c r="J97" i="6" s="1"/>
  <c r="Q78" i="8"/>
  <c r="J88" i="6" s="1"/>
  <c r="Q13" i="8"/>
  <c r="J23" i="6" s="1"/>
  <c r="Q45" i="8"/>
  <c r="J55" i="6" s="1"/>
  <c r="Q22" i="8"/>
  <c r="J32" i="6" s="1"/>
  <c r="Q54" i="8"/>
  <c r="J64" i="6" s="1"/>
  <c r="Q85" i="8"/>
  <c r="J95" i="6" s="1"/>
  <c r="Q76" i="8"/>
  <c r="J86" i="6" s="1"/>
  <c r="Q108" i="8"/>
  <c r="J118" i="6" s="1"/>
  <c r="Q35" i="8"/>
  <c r="J45" i="6" s="1"/>
  <c r="Q12" i="8"/>
  <c r="Q44" i="8"/>
  <c r="J54" i="6" s="1"/>
  <c r="Q75" i="8"/>
  <c r="J85" i="6" s="1"/>
  <c r="Q107" i="8"/>
  <c r="J117" i="6" s="1"/>
  <c r="Q98" i="8"/>
  <c r="J108" i="6" s="1"/>
  <c r="Q33" i="8"/>
  <c r="J43" i="6" s="1"/>
  <c r="Q65" i="8"/>
  <c r="J75" i="6" s="1"/>
  <c r="Q42" i="8"/>
  <c r="J52" i="6" s="1"/>
  <c r="Q73" i="8"/>
  <c r="J83" i="6" s="1"/>
  <c r="Q105" i="8"/>
  <c r="J115" i="6" s="1"/>
  <c r="Q96" i="8"/>
  <c r="J106" i="6" s="1"/>
  <c r="Q51" i="7"/>
  <c r="I61" i="6" s="1"/>
  <c r="Q37" i="7"/>
  <c r="I47" i="6" s="1"/>
  <c r="Q108" i="7"/>
  <c r="I118" i="6" s="1"/>
  <c r="Q69" i="7"/>
  <c r="I79" i="6" s="1"/>
  <c r="Q77" i="7"/>
  <c r="I87" i="6" s="1"/>
  <c r="Q102" i="7"/>
  <c r="I112" i="6" s="1"/>
  <c r="Q72" i="7"/>
  <c r="I82" i="6" s="1"/>
  <c r="Q73" i="7"/>
  <c r="I83" i="6" s="1"/>
  <c r="Q13" i="7"/>
  <c r="I23" i="6" s="1"/>
  <c r="Q48" i="7"/>
  <c r="I58" i="6" s="1"/>
  <c r="Q47" i="7"/>
  <c r="I57" i="6" s="1"/>
  <c r="Q101" i="7"/>
  <c r="I111" i="6" s="1"/>
  <c r="Q49" i="7"/>
  <c r="I59" i="6" s="1"/>
  <c r="Q68" i="7"/>
  <c r="I78" i="6" s="1"/>
  <c r="Q82" i="7"/>
  <c r="I92" i="6" s="1"/>
  <c r="Q104" i="7"/>
  <c r="I114" i="6" s="1"/>
  <c r="Q89" i="7"/>
  <c r="I99" i="6" s="1"/>
  <c r="Q27" i="7"/>
  <c r="I37" i="6" s="1"/>
  <c r="Q105" i="7"/>
  <c r="I115" i="6" s="1"/>
  <c r="Q97" i="7"/>
  <c r="I107" i="6" s="1"/>
  <c r="Q46" i="7"/>
  <c r="I56" i="6" s="1"/>
  <c r="Q58" i="7"/>
  <c r="I68" i="6" s="1"/>
  <c r="Q87" i="7"/>
  <c r="I97" i="6" s="1"/>
  <c r="Q26" i="7"/>
  <c r="I36" i="6" s="1"/>
  <c r="Q91" i="7"/>
  <c r="I101" i="6" s="1"/>
  <c r="Q21" i="7"/>
  <c r="I31" i="6" s="1"/>
  <c r="Q56" i="7"/>
  <c r="I66" i="6" s="1"/>
  <c r="Q55" i="7"/>
  <c r="I65" i="6" s="1"/>
  <c r="Q93" i="7"/>
  <c r="I103" i="6" s="1"/>
  <c r="Q57" i="7"/>
  <c r="I67" i="6" s="1"/>
  <c r="Q96" i="7"/>
  <c r="I106" i="6" s="1"/>
  <c r="Q61" i="7"/>
  <c r="I71" i="6" s="1"/>
  <c r="Q84" i="7"/>
  <c r="I94" i="6" s="1"/>
  <c r="Q32" i="7"/>
  <c r="I42" i="6" s="1"/>
  <c r="Q31" i="7"/>
  <c r="I41" i="6" s="1"/>
  <c r="Q78" i="7"/>
  <c r="I88" i="6" s="1"/>
  <c r="Q33" i="7"/>
  <c r="I43" i="6" s="1"/>
  <c r="Q36" i="7"/>
  <c r="I46" i="6" s="1"/>
  <c r="Q28" i="7"/>
  <c r="I38" i="6" s="1"/>
  <c r="Q60" i="7"/>
  <c r="I70" i="6" s="1"/>
  <c r="Q54" i="7"/>
  <c r="I64" i="6" s="1"/>
  <c r="Q35" i="7"/>
  <c r="I45" i="6" s="1"/>
  <c r="Q81" i="7"/>
  <c r="I91" i="6" s="1"/>
  <c r="Q106" i="7"/>
  <c r="I116" i="6" s="1"/>
  <c r="Q79" i="7"/>
  <c r="I89" i="6" s="1"/>
  <c r="Q74" i="7"/>
  <c r="I84" i="6" s="1"/>
  <c r="Q95" i="7"/>
  <c r="I105" i="6" s="1"/>
  <c r="Q62" i="7"/>
  <c r="I72" i="6" s="1"/>
  <c r="Q66" i="7"/>
  <c r="I76" i="6" s="1"/>
  <c r="Q22" i="7"/>
  <c r="I32" i="6" s="1"/>
  <c r="Q50" i="7"/>
  <c r="I60" i="6" s="1"/>
  <c r="Q103" i="7"/>
  <c r="I113" i="6" s="1"/>
  <c r="Q34" i="7"/>
  <c r="I44" i="6" s="1"/>
  <c r="Q71" i="7"/>
  <c r="I81" i="6" s="1"/>
  <c r="Q83" i="7"/>
  <c r="I93" i="6" s="1"/>
  <c r="Q99" i="7"/>
  <c r="I109" i="6" s="1"/>
  <c r="Q107" i="7"/>
  <c r="I117" i="6" s="1"/>
  <c r="I36" i="4"/>
  <c r="I35" i="4"/>
  <c r="I34" i="4"/>
  <c r="M13" i="6" l="1"/>
  <c r="L13" i="6"/>
  <c r="K16" i="6"/>
  <c r="K13" i="6" s="1"/>
  <c r="AC108" i="4"/>
  <c r="AE108" i="4" s="1"/>
  <c r="AC106" i="4"/>
  <c r="AE106" i="4" s="1"/>
  <c r="AC104" i="4"/>
  <c r="AE104" i="4" s="1"/>
  <c r="AC102" i="4"/>
  <c r="AE102" i="4" s="1"/>
  <c r="AC100" i="4"/>
  <c r="AE100" i="4" s="1"/>
  <c r="AC98" i="4"/>
  <c r="AE98" i="4" s="1"/>
  <c r="AC96" i="4"/>
  <c r="AE96" i="4" s="1"/>
  <c r="AC94" i="4"/>
  <c r="AE94" i="4" s="1"/>
  <c r="AC92" i="4"/>
  <c r="AE92" i="4" s="1"/>
  <c r="AC90" i="4"/>
  <c r="AE90" i="4" s="1"/>
  <c r="AC88" i="4"/>
  <c r="AE88" i="4" s="1"/>
  <c r="AC86" i="4"/>
  <c r="AE86" i="4" s="1"/>
  <c r="AC84" i="4"/>
  <c r="AE84" i="4" s="1"/>
  <c r="AC82" i="4"/>
  <c r="AE82" i="4" s="1"/>
  <c r="AC80" i="4"/>
  <c r="AE80" i="4" s="1"/>
  <c r="AC78" i="4"/>
  <c r="AE78" i="4" s="1"/>
  <c r="AC76" i="4"/>
  <c r="AE76" i="4" s="1"/>
  <c r="AC74" i="4"/>
  <c r="AE74" i="4" s="1"/>
  <c r="AC72" i="4"/>
  <c r="AE72" i="4" s="1"/>
  <c r="AC70" i="4"/>
  <c r="AE70" i="4" s="1"/>
  <c r="AC68" i="4"/>
  <c r="AE68" i="4" s="1"/>
  <c r="AC66" i="4"/>
  <c r="AE66" i="4" s="1"/>
  <c r="AC64" i="4"/>
  <c r="AE64" i="4" s="1"/>
  <c r="AC62" i="4"/>
  <c r="AE62" i="4" s="1"/>
  <c r="AC60" i="4"/>
  <c r="AE60" i="4" s="1"/>
  <c r="AC58" i="4"/>
  <c r="AE58" i="4" s="1"/>
  <c r="AC56" i="4"/>
  <c r="AE56" i="4" s="1"/>
  <c r="AC54" i="4"/>
  <c r="AE54" i="4" s="1"/>
  <c r="AC52" i="4"/>
  <c r="AE52" i="4" s="1"/>
  <c r="AC50" i="4"/>
  <c r="AE50" i="4" s="1"/>
  <c r="AC48" i="4"/>
  <c r="AE48" i="4" s="1"/>
  <c r="AC46" i="4"/>
  <c r="AE46" i="4" s="1"/>
  <c r="AC44" i="4"/>
  <c r="AE44" i="4" s="1"/>
  <c r="AC42" i="4"/>
  <c r="AE42" i="4" s="1"/>
  <c r="AC40" i="4"/>
  <c r="AE40" i="4" s="1"/>
  <c r="AC38" i="4"/>
  <c r="AE38" i="4" s="1"/>
  <c r="AC36" i="4"/>
  <c r="AE36" i="4" s="1"/>
  <c r="AC34" i="4"/>
  <c r="AE34" i="4" s="1"/>
  <c r="AC32" i="4"/>
  <c r="AE32" i="4" s="1"/>
  <c r="AC30" i="4"/>
  <c r="AE30" i="4" s="1"/>
  <c r="AC28" i="4"/>
  <c r="AE28" i="4" s="1"/>
  <c r="AC26" i="4"/>
  <c r="AE26" i="4" s="1"/>
  <c r="AC24" i="4"/>
  <c r="AE24" i="4" s="1"/>
  <c r="AC22" i="4"/>
  <c r="AE22" i="4" s="1"/>
  <c r="AC20" i="4"/>
  <c r="AE20" i="4" s="1"/>
  <c r="AC18" i="4"/>
  <c r="AE18" i="4" s="1"/>
  <c r="AC16" i="4"/>
  <c r="AE16" i="4" s="1"/>
  <c r="AC14" i="4"/>
  <c r="AE14" i="4" s="1"/>
  <c r="AC12" i="4"/>
  <c r="AE12" i="4" s="1"/>
  <c r="Z107" i="4"/>
  <c r="Z105" i="4"/>
  <c r="Z103" i="4"/>
  <c r="Z101" i="4"/>
  <c r="Z99" i="4"/>
  <c r="Z97" i="4"/>
  <c r="Z95" i="4"/>
  <c r="Z93" i="4"/>
  <c r="Z91" i="4"/>
  <c r="Z89" i="4"/>
  <c r="Z87" i="4"/>
  <c r="Z85" i="4"/>
  <c r="Z83" i="4"/>
  <c r="Z81" i="4"/>
  <c r="Z79" i="4"/>
  <c r="Z77" i="4"/>
  <c r="Z75" i="4"/>
  <c r="Z73" i="4"/>
  <c r="Z71" i="4"/>
  <c r="Z69" i="4"/>
  <c r="Z67" i="4"/>
  <c r="Z65" i="4"/>
  <c r="Z63" i="4"/>
  <c r="Z61" i="4"/>
  <c r="Z59" i="4"/>
  <c r="Z57" i="4"/>
  <c r="Z55" i="4"/>
  <c r="Z53" i="4"/>
  <c r="Z51" i="4"/>
  <c r="Z49" i="4"/>
  <c r="Z47" i="4"/>
  <c r="Z45" i="4"/>
  <c r="Z43" i="4"/>
  <c r="Z41" i="4"/>
  <c r="Z39" i="4"/>
  <c r="Z37" i="4"/>
  <c r="Z35" i="4"/>
  <c r="Z33" i="4"/>
  <c r="Z31" i="4"/>
  <c r="Z29" i="4"/>
  <c r="Z27" i="4"/>
  <c r="Z25" i="4"/>
  <c r="Z23" i="4"/>
  <c r="Z21" i="4"/>
  <c r="Z19" i="4"/>
  <c r="Z17" i="4"/>
  <c r="Z15" i="4"/>
  <c r="Z13" i="4"/>
  <c r="Y108" i="4"/>
  <c r="Y106" i="4"/>
  <c r="Y104" i="4"/>
  <c r="Y102" i="4"/>
  <c r="Y100" i="4"/>
  <c r="Y98" i="4"/>
  <c r="Y96" i="4"/>
  <c r="Y94" i="4"/>
  <c r="Y92" i="4"/>
  <c r="Y90" i="4"/>
  <c r="Y88" i="4"/>
  <c r="Y86" i="4"/>
  <c r="Y84" i="4"/>
  <c r="Y82" i="4"/>
  <c r="Y80" i="4"/>
  <c r="Y78" i="4"/>
  <c r="Y76" i="4"/>
  <c r="Y74" i="4"/>
  <c r="Y72" i="4"/>
  <c r="Y70" i="4"/>
  <c r="Y68" i="4"/>
  <c r="Y66" i="4"/>
  <c r="Y64" i="4"/>
  <c r="Y62" i="4"/>
  <c r="Y60" i="4"/>
  <c r="Y58" i="4"/>
  <c r="Y56" i="4"/>
  <c r="Y54" i="4"/>
  <c r="Y52" i="4"/>
  <c r="Y50" i="4"/>
  <c r="Y48" i="4"/>
  <c r="Y46" i="4"/>
  <c r="Y44" i="4"/>
  <c r="Y42" i="4"/>
  <c r="Y40" i="4"/>
  <c r="Y38" i="4"/>
  <c r="Y36" i="4"/>
  <c r="Y34" i="4"/>
  <c r="Y32" i="4"/>
  <c r="Y30" i="4"/>
  <c r="Y28" i="4"/>
  <c r="Y26" i="4"/>
  <c r="Y24" i="4"/>
  <c r="Y22" i="4"/>
  <c r="Y20" i="4"/>
  <c r="Y18" i="4"/>
  <c r="Y16" i="4"/>
  <c r="Y14" i="4"/>
  <c r="Y12" i="4"/>
  <c r="X107" i="4"/>
  <c r="X105" i="4"/>
  <c r="X103" i="4"/>
  <c r="X101" i="4"/>
  <c r="X99" i="4"/>
  <c r="X97" i="4"/>
  <c r="X95" i="4"/>
  <c r="X93" i="4"/>
  <c r="X91" i="4"/>
  <c r="X89" i="4"/>
  <c r="X87" i="4"/>
  <c r="X85" i="4"/>
  <c r="X83" i="4"/>
  <c r="X81" i="4"/>
  <c r="X79" i="4"/>
  <c r="X77" i="4"/>
  <c r="X75" i="4"/>
  <c r="X73" i="4"/>
  <c r="X71" i="4"/>
  <c r="X69" i="4"/>
  <c r="X67" i="4"/>
  <c r="X65" i="4"/>
  <c r="X63" i="4"/>
  <c r="X61" i="4"/>
  <c r="X59" i="4"/>
  <c r="X57" i="4"/>
  <c r="X55" i="4"/>
  <c r="X53" i="4"/>
  <c r="X51" i="4"/>
  <c r="X49" i="4"/>
  <c r="X47" i="4"/>
  <c r="X45" i="4"/>
  <c r="X43" i="4"/>
  <c r="X41" i="4"/>
  <c r="X39" i="4"/>
  <c r="X37" i="4"/>
  <c r="X35" i="4"/>
  <c r="X33" i="4"/>
  <c r="X31" i="4"/>
  <c r="X29" i="4"/>
  <c r="X27" i="4"/>
  <c r="X25" i="4"/>
  <c r="X23" i="4"/>
  <c r="X21" i="4"/>
  <c r="X19" i="4"/>
  <c r="X17" i="4"/>
  <c r="X15" i="4"/>
  <c r="X13" i="4"/>
  <c r="L12" i="6"/>
  <c r="I30" i="4" s="1"/>
  <c r="AC107" i="4"/>
  <c r="AE107" i="4" s="1"/>
  <c r="AC105" i="4"/>
  <c r="AE105" i="4" s="1"/>
  <c r="AC103" i="4"/>
  <c r="AE103" i="4" s="1"/>
  <c r="AC101" i="4"/>
  <c r="AE101" i="4" s="1"/>
  <c r="AC99" i="4"/>
  <c r="AE99" i="4" s="1"/>
  <c r="AC97" i="4"/>
  <c r="AE97" i="4" s="1"/>
  <c r="AC95" i="4"/>
  <c r="AE95" i="4" s="1"/>
  <c r="AC93" i="4"/>
  <c r="AE93" i="4" s="1"/>
  <c r="AC91" i="4"/>
  <c r="AE91" i="4" s="1"/>
  <c r="AC89" i="4"/>
  <c r="AE89" i="4" s="1"/>
  <c r="AC87" i="4"/>
  <c r="AE87" i="4" s="1"/>
  <c r="AC85" i="4"/>
  <c r="AE85" i="4" s="1"/>
  <c r="AC83" i="4"/>
  <c r="AE83" i="4" s="1"/>
  <c r="AC81" i="4"/>
  <c r="AE81" i="4" s="1"/>
  <c r="AC79" i="4"/>
  <c r="AE79" i="4" s="1"/>
  <c r="AC77" i="4"/>
  <c r="AE77" i="4" s="1"/>
  <c r="AC75" i="4"/>
  <c r="AE75" i="4" s="1"/>
  <c r="AC73" i="4"/>
  <c r="AE73" i="4" s="1"/>
  <c r="AC71" i="4"/>
  <c r="AE71" i="4" s="1"/>
  <c r="AC69" i="4"/>
  <c r="AE69" i="4" s="1"/>
  <c r="AC67" i="4"/>
  <c r="AE67" i="4" s="1"/>
  <c r="AC65" i="4"/>
  <c r="AE65" i="4" s="1"/>
  <c r="AC63" i="4"/>
  <c r="AE63" i="4" s="1"/>
  <c r="AC61" i="4"/>
  <c r="AE61" i="4" s="1"/>
  <c r="AC59" i="4"/>
  <c r="AE59" i="4" s="1"/>
  <c r="AC57" i="4"/>
  <c r="AE57" i="4" s="1"/>
  <c r="AC55" i="4"/>
  <c r="AE55" i="4" s="1"/>
  <c r="AC53" i="4"/>
  <c r="AE53" i="4" s="1"/>
  <c r="AC51" i="4"/>
  <c r="AE51" i="4" s="1"/>
  <c r="AC49" i="4"/>
  <c r="AE49" i="4" s="1"/>
  <c r="AC47" i="4"/>
  <c r="AE47" i="4" s="1"/>
  <c r="AC45" i="4"/>
  <c r="AE45" i="4" s="1"/>
  <c r="AC43" i="4"/>
  <c r="AE43" i="4" s="1"/>
  <c r="AC41" i="4"/>
  <c r="AE41" i="4" s="1"/>
  <c r="AC39" i="4"/>
  <c r="AE39" i="4" s="1"/>
  <c r="AC37" i="4"/>
  <c r="AE37" i="4" s="1"/>
  <c r="AC35" i="4"/>
  <c r="AE35" i="4" s="1"/>
  <c r="AC33" i="4"/>
  <c r="AE33" i="4" s="1"/>
  <c r="AC31" i="4"/>
  <c r="AE31" i="4" s="1"/>
  <c r="AC29" i="4"/>
  <c r="AE29" i="4" s="1"/>
  <c r="AC27" i="4"/>
  <c r="AE27" i="4" s="1"/>
  <c r="AC25" i="4"/>
  <c r="AE25" i="4" s="1"/>
  <c r="AC23" i="4"/>
  <c r="AE23" i="4" s="1"/>
  <c r="AC21" i="4"/>
  <c r="AE21" i="4" s="1"/>
  <c r="AC19" i="4"/>
  <c r="AE19" i="4" s="1"/>
  <c r="AC17" i="4"/>
  <c r="AE17" i="4" s="1"/>
  <c r="AC15" i="4"/>
  <c r="AE15" i="4" s="1"/>
  <c r="AC13" i="4"/>
  <c r="AE13" i="4" s="1"/>
  <c r="Z108" i="4"/>
  <c r="Z106" i="4"/>
  <c r="Z104" i="4"/>
  <c r="Z102" i="4"/>
  <c r="Z100" i="4"/>
  <c r="Z98" i="4"/>
  <c r="Z96" i="4"/>
  <c r="Z94" i="4"/>
  <c r="Z92" i="4"/>
  <c r="Z90" i="4"/>
  <c r="Z88" i="4"/>
  <c r="Z86" i="4"/>
  <c r="Z84" i="4"/>
  <c r="Z82" i="4"/>
  <c r="Z80" i="4"/>
  <c r="Z78" i="4"/>
  <c r="Z76" i="4"/>
  <c r="Z74" i="4"/>
  <c r="Z72" i="4"/>
  <c r="Z70" i="4"/>
  <c r="Z68" i="4"/>
  <c r="Z66" i="4"/>
  <c r="Z64" i="4"/>
  <c r="Z62" i="4"/>
  <c r="Z60" i="4"/>
  <c r="Z58" i="4"/>
  <c r="Z56" i="4"/>
  <c r="Z54" i="4"/>
  <c r="Z52" i="4"/>
  <c r="Z50" i="4"/>
  <c r="Z48" i="4"/>
  <c r="Z46" i="4"/>
  <c r="Z44" i="4"/>
  <c r="Z42" i="4"/>
  <c r="Z40" i="4"/>
  <c r="Z38" i="4"/>
  <c r="Z36" i="4"/>
  <c r="Z34" i="4"/>
  <c r="Z32" i="4"/>
  <c r="Z30" i="4"/>
  <c r="Z28" i="4"/>
  <c r="Z26" i="4"/>
  <c r="Z24" i="4"/>
  <c r="Z22" i="4"/>
  <c r="Z20" i="4"/>
  <c r="Z18" i="4"/>
  <c r="Z16" i="4"/>
  <c r="Z14" i="4"/>
  <c r="Z12" i="4"/>
  <c r="Y107" i="4"/>
  <c r="Y105" i="4"/>
  <c r="Y103" i="4"/>
  <c r="Y101" i="4"/>
  <c r="Y99" i="4"/>
  <c r="Y97" i="4"/>
  <c r="Y95" i="4"/>
  <c r="Y93" i="4"/>
  <c r="Y91" i="4"/>
  <c r="Y89" i="4"/>
  <c r="Y87" i="4"/>
  <c r="Y85" i="4"/>
  <c r="Y83" i="4"/>
  <c r="Y81" i="4"/>
  <c r="Y79" i="4"/>
  <c r="Y77" i="4"/>
  <c r="Y75" i="4"/>
  <c r="Y73" i="4"/>
  <c r="Y71" i="4"/>
  <c r="Y69" i="4"/>
  <c r="Y67" i="4"/>
  <c r="Y65" i="4"/>
  <c r="Y63" i="4"/>
  <c r="Y61" i="4"/>
  <c r="Y59" i="4"/>
  <c r="Y57" i="4"/>
  <c r="Y55" i="4"/>
  <c r="Y53" i="4"/>
  <c r="Y51" i="4"/>
  <c r="Y49" i="4"/>
  <c r="Y47" i="4"/>
  <c r="Y45" i="4"/>
  <c r="Y43" i="4"/>
  <c r="Y41" i="4"/>
  <c r="Y39" i="4"/>
  <c r="Y37" i="4"/>
  <c r="Y35" i="4"/>
  <c r="Y33" i="4"/>
  <c r="Y31" i="4"/>
  <c r="Y29" i="4"/>
  <c r="Y27" i="4"/>
  <c r="Y25" i="4"/>
  <c r="Y23" i="4"/>
  <c r="Y21" i="4"/>
  <c r="Y19" i="4"/>
  <c r="Y17" i="4"/>
  <c r="Y15" i="4"/>
  <c r="Y13" i="4"/>
  <c r="X108" i="4"/>
  <c r="X106" i="4"/>
  <c r="X104" i="4"/>
  <c r="X102" i="4"/>
  <c r="X100" i="4"/>
  <c r="X98" i="4"/>
  <c r="X96" i="4"/>
  <c r="X94" i="4"/>
  <c r="X92" i="4"/>
  <c r="X90" i="4"/>
  <c r="X88" i="4"/>
  <c r="X86" i="4"/>
  <c r="X84" i="4"/>
  <c r="X82" i="4"/>
  <c r="X80" i="4"/>
  <c r="X78" i="4"/>
  <c r="X76" i="4"/>
  <c r="X74" i="4"/>
  <c r="X72" i="4"/>
  <c r="X70" i="4"/>
  <c r="X68" i="4"/>
  <c r="X66" i="4"/>
  <c r="X64" i="4"/>
  <c r="X62" i="4"/>
  <c r="X60" i="4"/>
  <c r="X58" i="4"/>
  <c r="X56" i="4"/>
  <c r="X54" i="4"/>
  <c r="X52" i="4"/>
  <c r="X50" i="4"/>
  <c r="X48" i="4"/>
  <c r="X46" i="4"/>
  <c r="X44" i="4"/>
  <c r="X42" i="4"/>
  <c r="X40" i="4"/>
  <c r="X38" i="4"/>
  <c r="X36" i="4"/>
  <c r="X34" i="4"/>
  <c r="X32" i="4"/>
  <c r="X30" i="4"/>
  <c r="X28" i="4"/>
  <c r="X26" i="4"/>
  <c r="X24" i="4"/>
  <c r="X22" i="4"/>
  <c r="X20" i="4"/>
  <c r="X18" i="4"/>
  <c r="X16" i="4"/>
  <c r="X14" i="4"/>
  <c r="X12" i="4"/>
  <c r="M12" i="6"/>
  <c r="K12" i="6"/>
  <c r="I29" i="4" s="1"/>
  <c r="J22" i="6"/>
  <c r="I22" i="6"/>
  <c r="I16" i="6" s="1"/>
  <c r="I13" i="6" s="1"/>
  <c r="J12" i="6" l="1"/>
  <c r="I28" i="4" s="1"/>
  <c r="J16" i="6"/>
  <c r="J13" i="6" s="1"/>
  <c r="I12" i="6"/>
  <c r="I27" i="4" s="1"/>
  <c r="K17" i="6"/>
  <c r="I17" i="6"/>
  <c r="J17" i="6" l="1"/>
</calcChain>
</file>

<file path=xl/sharedStrings.xml><?xml version="1.0" encoding="utf-8"?>
<sst xmlns="http://schemas.openxmlformats.org/spreadsheetml/2006/main" count="349" uniqueCount="201">
  <si>
    <t>Lux</t>
  </si>
  <si>
    <t>nm</t>
  </si>
  <si>
    <t>Power</t>
  </si>
  <si>
    <t>F</t>
  </si>
  <si>
    <t>c</t>
  </si>
  <si>
    <t>h</t>
  </si>
  <si>
    <t>k</t>
  </si>
  <si>
    <t>T</t>
  </si>
  <si>
    <r>
      <rPr>
        <b/>
        <sz val="11"/>
        <color indexed="8"/>
        <rFont val="Symbol"/>
        <family val="1"/>
        <charset val="2"/>
      </rPr>
      <t>l</t>
    </r>
    <r>
      <rPr>
        <b/>
        <sz val="11"/>
        <color indexed="8"/>
        <rFont val="Calibri"/>
        <family val="2"/>
      </rPr>
      <t xml:space="preserve"> (m)</t>
    </r>
  </si>
  <si>
    <r>
      <t>e</t>
    </r>
    <r>
      <rPr>
        <b/>
        <vertAlign val="superscript"/>
        <sz val="11"/>
        <color indexed="8"/>
        <rFont val="Calibri"/>
        <family val="2"/>
      </rPr>
      <t>(hc/</t>
    </r>
    <r>
      <rPr>
        <b/>
        <vertAlign val="superscript"/>
        <sz val="11"/>
        <color indexed="8"/>
        <rFont val="Symbol"/>
        <family val="1"/>
        <charset val="2"/>
      </rPr>
      <t>l</t>
    </r>
    <r>
      <rPr>
        <b/>
        <vertAlign val="superscript"/>
        <sz val="11"/>
        <color indexed="8"/>
        <rFont val="Calibri"/>
        <family val="2"/>
      </rPr>
      <t>kT)</t>
    </r>
  </si>
  <si>
    <r>
      <t>I'(</t>
    </r>
    <r>
      <rPr>
        <b/>
        <sz val="11"/>
        <color indexed="8"/>
        <rFont val="Symbol"/>
        <family val="1"/>
        <charset val="2"/>
      </rPr>
      <t>l</t>
    </r>
    <r>
      <rPr>
        <b/>
        <sz val="11"/>
        <color indexed="8"/>
        <rFont val="Calibri"/>
        <family val="2"/>
      </rPr>
      <t>,T)</t>
    </r>
  </si>
  <si>
    <t>Wavelength</t>
  </si>
  <si>
    <t>A</t>
  </si>
  <si>
    <t>D</t>
  </si>
  <si>
    <t>B</t>
  </si>
  <si>
    <t>ACTIVE</t>
  </si>
  <si>
    <t>a</t>
  </si>
  <si>
    <t>x</t>
  </si>
  <si>
    <t>C</t>
  </si>
  <si>
    <t>Comb.</t>
  </si>
  <si>
    <t>a-peak</t>
  </si>
  <si>
    <t>b-peak</t>
  </si>
  <si>
    <t>A1</t>
  </si>
  <si>
    <t>Rod</t>
  </si>
  <si>
    <t>M cone</t>
  </si>
  <si>
    <t>Melanopsin</t>
  </si>
  <si>
    <t>Pigment</t>
  </si>
  <si>
    <r>
      <rPr>
        <b/>
        <sz val="12"/>
        <rFont val="Symbol"/>
        <family val="1"/>
        <charset val="2"/>
      </rPr>
      <t>l</t>
    </r>
    <r>
      <rPr>
        <b/>
        <vertAlign val="subscript"/>
        <sz val="12"/>
        <rFont val="Calibri"/>
        <family val="2"/>
      </rPr>
      <t>max</t>
    </r>
  </si>
  <si>
    <t>3)</t>
  </si>
  <si>
    <t>2)</t>
  </si>
  <si>
    <t>1)</t>
  </si>
  <si>
    <t>4)</t>
  </si>
  <si>
    <t>E</t>
  </si>
  <si>
    <t>FWHM</t>
  </si>
  <si>
    <t>N</t>
  </si>
  <si>
    <t>Narrowband Light Source</t>
  </si>
  <si>
    <t>Title</t>
  </si>
  <si>
    <t>Page 2</t>
  </si>
  <si>
    <t>Page 1</t>
  </si>
  <si>
    <t>U</t>
  </si>
  <si>
    <t>VARIABLE SPDs</t>
  </si>
  <si>
    <r>
      <t>n</t>
    </r>
    <r>
      <rPr>
        <b/>
        <vertAlign val="subscript"/>
        <sz val="14"/>
        <rFont val="Calibri"/>
        <family val="2"/>
      </rPr>
      <t>a</t>
    </r>
  </si>
  <si>
    <r>
      <rPr>
        <b/>
        <sz val="12"/>
        <rFont val="Calibri"/>
        <family val="2"/>
      </rPr>
      <t>λ</t>
    </r>
    <r>
      <rPr>
        <b/>
        <vertAlign val="subscript"/>
        <sz val="14"/>
        <rFont val="Calibri"/>
        <family val="2"/>
      </rPr>
      <t>d</t>
    </r>
  </si>
  <si>
    <t>NIST CODATA 2010</t>
  </si>
  <si>
    <t>CIE 18.2, 1983</t>
  </si>
  <si>
    <r>
      <rPr>
        <b/>
        <i/>
        <sz val="12"/>
        <rFont val="Calibri"/>
        <family val="2"/>
      </rPr>
      <t>K</t>
    </r>
    <r>
      <rPr>
        <b/>
        <vertAlign val="subscript"/>
        <sz val="14"/>
        <rFont val="Calibri"/>
        <family val="2"/>
      </rPr>
      <t>m</t>
    </r>
  </si>
  <si>
    <r>
      <rPr>
        <b/>
        <i/>
        <sz val="12"/>
        <rFont val="Calibri"/>
        <family val="2"/>
      </rPr>
      <t>K'</t>
    </r>
    <r>
      <rPr>
        <b/>
        <vertAlign val="subscript"/>
        <sz val="14"/>
        <rFont val="Calibri"/>
        <family val="2"/>
      </rPr>
      <t>m</t>
    </r>
  </si>
  <si>
    <t>r</t>
  </si>
  <si>
    <t>L/P</t>
  </si>
  <si>
    <t>Units</t>
  </si>
  <si>
    <t>Quantity</t>
  </si>
  <si>
    <r>
      <t>L (=E</t>
    </r>
    <r>
      <rPr>
        <vertAlign val="subscript"/>
        <sz val="12"/>
        <rFont val="Calibri"/>
        <family val="2"/>
      </rPr>
      <t>V</t>
    </r>
    <r>
      <rPr>
        <sz val="12"/>
        <rFont val="Calibri"/>
        <family val="2"/>
      </rPr>
      <t>)</t>
    </r>
  </si>
  <si>
    <t>~P</t>
  </si>
  <si>
    <t>~L</t>
  </si>
  <si>
    <t>~Q</t>
  </si>
  <si>
    <t>P, unw'd</t>
  </si>
  <si>
    <t>Q, unw'd</t>
  </si>
  <si>
    <t>mc</t>
  </si>
  <si>
    <t>sc</t>
  </si>
  <si>
    <t>Source</t>
  </si>
  <si>
    <t>Max, nm</t>
  </si>
  <si>
    <t>Peak, nm</t>
  </si>
  <si>
    <t>Physical Photometry Constants</t>
  </si>
  <si>
    <t>Details of light measurement</t>
  </si>
  <si>
    <t>GAUSSIAN DISTRIBUTION</t>
  </si>
  <si>
    <t>RESULTS</t>
  </si>
  <si>
    <t>INPUTS</t>
  </si>
  <si>
    <t>RATIOS</t>
  </si>
  <si>
    <t xml:space="preserve"> P, L or Q </t>
  </si>
  <si>
    <t>constant</t>
  </si>
  <si>
    <t>value</t>
  </si>
  <si>
    <t>variable</t>
  </si>
  <si>
    <t xml:space="preserve"> nm</t>
  </si>
  <si>
    <t xml:space="preserve"> unit</t>
  </si>
  <si>
    <t xml:space="preserve"> m/s</t>
  </si>
  <si>
    <t xml:space="preserve"> Js</t>
  </si>
  <si>
    <t xml:space="preserve"> J/K</t>
  </si>
  <si>
    <t xml:space="preserve"> K</t>
  </si>
  <si>
    <t xml:space="preserve"> unit </t>
  </si>
  <si>
    <t xml:space="preserve"> lm/W</t>
  </si>
  <si>
    <t xml:space="preserve"> dimensionless</t>
  </si>
  <si>
    <r>
      <t xml:space="preserve">   K</t>
    </r>
    <r>
      <rPr>
        <vertAlign val="subscript"/>
        <sz val="12"/>
        <color indexed="55"/>
        <rFont val="Calibri"/>
        <family val="2"/>
      </rPr>
      <t>m</t>
    </r>
    <r>
      <rPr>
        <sz val="12"/>
        <color indexed="55"/>
        <rFont val="Calibri"/>
        <family val="2"/>
      </rPr>
      <t xml:space="preserve"> and K'</t>
    </r>
    <r>
      <rPr>
        <vertAlign val="subscript"/>
        <sz val="12"/>
        <color indexed="55"/>
        <rFont val="Calibri"/>
        <family val="2"/>
      </rPr>
      <t>m</t>
    </r>
    <r>
      <rPr>
        <sz val="12"/>
        <color indexed="55"/>
        <rFont val="Calibri"/>
        <family val="2"/>
      </rPr>
      <t xml:space="preserve"> denominators interpolated from </t>
    </r>
    <r>
      <rPr>
        <i/>
        <sz val="12"/>
        <color indexed="55"/>
        <rFont val="Calibri"/>
        <family val="2"/>
      </rPr>
      <t>V</t>
    </r>
    <r>
      <rPr>
        <sz val="12"/>
        <color indexed="55"/>
        <rFont val="Calibri"/>
        <family val="2"/>
      </rPr>
      <t xml:space="preserve">(555,556) and </t>
    </r>
    <r>
      <rPr>
        <i/>
        <sz val="12"/>
        <color indexed="55"/>
        <rFont val="Calibri"/>
        <family val="2"/>
      </rPr>
      <t>V'</t>
    </r>
    <r>
      <rPr>
        <sz val="12"/>
        <color indexed="55"/>
        <rFont val="Calibri"/>
        <family val="2"/>
      </rPr>
      <t>(</t>
    </r>
    <r>
      <rPr>
        <sz val="12"/>
        <color indexed="55"/>
        <rFont val="Calibri"/>
        <family val="2"/>
      </rPr>
      <t>555,556</t>
    </r>
    <r>
      <rPr>
        <sz val="12"/>
        <color indexed="55"/>
        <rFont val="Calibri"/>
        <family val="2"/>
      </rPr>
      <t>)</t>
    </r>
  </si>
  <si>
    <t xml:space="preserve">    lux</t>
  </si>
  <si>
    <r>
      <t xml:space="preserve">    photons/cm</t>
    </r>
    <r>
      <rPr>
        <vertAlign val="superscript"/>
        <sz val="12"/>
        <rFont val="Calibri"/>
        <family val="2"/>
      </rPr>
      <t>2</t>
    </r>
    <r>
      <rPr>
        <sz val="12"/>
        <rFont val="Calibri"/>
        <family val="2"/>
      </rPr>
      <t>/s</t>
    </r>
  </si>
  <si>
    <t>UNITS</t>
  </si>
  <si>
    <t>1E-15 / hc</t>
  </si>
  <si>
    <t>Q/P</t>
  </si>
  <si>
    <t xml:space="preserve"> L from P</t>
  </si>
  <si>
    <t xml:space="preserve"> Q from P</t>
  </si>
  <si>
    <r>
      <rPr>
        <sz val="10"/>
        <rFont val="Calibri"/>
        <family val="2"/>
      </rPr>
      <t xml:space="preserve">1E-2 </t>
    </r>
    <r>
      <rPr>
        <i/>
        <sz val="10"/>
        <rFont val="Calibri"/>
        <family val="2"/>
      </rPr>
      <t>K</t>
    </r>
    <r>
      <rPr>
        <vertAlign val="subscript"/>
        <sz val="10"/>
        <rFont val="Calibri"/>
        <family val="2"/>
      </rPr>
      <t>m</t>
    </r>
  </si>
  <si>
    <t>USER</t>
  </si>
  <si>
    <t>Chart input</t>
  </si>
  <si>
    <t>lux</t>
  </si>
  <si>
    <t>Sensitivity</t>
  </si>
  <si>
    <t>V(λ)</t>
  </si>
  <si>
    <t>Visibility</t>
  </si>
  <si>
    <t>5)</t>
  </si>
  <si>
    <t>n/a</t>
  </si>
  <si>
    <t>Subscript</t>
  </si>
  <si>
    <t>Curve</t>
  </si>
  <si>
    <t>6)</t>
  </si>
  <si>
    <t xml:space="preserve">Select mode </t>
  </si>
  <si>
    <r>
      <t>P</t>
    </r>
    <r>
      <rPr>
        <b/>
        <sz val="12"/>
        <rFont val="Calibri"/>
        <family val="2"/>
      </rPr>
      <t>hoton flux</t>
    </r>
  </si>
  <si>
    <r>
      <t>L</t>
    </r>
    <r>
      <rPr>
        <b/>
        <sz val="12"/>
        <rFont val="Calibri"/>
        <family val="2"/>
      </rPr>
      <t>og photon flux</t>
    </r>
  </si>
  <si>
    <t>Amount</t>
  </si>
  <si>
    <t>For blackbody or narrowband sources</t>
  </si>
  <si>
    <t>Peak spectral irradiance</t>
  </si>
  <si>
    <t xml:space="preserve">Pigment </t>
  </si>
  <si>
    <t>Spectral power distribution chart</t>
  </si>
  <si>
    <t>User defined measurement</t>
  </si>
  <si>
    <t>Spectral breakdowns</t>
  </si>
  <si>
    <r>
      <t xml:space="preserve">Photopigment template calculations </t>
    </r>
    <r>
      <rPr>
        <sz val="12"/>
        <rFont val="Calibri"/>
        <family val="2"/>
      </rPr>
      <t>(Govordovski et al., 2000)</t>
    </r>
  </si>
  <si>
    <t>L</t>
  </si>
  <si>
    <t xml:space="preserve"> A,B,D,E,F,L,N or U</t>
  </si>
  <si>
    <t>Enter title here for printing</t>
  </si>
  <si>
    <t>₁₀</t>
  </si>
  <si>
    <t>²</t>
  </si>
  <si>
    <r>
      <t>1/cm²</t>
    </r>
    <r>
      <rPr>
        <b/>
        <sz val="12"/>
        <rFont val="Calibri"/>
        <family val="2"/>
      </rPr>
      <t>/s</t>
    </r>
  </si>
  <si>
    <t>µW/cm²</t>
  </si>
  <si>
    <t>log₁₀ (1/cm²/s)</t>
  </si>
  <si>
    <r>
      <rPr>
        <b/>
        <sz val="12"/>
        <rFont val="Symbol"/>
        <family val="1"/>
        <charset val="2"/>
      </rPr>
      <t>l</t>
    </r>
    <r>
      <rPr>
        <b/>
        <vertAlign val="subscript"/>
        <sz val="14"/>
        <rFont val="Calibri"/>
        <family val="2"/>
      </rPr>
      <t>max</t>
    </r>
  </si>
  <si>
    <t>µ</t>
  </si>
  <si>
    <t>SPD, total in µW/cm²</t>
  </si>
  <si>
    <t>Quanta</t>
  </si>
  <si>
    <t>Input for user defined measurements</t>
  </si>
  <si>
    <t>Irradiance</t>
  </si>
  <si>
    <t xml:space="preserve">Blackbody temperature  </t>
  </si>
  <si>
    <t xml:space="preserve">Narrowband peak  </t>
  </si>
  <si>
    <t xml:space="preserve">Narrowband FWHM  </t>
  </si>
  <si>
    <t xml:space="preserve">Light source  </t>
  </si>
  <si>
    <t xml:space="preserve">Units  </t>
  </si>
  <si>
    <t xml:space="preserve">Amount  </t>
  </si>
  <si>
    <t>approximate mode</t>
  </si>
  <si>
    <t>z</t>
  </si>
  <si>
    <r>
      <t>K</t>
    </r>
    <r>
      <rPr>
        <vertAlign val="subscript"/>
        <sz val="13"/>
        <rFont val="Calibri"/>
        <family val="2"/>
      </rPr>
      <t>N</t>
    </r>
    <r>
      <rPr>
        <sz val="11"/>
        <rFont val="Calibri"/>
        <family val="2"/>
      </rPr>
      <t>, K</t>
    </r>
    <r>
      <rPr>
        <vertAlign val="subscript"/>
        <sz val="13"/>
        <rFont val="Calibri"/>
        <family val="2"/>
      </rPr>
      <t>m</t>
    </r>
  </si>
  <si>
    <t>Photopic illuminance (human)</t>
  </si>
  <si>
    <t>Relative pre-receptoral</t>
  </si>
  <si>
    <t>spectral transmittance</t>
  </si>
  <si>
    <r>
      <t>rN</t>
    </r>
    <r>
      <rPr>
        <b/>
        <vertAlign val="subscript"/>
        <sz val="14"/>
        <color indexed="8"/>
        <rFont val="Calibri"/>
        <family val="2"/>
      </rPr>
      <t>sc</t>
    </r>
    <r>
      <rPr>
        <b/>
        <sz val="12"/>
        <color indexed="8"/>
        <rFont val="Calibri"/>
        <family val="2"/>
      </rPr>
      <t>(λ)</t>
    </r>
  </si>
  <si>
    <r>
      <t>rN</t>
    </r>
    <r>
      <rPr>
        <b/>
        <vertAlign val="subscript"/>
        <sz val="14"/>
        <color indexed="8"/>
        <rFont val="Calibri"/>
        <family val="2"/>
      </rPr>
      <t>z</t>
    </r>
    <r>
      <rPr>
        <b/>
        <sz val="12"/>
        <color indexed="8"/>
        <rFont val="Calibri"/>
        <family val="2"/>
      </rPr>
      <t>(λ)</t>
    </r>
  </si>
  <si>
    <r>
      <t>rN</t>
    </r>
    <r>
      <rPr>
        <b/>
        <vertAlign val="subscript"/>
        <sz val="14"/>
        <color indexed="8"/>
        <rFont val="Calibri"/>
        <family val="2"/>
      </rPr>
      <t>r</t>
    </r>
    <r>
      <rPr>
        <b/>
        <sz val="12"/>
        <color indexed="8"/>
        <rFont val="Calibri"/>
        <family val="2"/>
      </rPr>
      <t>(λ)</t>
    </r>
  </si>
  <si>
    <r>
      <t>rN</t>
    </r>
    <r>
      <rPr>
        <b/>
        <vertAlign val="subscript"/>
        <sz val="14"/>
        <color indexed="8"/>
        <rFont val="Calibri"/>
        <family val="2"/>
      </rPr>
      <t>mc</t>
    </r>
    <r>
      <rPr>
        <b/>
        <sz val="12"/>
        <color indexed="8"/>
        <rFont val="Calibri"/>
        <family val="2"/>
      </rPr>
      <t>(λ)</t>
    </r>
  </si>
  <si>
    <t>α-opic rlux</t>
  </si>
  <si>
    <t>Rodent Toolbox</t>
  </si>
  <si>
    <t>Rodent retinal photopigment complement (all weighted)</t>
  </si>
  <si>
    <t>Unweighted summations from 300 to 780 nm inclusive</t>
  </si>
  <si>
    <r>
      <t>α: rN</t>
    </r>
    <r>
      <rPr>
        <b/>
        <vertAlign val="subscript"/>
        <sz val="14"/>
        <color indexed="8"/>
        <rFont val="Calibri"/>
        <family val="2"/>
      </rPr>
      <t>α</t>
    </r>
    <r>
      <rPr>
        <b/>
        <sz val="12"/>
        <color indexed="8"/>
        <rFont val="Calibri"/>
        <family val="2"/>
      </rPr>
      <t>(</t>
    </r>
    <r>
      <rPr>
        <b/>
        <sz val="12"/>
        <color indexed="8"/>
        <rFont val="Calibri"/>
        <family val="2"/>
      </rPr>
      <t>λ</t>
    </r>
    <r>
      <rPr>
        <b/>
        <sz val="12"/>
        <color indexed="8"/>
        <rFont val="Calibri"/>
        <family val="2"/>
      </rPr>
      <t>)</t>
    </r>
  </si>
  <si>
    <t>S cone</t>
  </si>
  <si>
    <r>
      <t xml:space="preserve">Action spectrum calculations </t>
    </r>
    <r>
      <rPr>
        <sz val="12"/>
        <color indexed="8"/>
        <rFont val="Calibri"/>
        <family val="2"/>
      </rPr>
      <t>(e.g. Lucas et al., 2013)</t>
    </r>
  </si>
  <si>
    <r>
      <t>Pigment</t>
    </r>
    <r>
      <rPr>
        <vertAlign val="superscript"/>
        <sz val="12"/>
        <rFont val="Calibri"/>
        <family val="2"/>
      </rPr>
      <t>1.</t>
    </r>
  </si>
  <si>
    <t>1. Optical density of photopigment here considered negligible for simplicity</t>
  </si>
  <si>
    <r>
      <t>Lens</t>
    </r>
    <r>
      <rPr>
        <vertAlign val="superscript"/>
        <sz val="12"/>
        <rFont val="Calibri"/>
        <family val="2"/>
      </rPr>
      <t>2.</t>
    </r>
  </si>
  <si>
    <r>
      <t>Unit conversion</t>
    </r>
    <r>
      <rPr>
        <vertAlign val="superscript"/>
        <sz val="12"/>
        <rFont val="Calibri"/>
        <family val="2"/>
      </rPr>
      <t>3.</t>
    </r>
  </si>
  <si>
    <t>4. Unnormalised sensitivity to spectral irradiance at the outer surface of the eye</t>
  </si>
  <si>
    <t>5. Probability normalised action spectrum</t>
  </si>
  <si>
    <r>
      <t>Normalised</t>
    </r>
    <r>
      <rPr>
        <vertAlign val="superscript"/>
        <sz val="12"/>
        <rFont val="Calibri"/>
        <family val="2"/>
      </rPr>
      <t>5.</t>
    </r>
  </si>
  <si>
    <r>
      <t>Sensitivity</t>
    </r>
    <r>
      <rPr>
        <vertAlign val="superscript"/>
        <sz val="12"/>
        <rFont val="Calibri"/>
        <family val="2"/>
      </rPr>
      <t>4.</t>
    </r>
  </si>
  <si>
    <t>3. Unit conversion to radiometric action spectrum (CIE R6-42 2014; Enezi et al., 2011)</t>
  </si>
  <si>
    <t>2. Rodent lens data (Jacob and Williams, 2007) with extrapolations (relative transmittance)</t>
  </si>
  <si>
    <t>b</t>
  </si>
  <si>
    <t>Beta peak, nm</t>
  </si>
  <si>
    <t>Alpha peak, nm</t>
  </si>
  <si>
    <t>(Jacobs &amp; Williams,  2007)</t>
  </si>
  <si>
    <t>Relative spectral</t>
  </si>
  <si>
    <t>power distribution</t>
  </si>
  <si>
    <t xml:space="preserve">   given as 0.999998, but here is accurately calculated as 0.99999773</t>
  </si>
  <si>
    <t xml:space="preserve">   given as 0.401750, here 0.401753 similarly - for reference as not used here</t>
  </si>
  <si>
    <t>Photopic</t>
  </si>
  <si>
    <t>RELATIVE SPECTRAL POWER DISTRIBUTIONS [INCOMPLETE BELOW 390nm]</t>
  </si>
  <si>
    <t>Summary of inputs</t>
  </si>
  <si>
    <t>Results of action spectra calculations</t>
  </si>
  <si>
    <t>ipRGC</t>
  </si>
  <si>
    <t>* Scale adjusted from human toolbox to reflect a 1 nm resolution as standard.</t>
  </si>
  <si>
    <t>Weighted</t>
  </si>
  <si>
    <t>Unweighted</t>
  </si>
  <si>
    <t>Spectra and fundamental constants</t>
  </si>
  <si>
    <t>Calculations: rodent model</t>
  </si>
  <si>
    <r>
      <t>A</t>
    </r>
    <r>
      <rPr>
        <b/>
        <vertAlign val="subscript"/>
        <sz val="12"/>
        <rFont val="Calibri"/>
        <family val="2"/>
      </rPr>
      <t>beta</t>
    </r>
  </si>
  <si>
    <r>
      <t>p</t>
    </r>
    <r>
      <rPr>
        <b/>
        <vertAlign val="subscript"/>
        <sz val="12"/>
        <rFont val="Calibri"/>
        <family val="2"/>
      </rPr>
      <t>beta</t>
    </r>
  </si>
  <si>
    <t>spline with extrapolation</t>
  </si>
  <si>
    <r>
      <t>Source power (</t>
    </r>
    <r>
      <rPr>
        <sz val="11"/>
        <rFont val="Calibri"/>
        <family val="2"/>
      </rPr>
      <t>μ</t>
    </r>
    <r>
      <rPr>
        <sz val="11"/>
        <rFont val="Calibri"/>
        <family val="2"/>
        <scheme val="minor"/>
      </rPr>
      <t>W/cm</t>
    </r>
    <r>
      <rPr>
        <vertAlign val="superscript"/>
        <sz val="11"/>
        <rFont val="Calibri"/>
        <family val="2"/>
        <scheme val="minor"/>
      </rPr>
      <t>2</t>
    </r>
    <r>
      <rPr>
        <sz val="11"/>
        <rFont val="Calibri"/>
        <family val="2"/>
        <scheme val="minor"/>
      </rPr>
      <t>)</t>
    </r>
  </si>
  <si>
    <t>Blackbody Radiation</t>
  </si>
  <si>
    <t>Mode</t>
  </si>
  <si>
    <r>
      <t xml:space="preserve">    </t>
    </r>
    <r>
      <rPr>
        <i/>
        <sz val="12"/>
        <rFont val="Symbol"/>
        <family val="1"/>
        <charset val="2"/>
      </rPr>
      <t>m</t>
    </r>
    <r>
      <rPr>
        <sz val="12"/>
        <rFont val="Calibri"/>
        <family val="2"/>
      </rPr>
      <t>W/cm</t>
    </r>
    <r>
      <rPr>
        <vertAlign val="superscript"/>
        <sz val="12"/>
        <rFont val="Calibri"/>
        <family val="2"/>
      </rPr>
      <t>2</t>
    </r>
  </si>
  <si>
    <r>
      <rPr>
        <b/>
        <sz val="11"/>
        <color indexed="8"/>
        <rFont val="Symbol"/>
        <family val="1"/>
        <charset val="2"/>
      </rPr>
      <t>l</t>
    </r>
    <r>
      <rPr>
        <b/>
        <sz val="11"/>
        <color indexed="8"/>
        <rFont val="Calibri"/>
        <family val="2"/>
      </rPr>
      <t xml:space="preserve"> (nm)</t>
    </r>
  </si>
  <si>
    <r>
      <rPr>
        <b/>
        <sz val="11"/>
        <rFont val="Calibri"/>
        <family val="2"/>
        <scheme val="minor"/>
      </rPr>
      <t xml:space="preserve">Pigment </t>
    </r>
    <r>
      <rPr>
        <b/>
        <sz val="11"/>
        <rFont val="Symbol"/>
        <family val="1"/>
        <charset val="2"/>
      </rPr>
      <t>l</t>
    </r>
    <r>
      <rPr>
        <b/>
        <vertAlign val="subscript"/>
        <sz val="11"/>
        <rFont val="Calibri"/>
        <family val="2"/>
      </rPr>
      <t>max</t>
    </r>
    <r>
      <rPr>
        <b/>
        <sz val="11"/>
        <rFont val="Calibri"/>
        <family val="2"/>
      </rPr>
      <t xml:space="preserve"> (nm)</t>
    </r>
  </si>
  <si>
    <t>Human</t>
  </si>
  <si>
    <r>
      <t>rT(</t>
    </r>
    <r>
      <rPr>
        <sz val="11"/>
        <rFont val="Calibri"/>
        <family val="2"/>
      </rPr>
      <t>λ)/rT(λ)</t>
    </r>
    <r>
      <rPr>
        <vertAlign val="subscript"/>
        <sz val="11"/>
        <rFont val="Calibri"/>
        <family val="2"/>
      </rPr>
      <t>max</t>
    </r>
  </si>
  <si>
    <r>
      <t>rT(</t>
    </r>
    <r>
      <rPr>
        <b/>
        <sz val="11"/>
        <rFont val="Calibri"/>
        <family val="2"/>
      </rPr>
      <t>λ)/rT(λ)</t>
    </r>
    <r>
      <rPr>
        <b/>
        <vertAlign val="subscript"/>
        <sz val="11"/>
        <rFont val="Calibri"/>
        <family val="2"/>
      </rPr>
      <t>max</t>
    </r>
  </si>
  <si>
    <r>
      <t>rN</t>
    </r>
    <r>
      <rPr>
        <vertAlign val="subscript"/>
        <sz val="13"/>
        <color indexed="8"/>
        <rFont val="Calibri"/>
        <family val="2"/>
      </rPr>
      <t>sc</t>
    </r>
    <r>
      <rPr>
        <sz val="11"/>
        <color indexed="8"/>
        <rFont val="Calibri"/>
        <family val="2"/>
      </rPr>
      <t>(λ)</t>
    </r>
  </si>
  <si>
    <r>
      <t>rN</t>
    </r>
    <r>
      <rPr>
        <vertAlign val="subscript"/>
        <sz val="13"/>
        <color indexed="8"/>
        <rFont val="Calibri"/>
        <family val="2"/>
      </rPr>
      <t>z</t>
    </r>
    <r>
      <rPr>
        <sz val="11"/>
        <color indexed="8"/>
        <rFont val="Calibri"/>
        <family val="2"/>
      </rPr>
      <t>(λ)</t>
    </r>
  </si>
  <si>
    <r>
      <t>rN</t>
    </r>
    <r>
      <rPr>
        <vertAlign val="subscript"/>
        <sz val="13"/>
        <color indexed="8"/>
        <rFont val="Calibri"/>
        <family val="2"/>
      </rPr>
      <t>r</t>
    </r>
    <r>
      <rPr>
        <sz val="11"/>
        <color indexed="8"/>
        <rFont val="Calibri"/>
        <family val="2"/>
      </rPr>
      <t>(λ)</t>
    </r>
  </si>
  <si>
    <r>
      <t>rN</t>
    </r>
    <r>
      <rPr>
        <vertAlign val="subscript"/>
        <sz val="13"/>
        <color indexed="8"/>
        <rFont val="Calibri"/>
        <family val="2"/>
      </rPr>
      <t>mc</t>
    </r>
    <r>
      <rPr>
        <sz val="11"/>
        <color indexed="8"/>
        <rFont val="Calibri"/>
        <family val="2"/>
      </rPr>
      <t>(λ)</t>
    </r>
  </si>
  <si>
    <t>Equivalent lux values and SI units</t>
  </si>
  <si>
    <r>
      <rPr>
        <sz val="11"/>
        <rFont val="Symbol"/>
        <family val="1"/>
        <charset val="2"/>
      </rPr>
      <t>l</t>
    </r>
    <r>
      <rPr>
        <vertAlign val="subscript"/>
        <sz val="11"/>
        <rFont val="Calibri"/>
        <family val="2"/>
      </rPr>
      <t>max</t>
    </r>
    <r>
      <rPr>
        <sz val="11"/>
        <rFont val="Calibri"/>
        <family val="2"/>
      </rPr>
      <t xml:space="preserve"> </t>
    </r>
  </si>
  <si>
    <r>
      <rPr>
        <b/>
        <sz val="11"/>
        <rFont val="Calibri"/>
        <family val="2"/>
        <scheme val="minor"/>
      </rPr>
      <t xml:space="preserve">Adjusted peak sensitivity in vivo  </t>
    </r>
    <r>
      <rPr>
        <b/>
        <sz val="11"/>
        <rFont val="Symbol"/>
        <family val="1"/>
        <charset val="2"/>
      </rPr>
      <t>l</t>
    </r>
    <r>
      <rPr>
        <b/>
        <vertAlign val="subscript"/>
        <sz val="11"/>
        <rFont val="Calibri"/>
        <family val="2"/>
      </rPr>
      <t>max</t>
    </r>
    <r>
      <rPr>
        <b/>
        <sz val="11"/>
        <rFont val="Calibri"/>
        <family val="2"/>
      </rPr>
      <t xml:space="preserve"> (nm), shown to nearest 5 nm</t>
    </r>
  </si>
  <si>
    <r>
      <t>rN</t>
    </r>
    <r>
      <rPr>
        <vertAlign val="subscript"/>
        <sz val="11"/>
        <rFont val="Symbol"/>
        <family val="1"/>
        <charset val="2"/>
      </rPr>
      <t>a</t>
    </r>
    <r>
      <rPr>
        <sz val="11"/>
        <rFont val="Calibri"/>
        <family val="2"/>
        <scheme val="minor"/>
      </rPr>
      <t>(</t>
    </r>
    <r>
      <rPr>
        <sz val="11"/>
        <rFont val="Symbol"/>
        <family val="1"/>
        <charset val="2"/>
      </rPr>
      <t>l</t>
    </r>
    <r>
      <rPr>
        <vertAlign val="subscript"/>
        <sz val="11"/>
        <rFont val="Calibri"/>
        <family val="2"/>
        <scheme val="minor"/>
      </rPr>
      <t>max</t>
    </r>
    <r>
      <rPr>
        <sz val="11"/>
        <rFont val="Calibri"/>
        <family val="2"/>
        <scheme val="minor"/>
      </rPr>
      <t>)</t>
    </r>
  </si>
  <si>
    <r>
      <rPr>
        <b/>
        <sz val="11"/>
        <rFont val="Symbol"/>
        <family val="1"/>
        <charset val="2"/>
      </rPr>
      <t>f</t>
    </r>
    <r>
      <rPr>
        <b/>
        <sz val="11"/>
        <rFont val="Calibri"/>
        <family val="2"/>
        <scheme val="minor"/>
      </rPr>
      <t>(λ)</t>
    </r>
  </si>
  <si>
    <r>
      <t xml:space="preserve">rspd, </t>
    </r>
    <r>
      <rPr>
        <sz val="11"/>
        <rFont val="Symbol"/>
        <family val="1"/>
        <charset val="2"/>
      </rPr>
      <t>f</t>
    </r>
    <r>
      <rPr>
        <sz val="11"/>
        <rFont val="Calibri"/>
        <family val="2"/>
        <scheme val="minor"/>
      </rPr>
      <t>(λ)</t>
    </r>
  </si>
  <si>
    <r>
      <rPr>
        <sz val="11"/>
        <rFont val="Symbol"/>
        <family val="1"/>
        <charset val="2"/>
      </rPr>
      <t>a</t>
    </r>
    <r>
      <rPr>
        <sz val="11"/>
        <rFont val="Calibri"/>
        <family val="2"/>
      </rPr>
      <t xml:space="preserve">-opic </t>
    </r>
    <r>
      <rPr>
        <sz val="11"/>
        <color theme="0"/>
        <rFont val="Calibri"/>
        <family val="2"/>
      </rPr>
      <t>equivalent lux</t>
    </r>
  </si>
  <si>
    <r>
      <t>μW/cm</t>
    </r>
    <r>
      <rPr>
        <vertAlign val="superscript"/>
        <sz val="11"/>
        <rFont val="Calibri"/>
        <family val="2"/>
        <scheme val="minor"/>
      </rPr>
      <t>2</t>
    </r>
    <r>
      <rPr>
        <sz val="11"/>
        <color theme="0"/>
        <rFont val="Calibri"/>
        <family val="2"/>
        <scheme val="minor"/>
      </rPr>
      <t xml:space="preserve"> weighted SI units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</si>
</sst>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E+00"/>
    <numFmt numFmtId="166" formatCode="0.000"/>
    <numFmt numFmtId="167" formatCode="0.000000"/>
    <numFmt numFmtId="168" formatCode="0.00000000"/>
    <numFmt numFmtId="169" formatCode="0.0%"/>
    <numFmt numFmtId="170" formatCode="0.000\ 000"/>
    <numFmt numFmtId="171" formatCode="#\ ##0.000"/>
  </numFmts>
  <fonts count="66" x14ac:knownFonts="1">
    <font>
      <sz val="11"/>
      <color theme="1"/>
      <name val="Calibri"/>
      <family val="2"/>
      <scheme val="minor"/>
    </font>
    <font>
      <b/>
      <sz val="11"/>
      <color indexed="8"/>
      <name val="Calibri"/>
      <family val="2"/>
    </font>
    <font>
      <b/>
      <sz val="11"/>
      <color indexed="8"/>
      <name val="Symbol"/>
      <family val="1"/>
      <charset val="2"/>
    </font>
    <font>
      <b/>
      <vertAlign val="superscript"/>
      <sz val="11"/>
      <color indexed="8"/>
      <name val="Calibri"/>
      <family val="2"/>
    </font>
    <font>
      <b/>
      <vertAlign val="superscript"/>
      <sz val="11"/>
      <color indexed="8"/>
      <name val="Symbol"/>
      <family val="1"/>
      <charset val="2"/>
    </font>
    <font>
      <b/>
      <sz val="12"/>
      <name val="Calibri"/>
      <family val="2"/>
    </font>
    <font>
      <sz val="12"/>
      <name val="Calibri"/>
      <family val="2"/>
    </font>
    <font>
      <b/>
      <sz val="12"/>
      <name val="Symbol"/>
      <family val="1"/>
      <charset val="2"/>
    </font>
    <font>
      <b/>
      <vertAlign val="subscript"/>
      <sz val="12"/>
      <name val="Calibri"/>
      <family val="2"/>
    </font>
    <font>
      <vertAlign val="subscript"/>
      <sz val="12"/>
      <name val="Calibri"/>
      <family val="2"/>
    </font>
    <font>
      <b/>
      <sz val="12"/>
      <name val="Calibri"/>
      <family val="2"/>
    </font>
    <font>
      <b/>
      <vertAlign val="subscript"/>
      <sz val="14"/>
      <name val="Calibri"/>
      <family val="2"/>
    </font>
    <font>
      <b/>
      <i/>
      <sz val="12"/>
      <name val="Calibri"/>
      <family val="2"/>
    </font>
    <font>
      <sz val="12"/>
      <color indexed="55"/>
      <name val="Calibri"/>
      <family val="2"/>
    </font>
    <font>
      <vertAlign val="subscript"/>
      <sz val="12"/>
      <color indexed="55"/>
      <name val="Calibri"/>
      <family val="2"/>
    </font>
    <font>
      <i/>
      <sz val="12"/>
      <color indexed="55"/>
      <name val="Calibri"/>
      <family val="2"/>
    </font>
    <font>
      <vertAlign val="superscript"/>
      <sz val="12"/>
      <name val="Calibri"/>
      <family val="2"/>
    </font>
    <font>
      <sz val="10"/>
      <name val="Calibri"/>
      <family val="2"/>
    </font>
    <font>
      <i/>
      <sz val="10"/>
      <name val="Calibri"/>
      <family val="2"/>
    </font>
    <font>
      <vertAlign val="subscript"/>
      <sz val="10"/>
      <name val="Calibri"/>
      <family val="2"/>
    </font>
    <font>
      <b/>
      <sz val="12"/>
      <color indexed="8"/>
      <name val="Calibri"/>
      <family val="2"/>
    </font>
    <font>
      <sz val="11"/>
      <color indexed="8"/>
      <name val="Calibri"/>
      <family val="2"/>
    </font>
    <font>
      <b/>
      <sz val="11"/>
      <color indexed="8"/>
      <name val="Calibri"/>
      <family val="2"/>
    </font>
    <font>
      <b/>
      <sz val="14"/>
      <color indexed="8"/>
      <name val="Calibri"/>
      <family val="2"/>
    </font>
    <font>
      <b/>
      <i/>
      <sz val="11"/>
      <color indexed="8"/>
      <name val="Calibri"/>
      <family val="2"/>
    </font>
    <font>
      <b/>
      <sz val="12"/>
      <name val="Calibri"/>
      <family val="2"/>
    </font>
    <font>
      <sz val="12"/>
      <name val="Calibri"/>
      <family val="2"/>
    </font>
    <font>
      <b/>
      <i/>
      <sz val="12"/>
      <name val="Calibri"/>
      <family val="2"/>
    </font>
    <font>
      <b/>
      <sz val="12"/>
      <color indexed="10"/>
      <name val="Calibri"/>
      <family val="2"/>
    </font>
    <font>
      <sz val="12"/>
      <color indexed="8"/>
      <name val="Calibri"/>
      <family val="2"/>
    </font>
    <font>
      <b/>
      <sz val="12"/>
      <color indexed="8"/>
      <name val="Calibri"/>
      <family val="2"/>
    </font>
    <font>
      <b/>
      <sz val="12"/>
      <color indexed="10"/>
      <name val="Calibri"/>
      <family val="2"/>
    </font>
    <font>
      <b/>
      <sz val="12"/>
      <color indexed="12"/>
      <name val="Calibri"/>
      <family val="2"/>
    </font>
    <font>
      <b/>
      <sz val="12"/>
      <color indexed="11"/>
      <name val="Calibri"/>
      <family val="2"/>
    </font>
    <font>
      <sz val="12"/>
      <color indexed="10"/>
      <name val="Calibri"/>
      <family val="2"/>
    </font>
    <font>
      <sz val="26"/>
      <color indexed="10"/>
      <name val="Calibri"/>
      <family val="2"/>
    </font>
    <font>
      <b/>
      <sz val="11"/>
      <color indexed="10"/>
      <name val="Calibri"/>
      <family val="2"/>
    </font>
    <font>
      <b/>
      <sz val="11"/>
      <color indexed="8"/>
      <name val="Calibri"/>
      <family val="2"/>
    </font>
    <font>
      <sz val="12"/>
      <color indexed="55"/>
      <name val="Calibri"/>
      <family val="2"/>
    </font>
    <font>
      <sz val="10"/>
      <name val="Calibri"/>
      <family val="2"/>
    </font>
    <font>
      <sz val="11"/>
      <name val="Calibri"/>
      <family val="2"/>
    </font>
    <font>
      <sz val="12"/>
      <color indexed="12"/>
      <name val="Calibri"/>
      <family val="2"/>
    </font>
    <font>
      <b/>
      <sz val="12"/>
      <color indexed="23"/>
      <name val="Calibri"/>
      <family val="2"/>
    </font>
    <font>
      <b/>
      <sz val="10"/>
      <name val="Calibri"/>
      <family val="2"/>
    </font>
    <font>
      <b/>
      <sz val="12"/>
      <color indexed="8"/>
      <name val="Calibri"/>
      <family val="2"/>
    </font>
    <font>
      <sz val="12"/>
      <color indexed="8"/>
      <name val="Calibri"/>
      <family val="2"/>
    </font>
    <font>
      <b/>
      <sz val="11"/>
      <name val="Calibri"/>
      <family val="2"/>
    </font>
    <font>
      <b/>
      <vertAlign val="subscript"/>
      <sz val="14"/>
      <color indexed="8"/>
      <name val="Calibri"/>
      <family val="2"/>
    </font>
    <font>
      <vertAlign val="subscript"/>
      <sz val="13"/>
      <name val="Calibri"/>
      <family val="2"/>
    </font>
    <font>
      <sz val="11"/>
      <name val="Calibri"/>
      <family val="2"/>
      <scheme val="minor"/>
    </font>
    <font>
      <b/>
      <sz val="11"/>
      <name val="Calibri"/>
      <family val="2"/>
      <scheme val="minor"/>
    </font>
    <font>
      <sz val="11"/>
      <color theme="0"/>
      <name val="Calibri"/>
      <family val="2"/>
    </font>
    <font>
      <sz val="12"/>
      <color theme="0"/>
      <name val="Calibri"/>
      <family val="2"/>
    </font>
    <font>
      <b/>
      <sz val="12"/>
      <color rgb="FF9900CC"/>
      <name val="Calibri"/>
      <family val="2"/>
    </font>
    <font>
      <sz val="12"/>
      <color rgb="FFFF0000"/>
      <name val="Calibri"/>
      <family val="2"/>
    </font>
    <font>
      <b/>
      <sz val="11"/>
      <name val="Symbol"/>
      <family val="1"/>
      <charset val="2"/>
    </font>
    <font>
      <b/>
      <vertAlign val="subscript"/>
      <sz val="11"/>
      <name val="Calibri"/>
      <family val="2"/>
    </font>
    <font>
      <i/>
      <sz val="11"/>
      <color theme="1"/>
      <name val="Calibri"/>
      <family val="2"/>
      <scheme val="minor"/>
    </font>
    <font>
      <vertAlign val="superscript"/>
      <sz val="11"/>
      <name val="Calibri"/>
      <family val="2"/>
      <scheme val="minor"/>
    </font>
    <font>
      <i/>
      <sz val="12"/>
      <name val="Symbol"/>
      <family val="1"/>
      <charset val="2"/>
    </font>
    <font>
      <vertAlign val="subscript"/>
      <sz val="11"/>
      <name val="Calibri"/>
      <family val="2"/>
    </font>
    <font>
      <sz val="11"/>
      <name val="Symbol"/>
      <family val="1"/>
      <charset val="2"/>
    </font>
    <font>
      <vertAlign val="subscript"/>
      <sz val="11"/>
      <name val="Calibri"/>
      <family val="2"/>
      <scheme val="minor"/>
    </font>
    <font>
      <sz val="11"/>
      <color theme="0"/>
      <name val="Calibri"/>
      <family val="2"/>
      <scheme val="minor"/>
    </font>
    <font>
      <vertAlign val="subscript"/>
      <sz val="13"/>
      <color indexed="8"/>
      <name val="Calibri"/>
      <family val="2"/>
    </font>
    <font>
      <vertAlign val="subscript"/>
      <sz val="11"/>
      <name val="Symbol"/>
      <family val="1"/>
      <charset val="2"/>
    </font>
  </fonts>
  <fills count="8">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44"/>
        <bgColor indexed="64"/>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theme="0"/>
      </left>
      <right style="medium">
        <color theme="0"/>
      </right>
      <top style="medium">
        <color theme="0"/>
      </top>
      <bottom/>
      <diagonal/>
    </border>
    <border>
      <left style="medium">
        <color theme="0"/>
      </left>
      <right style="medium">
        <color theme="0"/>
      </right>
      <top/>
      <bottom style="medium">
        <color theme="0"/>
      </bottom>
      <diagonal/>
    </border>
  </borders>
  <cellStyleXfs count="2">
    <xf numFmtId="0" fontId="0" fillId="0" borderId="0"/>
    <xf numFmtId="9" fontId="21" fillId="0" borderId="0" applyFont="0" applyFill="0" applyBorder="0" applyAlignment="0" applyProtection="0"/>
  </cellStyleXfs>
  <cellXfs count="229">
    <xf numFmtId="0" fontId="0" fillId="0" borderId="0" xfId="0"/>
    <xf numFmtId="0" fontId="0" fillId="2" borderId="0" xfId="0" applyFill="1" applyAlignment="1" applyProtection="1">
      <alignment horizontal="left"/>
      <protection hidden="1"/>
    </xf>
    <xf numFmtId="0" fontId="0" fillId="2" borderId="0" xfId="0" applyFill="1" applyProtection="1">
      <protection hidden="1"/>
    </xf>
    <xf numFmtId="0" fontId="0" fillId="2" borderId="0" xfId="0" applyFill="1" applyAlignment="1" applyProtection="1">
      <alignment horizontal="center"/>
      <protection hidden="1"/>
    </xf>
    <xf numFmtId="0" fontId="0" fillId="2" borderId="0" xfId="0" applyFill="1" applyBorder="1" applyAlignment="1" applyProtection="1">
      <alignment horizontal="center"/>
      <protection hidden="1"/>
    </xf>
    <xf numFmtId="0" fontId="0" fillId="2" borderId="0" xfId="0" quotePrefix="1" applyFill="1" applyProtection="1">
      <protection hidden="1"/>
    </xf>
    <xf numFmtId="0" fontId="35" fillId="2" borderId="0" xfId="0" applyFont="1" applyFill="1" applyAlignment="1" applyProtection="1">
      <alignment horizontal="center"/>
      <protection hidden="1"/>
    </xf>
    <xf numFmtId="0" fontId="22" fillId="2" borderId="0" xfId="0" applyFont="1" applyFill="1" applyAlignment="1" applyProtection="1">
      <alignment horizontal="left"/>
      <protection hidden="1"/>
    </xf>
    <xf numFmtId="0" fontId="31" fillId="2" borderId="0" xfId="0" applyFont="1" applyFill="1" applyProtection="1">
      <protection hidden="1"/>
    </xf>
    <xf numFmtId="0" fontId="22" fillId="2" borderId="0" xfId="0" applyFont="1" applyFill="1" applyProtection="1">
      <protection hidden="1"/>
    </xf>
    <xf numFmtId="2" fontId="26" fillId="2" borderId="0" xfId="0" applyNumberFormat="1" applyFont="1" applyFill="1" applyProtection="1">
      <protection hidden="1"/>
    </xf>
    <xf numFmtId="0" fontId="36" fillId="2" borderId="0" xfId="0" applyFont="1" applyFill="1" applyAlignment="1" applyProtection="1">
      <alignment horizontal="left"/>
      <protection hidden="1"/>
    </xf>
    <xf numFmtId="0" fontId="30" fillId="2" borderId="0" xfId="0" applyFont="1" applyFill="1" applyProtection="1">
      <protection hidden="1"/>
    </xf>
    <xf numFmtId="0" fontId="26" fillId="2" borderId="0" xfId="0" applyFont="1" applyFill="1" applyProtection="1">
      <protection hidden="1"/>
    </xf>
    <xf numFmtId="11" fontId="25" fillId="2" borderId="0" xfId="0" applyNumberFormat="1" applyFont="1" applyFill="1" applyBorder="1" applyAlignment="1" applyProtection="1">
      <alignment horizontal="center"/>
      <protection hidden="1"/>
    </xf>
    <xf numFmtId="0" fontId="25" fillId="2" borderId="0" xfId="0" applyFont="1" applyFill="1" applyAlignment="1" applyProtection="1">
      <alignment horizontal="right"/>
      <protection hidden="1"/>
    </xf>
    <xf numFmtId="0" fontId="22" fillId="2" borderId="0" xfId="0" applyFont="1" applyFill="1" applyAlignment="1" applyProtection="1">
      <alignment horizontal="center"/>
      <protection hidden="1"/>
    </xf>
    <xf numFmtId="0" fontId="5" fillId="2" borderId="0" xfId="0" applyFont="1" applyFill="1" applyAlignment="1" applyProtection="1">
      <alignment horizontal="left"/>
      <protection hidden="1"/>
    </xf>
    <xf numFmtId="2" fontId="25" fillId="2" borderId="0" xfId="0" applyNumberFormat="1" applyFont="1" applyFill="1" applyBorder="1" applyAlignment="1" applyProtection="1">
      <alignment horizontal="center"/>
      <protection hidden="1"/>
    </xf>
    <xf numFmtId="0" fontId="0" fillId="2" borderId="0" xfId="0" applyNumberFormat="1" applyFill="1" applyAlignment="1" applyProtection="1">
      <alignment horizontal="center"/>
      <protection hidden="1"/>
    </xf>
    <xf numFmtId="11" fontId="0" fillId="2" borderId="0" xfId="0" applyNumberFormat="1" applyFill="1" applyAlignment="1" applyProtection="1">
      <alignment horizontal="center"/>
      <protection hidden="1"/>
    </xf>
    <xf numFmtId="0" fontId="25" fillId="2" borderId="0" xfId="0" applyFont="1" applyFill="1" applyAlignment="1" applyProtection="1">
      <alignment horizontal="left"/>
      <protection hidden="1"/>
    </xf>
    <xf numFmtId="0" fontId="26" fillId="2" borderId="0" xfId="0" applyFont="1" applyFill="1" applyAlignment="1" applyProtection="1">
      <alignment horizontal="center"/>
      <protection hidden="1"/>
    </xf>
    <xf numFmtId="0" fontId="31" fillId="2" borderId="0" xfId="0" applyFont="1" applyFill="1" applyAlignment="1" applyProtection="1">
      <alignment horizontal="left"/>
      <protection hidden="1"/>
    </xf>
    <xf numFmtId="0" fontId="25" fillId="2" borderId="0" xfId="0" applyFont="1" applyFill="1" applyBorder="1" applyAlignment="1" applyProtection="1">
      <alignment horizontal="center"/>
      <protection hidden="1"/>
    </xf>
    <xf numFmtId="11" fontId="26" fillId="2" borderId="0" xfId="0" applyNumberFormat="1" applyFont="1" applyFill="1" applyProtection="1">
      <protection hidden="1"/>
    </xf>
    <xf numFmtId="2" fontId="31" fillId="2" borderId="0" xfId="0" applyNumberFormat="1" applyFont="1" applyFill="1" applyBorder="1" applyAlignment="1" applyProtection="1">
      <alignment horizontal="center"/>
      <protection hidden="1"/>
    </xf>
    <xf numFmtId="0" fontId="25" fillId="2" borderId="0" xfId="0" applyFont="1" applyFill="1" applyAlignment="1" applyProtection="1">
      <alignment horizontal="center"/>
      <protection hidden="1"/>
    </xf>
    <xf numFmtId="0" fontId="25" fillId="2" borderId="0" xfId="0" applyFont="1" applyFill="1" applyProtection="1">
      <protection hidden="1"/>
    </xf>
    <xf numFmtId="0" fontId="30" fillId="3" borderId="1" xfId="0" applyNumberFormat="1" applyFont="1" applyFill="1" applyBorder="1" applyAlignment="1" applyProtection="1">
      <alignment horizontal="center"/>
      <protection hidden="1"/>
    </xf>
    <xf numFmtId="0" fontId="30" fillId="2" borderId="0" xfId="0" applyFont="1" applyFill="1" applyAlignment="1" applyProtection="1">
      <alignment horizontal="center"/>
      <protection hidden="1"/>
    </xf>
    <xf numFmtId="0" fontId="25" fillId="2" borderId="0" xfId="0" applyFont="1" applyFill="1" applyBorder="1" applyProtection="1">
      <protection hidden="1"/>
    </xf>
    <xf numFmtId="0" fontId="29" fillId="2" borderId="0" xfId="0" applyFont="1" applyFill="1" applyAlignment="1" applyProtection="1">
      <alignment horizontal="left"/>
      <protection hidden="1"/>
    </xf>
    <xf numFmtId="0" fontId="29" fillId="2" borderId="0" xfId="0" applyFont="1" applyFill="1" applyProtection="1">
      <protection hidden="1"/>
    </xf>
    <xf numFmtId="0" fontId="41" fillId="2" borderId="0" xfId="0" applyFont="1" applyFill="1" applyAlignment="1" applyProtection="1">
      <alignment horizontal="left"/>
      <protection hidden="1"/>
    </xf>
    <xf numFmtId="0" fontId="32" fillId="2" borderId="0" xfId="0" applyFont="1" applyFill="1" applyProtection="1">
      <protection hidden="1"/>
    </xf>
    <xf numFmtId="0" fontId="32" fillId="2" borderId="0" xfId="0" applyFont="1" applyFill="1" applyBorder="1" applyProtection="1">
      <protection hidden="1"/>
    </xf>
    <xf numFmtId="0" fontId="42" fillId="2" borderId="0" xfId="0" applyFont="1" applyFill="1" applyBorder="1" applyProtection="1">
      <protection hidden="1"/>
    </xf>
    <xf numFmtId="11" fontId="33" fillId="2" borderId="0" xfId="0" applyNumberFormat="1" applyFont="1" applyFill="1" applyProtection="1">
      <protection hidden="1"/>
    </xf>
    <xf numFmtId="0" fontId="33" fillId="2" borderId="0" xfId="0" applyFont="1" applyFill="1" applyBorder="1" applyProtection="1">
      <protection hidden="1"/>
    </xf>
    <xf numFmtId="0" fontId="31" fillId="2" borderId="0" xfId="0" applyFont="1" applyFill="1" applyBorder="1" applyProtection="1">
      <protection hidden="1"/>
    </xf>
    <xf numFmtId="0" fontId="29" fillId="2" borderId="0" xfId="0" applyFont="1" applyFill="1" applyAlignment="1" applyProtection="1">
      <alignment horizontal="center"/>
      <protection hidden="1"/>
    </xf>
    <xf numFmtId="0" fontId="25" fillId="2" borderId="0" xfId="0" applyFont="1" applyFill="1" applyBorder="1" applyAlignment="1" applyProtection="1">
      <alignment horizontal="left"/>
      <protection hidden="1"/>
    </xf>
    <xf numFmtId="11" fontId="30" fillId="3" borderId="2" xfId="0" applyNumberFormat="1" applyFont="1" applyFill="1" applyBorder="1" applyAlignment="1" applyProtection="1">
      <alignment horizontal="center"/>
      <protection hidden="1"/>
    </xf>
    <xf numFmtId="0" fontId="43" fillId="2" borderId="0" xfId="0" applyFont="1" applyFill="1" applyBorder="1" applyAlignment="1" applyProtection="1">
      <alignment horizontal="center"/>
      <protection hidden="1"/>
    </xf>
    <xf numFmtId="0" fontId="43" fillId="2" borderId="0" xfId="0" applyFont="1" applyFill="1" applyAlignment="1" applyProtection="1">
      <alignment horizontal="center"/>
      <protection hidden="1"/>
    </xf>
    <xf numFmtId="0" fontId="32" fillId="2" borderId="0" xfId="0" applyNumberFormat="1" applyFont="1" applyFill="1" applyAlignment="1" applyProtection="1">
      <alignment horizontal="left"/>
      <protection hidden="1"/>
    </xf>
    <xf numFmtId="0" fontId="32" fillId="2" borderId="0" xfId="0" applyNumberFormat="1" applyFont="1" applyFill="1" applyAlignment="1" applyProtection="1">
      <alignment horizontal="right"/>
      <protection hidden="1"/>
    </xf>
    <xf numFmtId="2" fontId="25" fillId="2" borderId="0" xfId="0" applyNumberFormat="1" applyFont="1" applyFill="1" applyAlignment="1" applyProtection="1">
      <alignment horizontal="center"/>
      <protection hidden="1"/>
    </xf>
    <xf numFmtId="11" fontId="26" fillId="2" borderId="0" xfId="0" applyNumberFormat="1" applyFont="1" applyFill="1" applyBorder="1" applyAlignment="1" applyProtection="1">
      <alignment horizontal="center"/>
      <protection hidden="1"/>
    </xf>
    <xf numFmtId="166" fontId="26" fillId="2" borderId="0" xfId="0" applyNumberFormat="1" applyFont="1" applyFill="1" applyAlignment="1" applyProtection="1">
      <alignment horizontal="center"/>
      <protection hidden="1"/>
    </xf>
    <xf numFmtId="0" fontId="31" fillId="2" borderId="0" xfId="0" applyFont="1" applyFill="1" applyAlignment="1" applyProtection="1">
      <alignment horizontal="right"/>
      <protection hidden="1"/>
    </xf>
    <xf numFmtId="164" fontId="25" fillId="2" borderId="0" xfId="0" applyNumberFormat="1" applyFont="1" applyFill="1" applyAlignment="1" applyProtection="1">
      <alignment horizontal="center"/>
      <protection hidden="1"/>
    </xf>
    <xf numFmtId="11" fontId="10" fillId="2" borderId="0" xfId="0" applyNumberFormat="1" applyFont="1" applyFill="1" applyProtection="1">
      <protection hidden="1"/>
    </xf>
    <xf numFmtId="0" fontId="25" fillId="2" borderId="0" xfId="0" quotePrefix="1" applyFont="1" applyFill="1" applyAlignment="1" applyProtection="1">
      <alignment horizontal="center"/>
      <protection hidden="1"/>
    </xf>
    <xf numFmtId="164" fontId="25" fillId="2" borderId="0" xfId="0" applyNumberFormat="1" applyFont="1" applyFill="1" applyBorder="1" applyAlignment="1" applyProtection="1">
      <alignment horizontal="center"/>
      <protection hidden="1"/>
    </xf>
    <xf numFmtId="169" fontId="26" fillId="2" borderId="0" xfId="1" applyNumberFormat="1" applyFont="1" applyFill="1" applyBorder="1" applyAlignment="1" applyProtection="1">
      <alignment horizontal="center"/>
      <protection hidden="1"/>
    </xf>
    <xf numFmtId="2" fontId="26" fillId="2" borderId="0" xfId="0" applyNumberFormat="1" applyFont="1" applyFill="1" applyAlignment="1" applyProtection="1">
      <alignment horizontal="center"/>
      <protection hidden="1"/>
    </xf>
    <xf numFmtId="11" fontId="0" fillId="2" borderId="0" xfId="0" applyNumberFormat="1" applyFill="1" applyProtection="1">
      <protection hidden="1"/>
    </xf>
    <xf numFmtId="2" fontId="21" fillId="4" borderId="3" xfId="1" applyNumberFormat="1" applyFont="1" applyFill="1" applyBorder="1" applyAlignment="1" applyProtection="1">
      <alignment horizontal="center"/>
      <protection locked="0" hidden="1"/>
    </xf>
    <xf numFmtId="2" fontId="21" fillId="4" borderId="2" xfId="1" applyNumberFormat="1" applyFont="1" applyFill="1" applyBorder="1" applyAlignment="1" applyProtection="1">
      <alignment horizontal="center"/>
      <protection locked="0" hidden="1"/>
    </xf>
    <xf numFmtId="2" fontId="21" fillId="4" borderId="4" xfId="1" applyNumberFormat="1" applyFont="1" applyFill="1" applyBorder="1" applyAlignment="1" applyProtection="1">
      <alignment horizontal="center"/>
      <protection locked="0" hidden="1"/>
    </xf>
    <xf numFmtId="0" fontId="22" fillId="2" borderId="0" xfId="0" applyFont="1" applyFill="1" applyAlignment="1" applyProtection="1">
      <alignment horizontal="right"/>
      <protection hidden="1"/>
    </xf>
    <xf numFmtId="4" fontId="30" fillId="3" borderId="1" xfId="0" applyNumberFormat="1" applyFont="1" applyFill="1" applyBorder="1" applyAlignment="1" applyProtection="1">
      <alignment horizontal="center"/>
      <protection hidden="1"/>
    </xf>
    <xf numFmtId="4" fontId="25" fillId="3" borderId="3" xfId="0" applyNumberFormat="1" applyFont="1" applyFill="1" applyBorder="1" applyAlignment="1" applyProtection="1">
      <alignment horizontal="center"/>
      <protection hidden="1"/>
    </xf>
    <xf numFmtId="4" fontId="25" fillId="3" borderId="2" xfId="0" applyNumberFormat="1" applyFont="1" applyFill="1" applyBorder="1" applyAlignment="1" applyProtection="1">
      <alignment horizontal="center"/>
      <protection hidden="1"/>
    </xf>
    <xf numFmtId="4" fontId="25" fillId="3" borderId="4" xfId="0" applyNumberFormat="1" applyFont="1" applyFill="1" applyBorder="1" applyAlignment="1" applyProtection="1">
      <alignment horizontal="center"/>
      <protection hidden="1"/>
    </xf>
    <xf numFmtId="4" fontId="30" fillId="3" borderId="3" xfId="0" applyNumberFormat="1" applyFont="1" applyFill="1" applyBorder="1" applyAlignment="1" applyProtection="1">
      <alignment horizontal="center"/>
      <protection hidden="1"/>
    </xf>
    <xf numFmtId="4" fontId="30" fillId="3" borderId="4" xfId="0" applyNumberFormat="1" applyFont="1" applyFill="1" applyBorder="1" applyAlignment="1" applyProtection="1">
      <alignment horizontal="center"/>
      <protection hidden="1"/>
    </xf>
    <xf numFmtId="0" fontId="43" fillId="4" borderId="1" xfId="0" applyNumberFormat="1" applyFont="1" applyFill="1" applyBorder="1" applyAlignment="1" applyProtection="1">
      <alignment horizontal="center"/>
      <protection locked="0" hidden="1"/>
    </xf>
    <xf numFmtId="0" fontId="5" fillId="4" borderId="1" xfId="0" applyFont="1" applyFill="1" applyBorder="1" applyAlignment="1" applyProtection="1">
      <alignment horizontal="center"/>
      <protection locked="0" hidden="1"/>
    </xf>
    <xf numFmtId="0" fontId="25" fillId="4" borderId="1" xfId="0" applyNumberFormat="1" applyFont="1" applyFill="1" applyBorder="1" applyAlignment="1" applyProtection="1">
      <alignment horizontal="center"/>
      <protection locked="0" hidden="1"/>
    </xf>
    <xf numFmtId="4" fontId="25" fillId="4" borderId="1" xfId="0" applyNumberFormat="1" applyFont="1" applyFill="1" applyBorder="1" applyAlignment="1" applyProtection="1">
      <alignment horizontal="center"/>
      <protection locked="0" hidden="1"/>
    </xf>
    <xf numFmtId="0" fontId="25" fillId="4" borderId="1" xfId="0" applyFont="1" applyFill="1" applyBorder="1" applyAlignment="1" applyProtection="1">
      <alignment horizontal="center"/>
      <protection locked="0" hidden="1"/>
    </xf>
    <xf numFmtId="0" fontId="20" fillId="2" borderId="0" xfId="0" applyFont="1" applyFill="1" applyAlignment="1" applyProtection="1">
      <alignment horizontal="right"/>
      <protection hidden="1"/>
    </xf>
    <xf numFmtId="0" fontId="28" fillId="2" borderId="0" xfId="0" applyFont="1" applyFill="1" applyProtection="1">
      <protection hidden="1"/>
    </xf>
    <xf numFmtId="0" fontId="28" fillId="2" borderId="0" xfId="0" applyFont="1" applyFill="1" applyAlignment="1" applyProtection="1">
      <alignment horizontal="left"/>
      <protection hidden="1"/>
    </xf>
    <xf numFmtId="0" fontId="45" fillId="2" borderId="0" xfId="0" applyFont="1" applyFill="1" applyAlignment="1" applyProtection="1">
      <alignment horizontal="center"/>
      <protection hidden="1"/>
    </xf>
    <xf numFmtId="0" fontId="45" fillId="2" borderId="0" xfId="0" applyFont="1" applyFill="1" applyProtection="1">
      <protection hidden="1"/>
    </xf>
    <xf numFmtId="0" fontId="1" fillId="2" borderId="0" xfId="0" applyFont="1" applyFill="1" applyAlignment="1" applyProtection="1">
      <alignment horizontal="center"/>
      <protection hidden="1"/>
    </xf>
    <xf numFmtId="0" fontId="46" fillId="2" borderId="0" xfId="0" applyFont="1" applyFill="1" applyAlignment="1" applyProtection="1">
      <alignment horizontal="left"/>
      <protection hidden="1"/>
    </xf>
    <xf numFmtId="0" fontId="0" fillId="2" borderId="0" xfId="0" applyFont="1" applyFill="1" applyProtection="1">
      <protection hidden="1"/>
    </xf>
    <xf numFmtId="0" fontId="1" fillId="2" borderId="0" xfId="0" applyFont="1" applyFill="1" applyAlignment="1" applyProtection="1">
      <protection hidden="1"/>
    </xf>
    <xf numFmtId="0" fontId="35" fillId="2" borderId="0" xfId="0" applyFont="1" applyFill="1" applyAlignment="1" applyProtection="1">
      <alignment horizontal="left"/>
      <protection hidden="1"/>
    </xf>
    <xf numFmtId="0" fontId="28" fillId="2" borderId="0" xfId="0" applyFont="1" applyFill="1" applyAlignment="1" applyProtection="1">
      <alignment horizontal="right"/>
      <protection hidden="1"/>
    </xf>
    <xf numFmtId="0" fontId="5" fillId="4" borderId="1" xfId="0" applyNumberFormat="1" applyFont="1" applyFill="1" applyBorder="1" applyAlignment="1" applyProtection="1">
      <alignment horizontal="center"/>
      <protection locked="0" hidden="1"/>
    </xf>
    <xf numFmtId="2" fontId="21" fillId="4" borderId="5" xfId="1" applyNumberFormat="1" applyFont="1" applyFill="1" applyBorder="1" applyAlignment="1" applyProtection="1">
      <alignment horizontal="center"/>
      <protection locked="0" hidden="1"/>
    </xf>
    <xf numFmtId="2" fontId="0" fillId="2" borderId="0" xfId="0" applyNumberFormat="1" applyFill="1" applyProtection="1">
      <protection hidden="1"/>
    </xf>
    <xf numFmtId="0" fontId="5" fillId="2" borderId="0" xfId="0" applyFont="1" applyFill="1" applyAlignment="1" applyProtection="1">
      <alignment horizontal="right"/>
      <protection hidden="1"/>
    </xf>
    <xf numFmtId="0" fontId="25" fillId="2" borderId="0" xfId="0" applyFont="1" applyFill="1" applyBorder="1" applyAlignment="1" applyProtection="1">
      <alignment horizontal="right"/>
      <protection hidden="1"/>
    </xf>
    <xf numFmtId="0" fontId="5" fillId="2" borderId="0" xfId="0" applyFont="1" applyFill="1" applyBorder="1" applyAlignment="1" applyProtection="1">
      <alignment horizontal="left"/>
      <protection hidden="1"/>
    </xf>
    <xf numFmtId="0" fontId="51" fillId="2" borderId="0" xfId="0" applyFont="1" applyFill="1" applyProtection="1">
      <protection hidden="1"/>
    </xf>
    <xf numFmtId="0" fontId="5" fillId="2" borderId="0" xfId="0" applyFont="1" applyFill="1" applyProtection="1">
      <protection hidden="1"/>
    </xf>
    <xf numFmtId="0" fontId="52" fillId="2" borderId="0" xfId="0" applyFont="1" applyFill="1" applyAlignment="1" applyProtection="1">
      <alignment horizontal="center"/>
      <protection hidden="1"/>
    </xf>
    <xf numFmtId="168" fontId="26" fillId="2" borderId="0" xfId="0" applyNumberFormat="1" applyFont="1" applyFill="1" applyProtection="1">
      <protection hidden="1"/>
    </xf>
    <xf numFmtId="0" fontId="35" fillId="2" borderId="0" xfId="0" applyFont="1" applyFill="1" applyProtection="1">
      <protection hidden="1"/>
    </xf>
    <xf numFmtId="9" fontId="26" fillId="2" borderId="0" xfId="0" applyNumberFormat="1" applyFont="1" applyFill="1" applyProtection="1">
      <protection hidden="1"/>
    </xf>
    <xf numFmtId="0" fontId="36" fillId="2" borderId="0" xfId="0" applyFont="1" applyFill="1" applyProtection="1">
      <protection hidden="1"/>
    </xf>
    <xf numFmtId="0" fontId="34" fillId="2" borderId="0" xfId="0" applyFont="1" applyFill="1" applyProtection="1">
      <protection hidden="1"/>
    </xf>
    <xf numFmtId="0" fontId="0" fillId="4" borderId="10" xfId="0" applyNumberFormat="1" applyFill="1" applyBorder="1" applyAlignment="1" applyProtection="1">
      <alignment horizontal="center"/>
      <protection hidden="1"/>
    </xf>
    <xf numFmtId="0" fontId="26" fillId="2" borderId="0" xfId="0" applyFont="1" applyFill="1" applyBorder="1" applyAlignment="1" applyProtection="1">
      <alignment horizontal="left"/>
      <protection hidden="1"/>
    </xf>
    <xf numFmtId="0" fontId="26" fillId="2" borderId="0" xfId="0" applyFont="1" applyFill="1" applyBorder="1" applyAlignment="1" applyProtection="1">
      <alignment horizontal="center"/>
      <protection hidden="1"/>
    </xf>
    <xf numFmtId="0" fontId="26" fillId="2" borderId="0" xfId="0" applyFont="1" applyFill="1" applyAlignment="1" applyProtection="1">
      <protection hidden="1"/>
    </xf>
    <xf numFmtId="1" fontId="0" fillId="4" borderId="16" xfId="0" applyNumberFormat="1" applyFill="1" applyBorder="1" applyAlignment="1" applyProtection="1">
      <alignment horizontal="center"/>
      <protection hidden="1"/>
    </xf>
    <xf numFmtId="0" fontId="25" fillId="2" borderId="0" xfId="0" applyFont="1" applyFill="1" applyAlignment="1" applyProtection="1">
      <protection hidden="1"/>
    </xf>
    <xf numFmtId="1" fontId="0" fillId="4" borderId="19" xfId="0" applyNumberFormat="1" applyFill="1" applyBorder="1" applyAlignment="1" applyProtection="1">
      <alignment horizontal="center"/>
      <protection hidden="1"/>
    </xf>
    <xf numFmtId="0" fontId="5" fillId="2" borderId="0" xfId="0" applyFont="1" applyFill="1" applyAlignment="1" applyProtection="1">
      <protection hidden="1"/>
    </xf>
    <xf numFmtId="0" fontId="26" fillId="3" borderId="11" xfId="0" applyFont="1" applyFill="1" applyBorder="1" applyProtection="1">
      <protection hidden="1"/>
    </xf>
    <xf numFmtId="11" fontId="26" fillId="3" borderId="20" xfId="0" applyNumberFormat="1" applyFont="1" applyFill="1" applyBorder="1" applyProtection="1">
      <protection hidden="1"/>
    </xf>
    <xf numFmtId="0" fontId="23" fillId="2" borderId="0" xfId="0" applyFont="1" applyFill="1" applyProtection="1">
      <protection hidden="1"/>
    </xf>
    <xf numFmtId="11" fontId="0" fillId="2" borderId="0" xfId="0" applyNumberFormat="1" applyFont="1" applyFill="1" applyProtection="1">
      <protection hidden="1"/>
    </xf>
    <xf numFmtId="0" fontId="38" fillId="2" borderId="0" xfId="0" applyFont="1" applyFill="1" applyAlignment="1" applyProtection="1">
      <alignment horizontal="left"/>
      <protection hidden="1"/>
    </xf>
    <xf numFmtId="1" fontId="0" fillId="4" borderId="10" xfId="0" applyNumberFormat="1" applyFill="1" applyBorder="1" applyAlignment="1" applyProtection="1">
      <alignment horizontal="center"/>
      <protection hidden="1"/>
    </xf>
    <xf numFmtId="0" fontId="24" fillId="2" borderId="0" xfId="0" applyFont="1" applyFill="1" applyAlignment="1" applyProtection="1">
      <alignment horizontal="center"/>
      <protection hidden="1"/>
    </xf>
    <xf numFmtId="0" fontId="27" fillId="2" borderId="0" xfId="0" applyFont="1" applyFill="1" applyAlignment="1" applyProtection="1">
      <alignment horizontal="center"/>
      <protection hidden="1"/>
    </xf>
    <xf numFmtId="0" fontId="0" fillId="2" borderId="0" xfId="0" applyNumberFormat="1" applyFill="1" applyProtection="1">
      <protection hidden="1"/>
    </xf>
    <xf numFmtId="1" fontId="0" fillId="4" borderId="12" xfId="0" applyNumberFormat="1" applyFill="1" applyBorder="1" applyAlignment="1" applyProtection="1">
      <alignment horizontal="center"/>
      <protection hidden="1"/>
    </xf>
    <xf numFmtId="166" fontId="25" fillId="2" borderId="0" xfId="0" applyNumberFormat="1" applyFont="1" applyFill="1" applyProtection="1">
      <protection hidden="1"/>
    </xf>
    <xf numFmtId="0" fontId="25" fillId="5" borderId="21" xfId="0" applyFont="1" applyFill="1" applyBorder="1" applyAlignment="1" applyProtection="1">
      <alignment horizontal="center"/>
      <protection hidden="1"/>
    </xf>
    <xf numFmtId="0" fontId="37" fillId="5" borderId="13" xfId="0" applyFont="1" applyFill="1" applyBorder="1" applyAlignment="1" applyProtection="1">
      <alignment horizontal="center"/>
      <protection hidden="1"/>
    </xf>
    <xf numFmtId="0" fontId="22" fillId="5" borderId="13" xfId="0" applyFont="1" applyFill="1" applyBorder="1" applyAlignment="1" applyProtection="1">
      <alignment horizontal="center"/>
      <protection hidden="1"/>
    </xf>
    <xf numFmtId="0" fontId="22" fillId="5" borderId="14" xfId="0" applyFont="1" applyFill="1" applyBorder="1" applyAlignment="1" applyProtection="1">
      <alignment horizontal="center"/>
      <protection hidden="1"/>
    </xf>
    <xf numFmtId="0" fontId="25" fillId="5" borderId="13" xfId="0" applyFont="1" applyFill="1" applyBorder="1" applyAlignment="1" applyProtection="1">
      <alignment horizontal="center"/>
      <protection hidden="1"/>
    </xf>
    <xf numFmtId="0" fontId="5" fillId="5" borderId="13" xfId="0" applyFont="1" applyFill="1" applyBorder="1" applyAlignment="1" applyProtection="1">
      <alignment horizontal="center"/>
      <protection hidden="1"/>
    </xf>
    <xf numFmtId="0" fontId="25" fillId="5" borderId="12" xfId="0" applyFont="1" applyFill="1" applyBorder="1" applyAlignment="1" applyProtection="1">
      <alignment horizontal="center"/>
      <protection hidden="1"/>
    </xf>
    <xf numFmtId="0" fontId="25" fillId="5" borderId="14" xfId="0" applyFont="1" applyFill="1" applyBorder="1" applyAlignment="1" applyProtection="1">
      <alignment horizontal="center"/>
      <protection hidden="1"/>
    </xf>
    <xf numFmtId="0" fontId="25" fillId="2" borderId="15" xfId="0" applyFont="1" applyFill="1" applyBorder="1" applyAlignment="1" applyProtection="1">
      <alignment horizontal="center"/>
      <protection hidden="1"/>
    </xf>
    <xf numFmtId="165" fontId="26" fillId="2" borderId="9" xfId="1" applyNumberFormat="1" applyFont="1" applyFill="1" applyBorder="1" applyAlignment="1" applyProtection="1">
      <alignment horizontal="center"/>
      <protection hidden="1"/>
    </xf>
    <xf numFmtId="165" fontId="26" fillId="2" borderId="22" xfId="1" applyNumberFormat="1" applyFont="1" applyFill="1" applyBorder="1" applyAlignment="1" applyProtection="1">
      <alignment horizontal="center"/>
      <protection hidden="1"/>
    </xf>
    <xf numFmtId="165" fontId="26" fillId="2" borderId="11" xfId="1" applyNumberFormat="1" applyFont="1" applyFill="1" applyBorder="1" applyAlignment="1" applyProtection="1">
      <alignment horizontal="center"/>
      <protection hidden="1"/>
    </xf>
    <xf numFmtId="9" fontId="26" fillId="4" borderId="16" xfId="1" applyFont="1" applyFill="1" applyBorder="1" applyAlignment="1" applyProtection="1">
      <alignment horizontal="center"/>
      <protection hidden="1"/>
    </xf>
    <xf numFmtId="9" fontId="26" fillId="2" borderId="17" xfId="1" applyNumberFormat="1" applyFont="1" applyFill="1" applyBorder="1" applyAlignment="1" applyProtection="1">
      <alignment horizontal="center"/>
      <protection hidden="1"/>
    </xf>
    <xf numFmtId="0" fontId="25" fillId="2" borderId="16" xfId="1" applyNumberFormat="1" applyFont="1" applyFill="1" applyBorder="1" applyAlignment="1" applyProtection="1">
      <alignment horizontal="center"/>
      <protection hidden="1"/>
    </xf>
    <xf numFmtId="165" fontId="26" fillId="2" borderId="15" xfId="1" applyNumberFormat="1" applyFont="1" applyFill="1" applyBorder="1" applyAlignment="1" applyProtection="1">
      <alignment horizontal="center"/>
      <protection hidden="1"/>
    </xf>
    <xf numFmtId="165" fontId="26" fillId="2" borderId="0" xfId="1" applyNumberFormat="1" applyFont="1" applyFill="1" applyBorder="1" applyAlignment="1" applyProtection="1">
      <alignment horizontal="center"/>
      <protection hidden="1"/>
    </xf>
    <xf numFmtId="165" fontId="26" fillId="2" borderId="17" xfId="1" applyNumberFormat="1" applyFont="1" applyFill="1" applyBorder="1" applyAlignment="1" applyProtection="1">
      <alignment horizontal="center"/>
      <protection hidden="1"/>
    </xf>
    <xf numFmtId="165" fontId="26" fillId="2" borderId="18" xfId="1" applyNumberFormat="1" applyFont="1" applyFill="1" applyBorder="1" applyAlignment="1" applyProtection="1">
      <alignment horizontal="center"/>
      <protection hidden="1"/>
    </xf>
    <xf numFmtId="165" fontId="26" fillId="2" borderId="23" xfId="1" applyNumberFormat="1" applyFont="1" applyFill="1" applyBorder="1" applyAlignment="1" applyProtection="1">
      <alignment horizontal="center"/>
      <protection hidden="1"/>
    </xf>
    <xf numFmtId="165" fontId="26" fillId="2" borderId="20" xfId="1" applyNumberFormat="1" applyFont="1" applyFill="1" applyBorder="1" applyAlignment="1" applyProtection="1">
      <alignment horizontal="center"/>
      <protection hidden="1"/>
    </xf>
    <xf numFmtId="9" fontId="26" fillId="4" borderId="19" xfId="1" applyFont="1" applyFill="1" applyBorder="1" applyAlignment="1" applyProtection="1">
      <alignment horizontal="center"/>
      <protection hidden="1"/>
    </xf>
    <xf numFmtId="9" fontId="26" fillId="2" borderId="20" xfId="1" applyNumberFormat="1" applyFont="1" applyFill="1" applyBorder="1" applyAlignment="1" applyProtection="1">
      <alignment horizontal="center"/>
      <protection hidden="1"/>
    </xf>
    <xf numFmtId="0" fontId="25" fillId="2" borderId="19" xfId="1" applyNumberFormat="1" applyFont="1" applyFill="1" applyBorder="1" applyAlignment="1" applyProtection="1">
      <alignment horizontal="center"/>
      <protection hidden="1"/>
    </xf>
    <xf numFmtId="11" fontId="26" fillId="2" borderId="0" xfId="0" applyNumberFormat="1" applyFont="1" applyFill="1" applyAlignment="1" applyProtection="1">
      <alignment horizontal="center"/>
      <protection hidden="1"/>
    </xf>
    <xf numFmtId="0" fontId="53" fillId="2" borderId="0" xfId="0" applyFont="1" applyFill="1" applyBorder="1" applyProtection="1">
      <protection hidden="1"/>
    </xf>
    <xf numFmtId="9" fontId="54" fillId="2" borderId="0" xfId="1" applyFont="1" applyFill="1" applyBorder="1" applyAlignment="1" applyProtection="1">
      <alignment horizontal="center"/>
      <protection hidden="1"/>
    </xf>
    <xf numFmtId="9" fontId="54" fillId="2" borderId="23" xfId="1" applyFont="1" applyFill="1" applyBorder="1" applyAlignment="1" applyProtection="1">
      <alignment horizontal="center"/>
      <protection hidden="1"/>
    </xf>
    <xf numFmtId="0" fontId="20" fillId="2" borderId="0" xfId="0" applyFont="1" applyFill="1" applyAlignment="1" applyProtection="1">
      <alignment horizontal="center"/>
      <protection hidden="1"/>
    </xf>
    <xf numFmtId="1" fontId="25" fillId="2" borderId="24" xfId="0" applyNumberFormat="1" applyFont="1" applyFill="1" applyBorder="1" applyAlignment="1" applyProtection="1">
      <alignment horizontal="center"/>
      <protection hidden="1"/>
    </xf>
    <xf numFmtId="1" fontId="25" fillId="2" borderId="25" xfId="0" applyNumberFormat="1" applyFont="1" applyFill="1" applyBorder="1" applyAlignment="1" applyProtection="1">
      <alignment horizontal="center"/>
      <protection hidden="1"/>
    </xf>
    <xf numFmtId="0" fontId="6" fillId="2" borderId="0" xfId="0" applyFont="1" applyFill="1" applyBorder="1" applyAlignment="1" applyProtection="1">
      <alignment horizontal="left"/>
      <protection hidden="1"/>
    </xf>
    <xf numFmtId="0" fontId="5" fillId="2" borderId="0" xfId="0" applyFont="1" applyFill="1" applyAlignment="1" applyProtection="1">
      <alignment horizontal="center"/>
      <protection hidden="1"/>
    </xf>
    <xf numFmtId="167" fontId="13" fillId="2" borderId="0" xfId="0" applyNumberFormat="1" applyFont="1" applyFill="1" applyAlignment="1" applyProtection="1">
      <protection hidden="1"/>
    </xf>
    <xf numFmtId="0" fontId="57" fillId="2" borderId="0" xfId="0" applyFont="1" applyFill="1" applyProtection="1">
      <protection hidden="1"/>
    </xf>
    <xf numFmtId="0" fontId="6" fillId="2" borderId="0" xfId="0" applyFont="1" applyFill="1" applyAlignment="1" applyProtection="1">
      <alignment horizontal="center"/>
      <protection hidden="1"/>
    </xf>
    <xf numFmtId="0" fontId="25" fillId="7" borderId="10" xfId="0" applyFont="1" applyFill="1" applyBorder="1" applyAlignment="1" applyProtection="1">
      <alignment horizontal="center"/>
      <protection hidden="1"/>
    </xf>
    <xf numFmtId="0" fontId="6" fillId="5" borderId="12" xfId="0" applyFont="1" applyFill="1" applyBorder="1" applyAlignment="1" applyProtection="1">
      <alignment vertical="center"/>
      <protection hidden="1"/>
    </xf>
    <xf numFmtId="0" fontId="6" fillId="5" borderId="9" xfId="0" applyFont="1" applyFill="1" applyBorder="1" applyAlignment="1" applyProtection="1">
      <alignment vertical="center"/>
      <protection hidden="1"/>
    </xf>
    <xf numFmtId="0" fontId="6" fillId="5" borderId="15" xfId="0" applyFont="1" applyFill="1" applyBorder="1" applyAlignment="1" applyProtection="1">
      <alignment vertical="center"/>
      <protection hidden="1"/>
    </xf>
    <xf numFmtId="0" fontId="26" fillId="5" borderId="18" xfId="0" applyFont="1" applyFill="1" applyBorder="1" applyAlignment="1" applyProtection="1">
      <alignment vertical="center"/>
      <protection hidden="1"/>
    </xf>
    <xf numFmtId="0" fontId="39" fillId="5" borderId="10" xfId="0" applyFont="1" applyFill="1" applyBorder="1" applyAlignment="1" applyProtection="1">
      <alignment vertical="center"/>
      <protection hidden="1"/>
    </xf>
    <xf numFmtId="0" fontId="39" fillId="5" borderId="19" xfId="0" applyFont="1" applyFill="1" applyBorder="1" applyAlignment="1" applyProtection="1">
      <alignment vertical="center"/>
      <protection hidden="1"/>
    </xf>
    <xf numFmtId="11" fontId="22" fillId="7" borderId="19" xfId="0" applyNumberFormat="1" applyFont="1" applyFill="1" applyBorder="1" applyAlignment="1" applyProtection="1">
      <alignment horizontal="center" vertical="center"/>
      <protection hidden="1"/>
    </xf>
    <xf numFmtId="0" fontId="26" fillId="5" borderId="10" xfId="0" applyFont="1" applyFill="1" applyBorder="1" applyAlignment="1" applyProtection="1">
      <alignment vertical="center"/>
      <protection hidden="1"/>
    </xf>
    <xf numFmtId="0" fontId="26" fillId="5" borderId="16" xfId="0" applyFont="1" applyFill="1" applyBorder="1" applyAlignment="1" applyProtection="1">
      <alignment vertical="center"/>
      <protection hidden="1"/>
    </xf>
    <xf numFmtId="0" fontId="26" fillId="5" borderId="19" xfId="0" applyFont="1" applyFill="1" applyBorder="1" applyAlignment="1" applyProtection="1">
      <alignment vertical="center"/>
      <protection hidden="1"/>
    </xf>
    <xf numFmtId="0" fontId="26" fillId="3" borderId="11" xfId="0" applyNumberFormat="1" applyFont="1" applyFill="1" applyBorder="1" applyAlignment="1" applyProtection="1">
      <alignment vertical="center"/>
      <protection hidden="1"/>
    </xf>
    <xf numFmtId="9" fontId="26" fillId="3" borderId="17" xfId="0" applyNumberFormat="1" applyFont="1" applyFill="1" applyBorder="1" applyAlignment="1" applyProtection="1">
      <alignment vertical="center"/>
      <protection hidden="1"/>
    </xf>
    <xf numFmtId="0" fontId="26" fillId="3" borderId="17" xfId="0" applyNumberFormat="1" applyFont="1" applyFill="1" applyBorder="1" applyAlignment="1" applyProtection="1">
      <alignment vertical="center"/>
      <protection hidden="1"/>
    </xf>
    <xf numFmtId="11" fontId="26" fillId="3" borderId="17" xfId="0" applyNumberFormat="1" applyFont="1" applyFill="1" applyBorder="1" applyAlignment="1" applyProtection="1">
      <alignment vertical="center"/>
      <protection hidden="1"/>
    </xf>
    <xf numFmtId="0" fontId="26" fillId="3" borderId="17" xfId="0" applyFont="1" applyFill="1" applyBorder="1" applyAlignment="1" applyProtection="1">
      <alignment vertical="center"/>
      <protection hidden="1"/>
    </xf>
    <xf numFmtId="11" fontId="26" fillId="3" borderId="20" xfId="0" applyNumberFormat="1" applyFont="1" applyFill="1" applyBorder="1" applyAlignment="1" applyProtection="1">
      <alignment vertical="center"/>
      <protection hidden="1"/>
    </xf>
    <xf numFmtId="0" fontId="26" fillId="3" borderId="20" xfId="0" applyFont="1" applyFill="1" applyBorder="1" applyAlignment="1" applyProtection="1">
      <alignment vertical="center"/>
      <protection hidden="1"/>
    </xf>
    <xf numFmtId="0" fontId="6" fillId="5" borderId="12" xfId="0" applyFont="1" applyFill="1" applyBorder="1" applyAlignment="1" applyProtection="1">
      <alignment horizontal="center" vertical="center"/>
      <protection hidden="1"/>
    </xf>
    <xf numFmtId="0" fontId="26" fillId="5" borderId="10" xfId="0" applyFont="1" applyFill="1" applyBorder="1" applyAlignment="1" applyProtection="1">
      <protection hidden="1"/>
    </xf>
    <xf numFmtId="0" fontId="1" fillId="5" borderId="12" xfId="0" applyFont="1" applyFill="1" applyBorder="1" applyAlignment="1" applyProtection="1">
      <alignment horizontal="center"/>
      <protection hidden="1"/>
    </xf>
    <xf numFmtId="0" fontId="35" fillId="2" borderId="0" xfId="0" applyFont="1" applyFill="1" applyProtection="1"/>
    <xf numFmtId="0" fontId="49" fillId="6" borderId="0" xfId="0" applyFont="1" applyFill="1" applyProtection="1"/>
    <xf numFmtId="0" fontId="50" fillId="6" borderId="0" xfId="0" applyFont="1" applyFill="1" applyProtection="1"/>
    <xf numFmtId="0" fontId="46" fillId="2" borderId="0" xfId="0" applyFont="1" applyFill="1" applyAlignment="1" applyProtection="1"/>
    <xf numFmtId="0" fontId="50" fillId="6" borderId="0" xfId="0" applyFont="1" applyFill="1" applyAlignment="1" applyProtection="1">
      <alignment horizontal="right"/>
    </xf>
    <xf numFmtId="0" fontId="49" fillId="6" borderId="0" xfId="0" applyFont="1" applyFill="1" applyAlignment="1" applyProtection="1">
      <alignment horizontal="right"/>
    </xf>
    <xf numFmtId="0" fontId="21" fillId="2" borderId="0" xfId="0" applyFont="1" applyFill="1" applyAlignment="1" applyProtection="1">
      <alignment horizontal="right"/>
    </xf>
    <xf numFmtId="171" fontId="49" fillId="6" borderId="0" xfId="0" applyNumberFormat="1" applyFont="1" applyFill="1" applyProtection="1"/>
    <xf numFmtId="166" fontId="49" fillId="6" borderId="0" xfId="0" applyNumberFormat="1" applyFont="1" applyFill="1" applyProtection="1"/>
    <xf numFmtId="1" fontId="49" fillId="6" borderId="0" xfId="0" applyNumberFormat="1" applyFont="1" applyFill="1" applyAlignment="1" applyProtection="1">
      <alignment horizontal="right"/>
    </xf>
    <xf numFmtId="0" fontId="46" fillId="2" borderId="0" xfId="0" applyFont="1" applyFill="1" applyAlignment="1" applyProtection="1">
      <alignment horizontal="right"/>
    </xf>
    <xf numFmtId="0" fontId="40" fillId="6" borderId="0" xfId="0" applyFont="1" applyFill="1" applyProtection="1"/>
    <xf numFmtId="0" fontId="49" fillId="6" borderId="0" xfId="0" applyFont="1" applyFill="1" applyAlignment="1" applyProtection="1">
      <alignment vertical="justify"/>
    </xf>
    <xf numFmtId="170" fontId="49" fillId="6" borderId="0" xfId="0" applyNumberFormat="1" applyFont="1" applyFill="1" applyProtection="1"/>
    <xf numFmtId="0" fontId="40" fillId="2" borderId="0" xfId="0" applyFont="1" applyFill="1" applyAlignment="1" applyProtection="1"/>
    <xf numFmtId="9" fontId="49" fillId="6" borderId="0" xfId="0" applyNumberFormat="1" applyFont="1" applyFill="1" applyProtection="1"/>
    <xf numFmtId="0" fontId="29" fillId="2" borderId="0" xfId="0" applyFont="1" applyFill="1" applyProtection="1"/>
    <xf numFmtId="0" fontId="26" fillId="2" borderId="0" xfId="0" applyFont="1" applyFill="1" applyProtection="1"/>
    <xf numFmtId="0" fontId="26" fillId="2" borderId="0" xfId="0" applyFont="1" applyFill="1" applyAlignment="1" applyProtection="1">
      <alignment horizontal="center"/>
    </xf>
    <xf numFmtId="11" fontId="26" fillId="2" borderId="0" xfId="0" applyNumberFormat="1" applyFont="1" applyFill="1" applyAlignment="1" applyProtection="1">
      <alignment horizontal="center"/>
    </xf>
    <xf numFmtId="9" fontId="26" fillId="2" borderId="0" xfId="1" applyFont="1" applyFill="1" applyAlignment="1" applyProtection="1">
      <alignment horizontal="center"/>
    </xf>
    <xf numFmtId="0" fontId="5" fillId="2" borderId="0" xfId="0" applyFont="1" applyFill="1" applyAlignment="1" applyProtection="1"/>
    <xf numFmtId="0" fontId="5" fillId="2" borderId="0" xfId="0" applyFont="1" applyFill="1" applyAlignment="1" applyProtection="1">
      <alignment horizontal="right"/>
    </xf>
    <xf numFmtId="164" fontId="26" fillId="2" borderId="12" xfId="0" applyNumberFormat="1" applyFont="1" applyFill="1" applyBorder="1" applyAlignment="1" applyProtection="1">
      <alignment horizontal="center"/>
    </xf>
    <xf numFmtId="0" fontId="25" fillId="2" borderId="0" xfId="0" applyFont="1" applyFill="1" applyAlignment="1" applyProtection="1">
      <alignment horizontal="right"/>
    </xf>
    <xf numFmtId="166" fontId="26" fillId="2" borderId="12" xfId="0" applyNumberFormat="1" applyFont="1" applyFill="1" applyBorder="1" applyAlignment="1" applyProtection="1">
      <alignment horizontal="center"/>
    </xf>
    <xf numFmtId="2" fontId="26" fillId="2" borderId="12" xfId="0" applyNumberFormat="1" applyFont="1" applyFill="1" applyBorder="1" applyAlignment="1" applyProtection="1">
      <alignment horizontal="center"/>
    </xf>
    <xf numFmtId="0" fontId="26" fillId="2" borderId="0" xfId="0" applyNumberFormat="1" applyFont="1" applyFill="1" applyAlignment="1" applyProtection="1">
      <alignment horizontal="center"/>
    </xf>
    <xf numFmtId="0" fontId="26" fillId="2" borderId="0" xfId="1" applyNumberFormat="1" applyFont="1" applyFill="1" applyAlignment="1" applyProtection="1">
      <alignment horizontal="center"/>
    </xf>
    <xf numFmtId="164" fontId="54" fillId="2" borderId="12" xfId="0" applyNumberFormat="1" applyFont="1" applyFill="1" applyBorder="1" applyAlignment="1" applyProtection="1">
      <alignment horizontal="center"/>
    </xf>
    <xf numFmtId="0" fontId="25" fillId="2" borderId="0" xfId="0" applyFont="1" applyFill="1" applyAlignment="1" applyProtection="1">
      <alignment horizontal="center"/>
    </xf>
    <xf numFmtId="166" fontId="54" fillId="2" borderId="12" xfId="0" applyNumberFormat="1" applyFont="1" applyFill="1" applyBorder="1" applyAlignment="1" applyProtection="1">
      <alignment horizontal="center"/>
    </xf>
    <xf numFmtId="9" fontId="29" fillId="2" borderId="0" xfId="0" applyNumberFormat="1" applyFont="1" applyFill="1" applyProtection="1"/>
    <xf numFmtId="0" fontId="0" fillId="2" borderId="0" xfId="0" quotePrefix="1" applyFill="1" applyProtection="1"/>
    <xf numFmtId="0" fontId="25" fillId="2" borderId="0" xfId="0" applyFont="1" applyFill="1" applyBorder="1" applyAlignment="1" applyProtection="1">
      <alignment horizontal="left"/>
    </xf>
    <xf numFmtId="0" fontId="27" fillId="2" borderId="23" xfId="0" applyFont="1" applyFill="1" applyBorder="1" applyAlignment="1" applyProtection="1">
      <alignment horizontal="center"/>
    </xf>
    <xf numFmtId="11" fontId="27" fillId="2" borderId="23" xfId="0" applyNumberFormat="1" applyFont="1" applyFill="1" applyBorder="1" applyAlignment="1" applyProtection="1">
      <alignment horizontal="center"/>
    </xf>
    <xf numFmtId="9" fontId="25" fillId="2" borderId="23" xfId="1" applyFont="1" applyFill="1" applyBorder="1" applyAlignment="1" applyProtection="1">
      <alignment horizontal="center"/>
    </xf>
    <xf numFmtId="0" fontId="6" fillId="2" borderId="23" xfId="0" applyFont="1" applyFill="1" applyBorder="1" applyAlignment="1" applyProtection="1">
      <alignment horizontal="right"/>
    </xf>
    <xf numFmtId="0" fontId="25" fillId="2" borderId="0" xfId="0" applyFont="1" applyFill="1" applyBorder="1" applyAlignment="1" applyProtection="1">
      <alignment horizontal="center"/>
    </xf>
    <xf numFmtId="2" fontId="26" fillId="2" borderId="0" xfId="0" applyNumberFormat="1" applyFont="1" applyFill="1" applyAlignment="1" applyProtection="1">
      <alignment horizontal="center"/>
    </xf>
    <xf numFmtId="165" fontId="26" fillId="2" borderId="0" xfId="0" applyNumberFormat="1" applyFont="1" applyFill="1" applyAlignment="1" applyProtection="1">
      <alignment horizontal="center"/>
    </xf>
    <xf numFmtId="165" fontId="26" fillId="2" borderId="0" xfId="0" applyNumberFormat="1" applyFont="1" applyFill="1" applyBorder="1" applyAlignment="1" applyProtection="1">
      <alignment horizontal="center"/>
    </xf>
    <xf numFmtId="9" fontId="26" fillId="2" borderId="0" xfId="1" applyFont="1" applyFill="1" applyAlignment="1" applyProtection="1">
      <alignment horizontal="right"/>
    </xf>
    <xf numFmtId="11" fontId="0" fillId="2" borderId="0" xfId="0" applyNumberFormat="1" applyFill="1" applyAlignment="1" applyProtection="1">
      <alignment horizontal="right"/>
    </xf>
    <xf numFmtId="0" fontId="20" fillId="2" borderId="0" xfId="0" applyFont="1" applyFill="1" applyProtection="1"/>
    <xf numFmtId="0" fontId="20" fillId="4" borderId="6" xfId="0" applyFont="1" applyFill="1" applyBorder="1" applyAlignment="1" applyProtection="1">
      <alignment horizontal="center"/>
      <protection locked="0" hidden="1"/>
    </xf>
    <xf numFmtId="0" fontId="30" fillId="4" borderId="7" xfId="0" applyFont="1" applyFill="1" applyBorder="1" applyAlignment="1" applyProtection="1">
      <alignment horizontal="center"/>
      <protection locked="0" hidden="1"/>
    </xf>
    <xf numFmtId="0" fontId="30" fillId="4" borderId="8" xfId="0" applyFont="1" applyFill="1" applyBorder="1" applyAlignment="1" applyProtection="1">
      <alignment horizontal="center"/>
      <protection locked="0" hidden="1"/>
    </xf>
    <xf numFmtId="0" fontId="44" fillId="4" borderId="6" xfId="0" applyFont="1" applyFill="1" applyBorder="1" applyAlignment="1" applyProtection="1">
      <alignment horizontal="center"/>
      <protection locked="0" hidden="1"/>
    </xf>
    <xf numFmtId="0" fontId="44" fillId="4" borderId="8" xfId="0" applyFont="1" applyFill="1" applyBorder="1" applyAlignment="1" applyProtection="1">
      <alignment horizontal="center"/>
      <protection locked="0" hidden="1"/>
    </xf>
    <xf numFmtId="0" fontId="30" fillId="2" borderId="6" xfId="0" applyFont="1" applyFill="1" applyBorder="1" applyAlignment="1" applyProtection="1">
      <alignment horizontal="center"/>
      <protection hidden="1"/>
    </xf>
    <xf numFmtId="0" fontId="30" fillId="2" borderId="7" xfId="0" applyFont="1" applyFill="1" applyBorder="1" applyAlignment="1" applyProtection="1">
      <alignment horizontal="center"/>
      <protection hidden="1"/>
    </xf>
    <xf numFmtId="0" fontId="30" fillId="2" borderId="8" xfId="0" applyFont="1" applyFill="1" applyBorder="1" applyAlignment="1" applyProtection="1">
      <alignment horizontal="center"/>
      <protection hidden="1"/>
    </xf>
  </cellXfs>
  <cellStyles count="2">
    <cellStyle name="Normal" xfId="0" builtinId="0"/>
    <cellStyle name="Percent" xfId="1" builtinId="5"/>
  </cellStyles>
  <dxfs count="0"/>
  <tableStyles count="0" defaultTableStyle="TableStyleMedium9" defaultPivotStyle="PivotStyleLight16"/>
  <colors>
    <mruColors>
      <color rgb="FFFFFF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en-GB"/>
              <a:t>Relative pre-receptoral transmittance </a:t>
            </a:r>
          </a:p>
        </c:rich>
      </c:tx>
      <c:overlay val="0"/>
    </c:title>
    <c:autoTitleDeleted val="0"/>
    <c:plotArea>
      <c:layout>
        <c:manualLayout>
          <c:layoutTarget val="inner"/>
          <c:xMode val="edge"/>
          <c:yMode val="edge"/>
          <c:x val="0.12125240594925635"/>
          <c:y val="0.16089129483814524"/>
          <c:w val="0.6965183727034121"/>
          <c:h val="0.69440179352580922"/>
        </c:manualLayout>
      </c:layout>
      <c:scatterChart>
        <c:scatterStyle val="smoothMarker"/>
        <c:varyColors val="0"/>
        <c:ser>
          <c:idx val="0"/>
          <c:order val="0"/>
          <c:tx>
            <c:strRef>
              <c:f>Calculations!$F$21</c:f>
              <c:strCache>
                <c:ptCount val="1"/>
                <c:pt idx="0">
                  <c:v>rT(λ)/rT(λ)max</c:v>
                </c:pt>
              </c:strCache>
            </c:strRef>
          </c:tx>
          <c:marker>
            <c:symbol val="none"/>
          </c:marker>
          <c:xVal>
            <c:numRef>
              <c:f>Calculations!$E$22:$E$118</c:f>
              <c:numCache>
                <c:formatCode>General</c:formatCode>
                <c:ptCount val="97"/>
                <c:pt idx="0">
                  <c:v>300</c:v>
                </c:pt>
                <c:pt idx="1">
                  <c:v>305</c:v>
                </c:pt>
                <c:pt idx="2">
                  <c:v>310</c:v>
                </c:pt>
                <c:pt idx="3">
                  <c:v>315</c:v>
                </c:pt>
                <c:pt idx="4">
                  <c:v>320</c:v>
                </c:pt>
                <c:pt idx="5">
                  <c:v>325</c:v>
                </c:pt>
                <c:pt idx="6">
                  <c:v>330</c:v>
                </c:pt>
                <c:pt idx="7">
                  <c:v>335</c:v>
                </c:pt>
                <c:pt idx="8">
                  <c:v>340</c:v>
                </c:pt>
                <c:pt idx="9">
                  <c:v>345</c:v>
                </c:pt>
                <c:pt idx="10">
                  <c:v>350</c:v>
                </c:pt>
                <c:pt idx="11">
                  <c:v>355</c:v>
                </c:pt>
                <c:pt idx="12">
                  <c:v>360</c:v>
                </c:pt>
                <c:pt idx="13">
                  <c:v>365</c:v>
                </c:pt>
                <c:pt idx="14">
                  <c:v>370</c:v>
                </c:pt>
                <c:pt idx="15">
                  <c:v>375</c:v>
                </c:pt>
                <c:pt idx="16">
                  <c:v>380</c:v>
                </c:pt>
                <c:pt idx="17">
                  <c:v>385</c:v>
                </c:pt>
                <c:pt idx="18">
                  <c:v>390</c:v>
                </c:pt>
                <c:pt idx="19">
                  <c:v>395</c:v>
                </c:pt>
                <c:pt idx="20">
                  <c:v>400</c:v>
                </c:pt>
                <c:pt idx="21">
                  <c:v>405</c:v>
                </c:pt>
                <c:pt idx="22">
                  <c:v>410</c:v>
                </c:pt>
                <c:pt idx="23">
                  <c:v>415</c:v>
                </c:pt>
                <c:pt idx="24">
                  <c:v>420</c:v>
                </c:pt>
                <c:pt idx="25">
                  <c:v>425</c:v>
                </c:pt>
                <c:pt idx="26">
                  <c:v>430</c:v>
                </c:pt>
                <c:pt idx="27">
                  <c:v>435</c:v>
                </c:pt>
                <c:pt idx="28">
                  <c:v>440</c:v>
                </c:pt>
                <c:pt idx="29">
                  <c:v>445</c:v>
                </c:pt>
                <c:pt idx="30">
                  <c:v>450</c:v>
                </c:pt>
                <c:pt idx="31">
                  <c:v>455</c:v>
                </c:pt>
                <c:pt idx="32">
                  <c:v>460</c:v>
                </c:pt>
                <c:pt idx="33">
                  <c:v>465</c:v>
                </c:pt>
                <c:pt idx="34">
                  <c:v>470</c:v>
                </c:pt>
                <c:pt idx="35">
                  <c:v>475</c:v>
                </c:pt>
                <c:pt idx="36">
                  <c:v>480</c:v>
                </c:pt>
                <c:pt idx="37">
                  <c:v>485</c:v>
                </c:pt>
                <c:pt idx="38">
                  <c:v>490</c:v>
                </c:pt>
                <c:pt idx="39">
                  <c:v>495</c:v>
                </c:pt>
                <c:pt idx="40">
                  <c:v>500</c:v>
                </c:pt>
                <c:pt idx="41">
                  <c:v>505</c:v>
                </c:pt>
                <c:pt idx="42">
                  <c:v>510</c:v>
                </c:pt>
                <c:pt idx="43">
                  <c:v>515</c:v>
                </c:pt>
                <c:pt idx="44">
                  <c:v>520</c:v>
                </c:pt>
                <c:pt idx="45">
                  <c:v>525</c:v>
                </c:pt>
                <c:pt idx="46">
                  <c:v>530</c:v>
                </c:pt>
                <c:pt idx="47">
                  <c:v>535</c:v>
                </c:pt>
                <c:pt idx="48">
                  <c:v>540</c:v>
                </c:pt>
                <c:pt idx="49">
                  <c:v>545</c:v>
                </c:pt>
                <c:pt idx="50">
                  <c:v>550</c:v>
                </c:pt>
                <c:pt idx="51">
                  <c:v>555</c:v>
                </c:pt>
                <c:pt idx="52">
                  <c:v>560</c:v>
                </c:pt>
                <c:pt idx="53">
                  <c:v>565</c:v>
                </c:pt>
                <c:pt idx="54">
                  <c:v>570</c:v>
                </c:pt>
                <c:pt idx="55">
                  <c:v>575</c:v>
                </c:pt>
                <c:pt idx="56">
                  <c:v>580</c:v>
                </c:pt>
                <c:pt idx="57">
                  <c:v>585</c:v>
                </c:pt>
                <c:pt idx="58">
                  <c:v>590</c:v>
                </c:pt>
                <c:pt idx="59">
                  <c:v>595</c:v>
                </c:pt>
                <c:pt idx="60">
                  <c:v>600</c:v>
                </c:pt>
                <c:pt idx="61">
                  <c:v>605</c:v>
                </c:pt>
                <c:pt idx="62">
                  <c:v>610</c:v>
                </c:pt>
                <c:pt idx="63">
                  <c:v>615</c:v>
                </c:pt>
                <c:pt idx="64">
                  <c:v>620</c:v>
                </c:pt>
                <c:pt idx="65">
                  <c:v>625</c:v>
                </c:pt>
                <c:pt idx="66">
                  <c:v>630</c:v>
                </c:pt>
                <c:pt idx="67">
                  <c:v>635</c:v>
                </c:pt>
                <c:pt idx="68">
                  <c:v>640</c:v>
                </c:pt>
                <c:pt idx="69">
                  <c:v>645</c:v>
                </c:pt>
                <c:pt idx="70">
                  <c:v>650</c:v>
                </c:pt>
                <c:pt idx="71">
                  <c:v>655</c:v>
                </c:pt>
                <c:pt idx="72">
                  <c:v>660</c:v>
                </c:pt>
                <c:pt idx="73">
                  <c:v>665</c:v>
                </c:pt>
                <c:pt idx="74">
                  <c:v>670</c:v>
                </c:pt>
                <c:pt idx="75">
                  <c:v>675</c:v>
                </c:pt>
                <c:pt idx="76">
                  <c:v>680</c:v>
                </c:pt>
                <c:pt idx="77">
                  <c:v>685</c:v>
                </c:pt>
                <c:pt idx="78">
                  <c:v>690</c:v>
                </c:pt>
                <c:pt idx="79">
                  <c:v>695</c:v>
                </c:pt>
                <c:pt idx="80">
                  <c:v>700</c:v>
                </c:pt>
                <c:pt idx="81">
                  <c:v>705</c:v>
                </c:pt>
                <c:pt idx="82">
                  <c:v>710</c:v>
                </c:pt>
                <c:pt idx="83">
                  <c:v>715</c:v>
                </c:pt>
                <c:pt idx="84">
                  <c:v>720</c:v>
                </c:pt>
                <c:pt idx="85">
                  <c:v>725</c:v>
                </c:pt>
                <c:pt idx="86">
                  <c:v>730</c:v>
                </c:pt>
                <c:pt idx="87">
                  <c:v>735</c:v>
                </c:pt>
                <c:pt idx="88">
                  <c:v>740</c:v>
                </c:pt>
                <c:pt idx="89">
                  <c:v>745</c:v>
                </c:pt>
                <c:pt idx="90">
                  <c:v>750</c:v>
                </c:pt>
                <c:pt idx="91">
                  <c:v>755</c:v>
                </c:pt>
                <c:pt idx="92">
                  <c:v>760</c:v>
                </c:pt>
                <c:pt idx="93">
                  <c:v>765</c:v>
                </c:pt>
                <c:pt idx="94">
                  <c:v>770</c:v>
                </c:pt>
                <c:pt idx="95">
                  <c:v>775</c:v>
                </c:pt>
                <c:pt idx="96">
                  <c:v>780</c:v>
                </c:pt>
              </c:numCache>
            </c:numRef>
          </c:xVal>
          <c:yVal>
            <c:numRef>
              <c:f>Calculations!$F$22:$F$118</c:f>
              <c:numCache>
                <c:formatCode>0.000</c:formatCode>
                <c:ptCount val="97"/>
                <c:pt idx="0">
                  <c:v>6.9999999999999993E-3</c:v>
                </c:pt>
                <c:pt idx="1">
                  <c:v>3.548133892335753E-2</c:v>
                </c:pt>
                <c:pt idx="2">
                  <c:v>0.10300000000000001</c:v>
                </c:pt>
                <c:pt idx="3">
                  <c:v>0.23384259378835601</c:v>
                </c:pt>
                <c:pt idx="4">
                  <c:v>0.33</c:v>
                </c:pt>
                <c:pt idx="5">
                  <c:v>0.39915740621164403</c:v>
                </c:pt>
                <c:pt idx="6">
                  <c:v>0.44900000000000001</c:v>
                </c:pt>
                <c:pt idx="7">
                  <c:v>0.48690278136506698</c:v>
                </c:pt>
                <c:pt idx="8">
                  <c:v>0.51900000000000002</c:v>
                </c:pt>
                <c:pt idx="9">
                  <c:v>0.54955621464828197</c:v>
                </c:pt>
                <c:pt idx="10">
                  <c:v>0.58099999999999996</c:v>
                </c:pt>
                <c:pt idx="11">
                  <c:v>0.61119378535171798</c:v>
                </c:pt>
                <c:pt idx="12">
                  <c:v>0.63800000000000001</c:v>
                </c:pt>
                <c:pt idx="13">
                  <c:v>0.66016864394484598</c:v>
                </c:pt>
                <c:pt idx="14">
                  <c:v>0.68</c:v>
                </c:pt>
                <c:pt idx="15">
                  <c:v>0.69988163886889698</c:v>
                </c:pt>
                <c:pt idx="16">
                  <c:v>0.71900000000000008</c:v>
                </c:pt>
                <c:pt idx="17">
                  <c:v>0.736179800579567</c:v>
                </c:pt>
                <c:pt idx="18">
                  <c:v>0.752</c:v>
                </c:pt>
                <c:pt idx="19">
                  <c:v>0.76714915881283607</c:v>
                </c:pt>
                <c:pt idx="20">
                  <c:v>0.78099999999999992</c:v>
                </c:pt>
                <c:pt idx="21">
                  <c:v>0.792848564169089</c:v>
                </c:pt>
                <c:pt idx="22">
                  <c:v>0.80299999999999994</c:v>
                </c:pt>
                <c:pt idx="23">
                  <c:v>0.81195658451080899</c:v>
                </c:pt>
                <c:pt idx="24">
                  <c:v>0.82</c:v>
                </c:pt>
                <c:pt idx="25">
                  <c:v>0.82745009778767498</c:v>
                </c:pt>
                <c:pt idx="26">
                  <c:v>0.83499999999999996</c:v>
                </c:pt>
                <c:pt idx="27">
                  <c:v>0.84311802433849192</c:v>
                </c:pt>
                <c:pt idx="28">
                  <c:v>0.85099999999999998</c:v>
                </c:pt>
                <c:pt idx="29">
                  <c:v>0.85782780485835697</c:v>
                </c:pt>
                <c:pt idx="30">
                  <c:v>0.8640000000000001</c:v>
                </c:pt>
                <c:pt idx="31">
                  <c:v>0.87007075622808105</c:v>
                </c:pt>
                <c:pt idx="32">
                  <c:v>0.87599999999999989</c:v>
                </c:pt>
                <c:pt idx="33">
                  <c:v>0.88163917022932092</c:v>
                </c:pt>
                <c:pt idx="34">
                  <c:v>0.88700000000000001</c:v>
                </c:pt>
                <c:pt idx="35">
                  <c:v>0.89199756285463494</c:v>
                </c:pt>
                <c:pt idx="36">
                  <c:v>0.89599999999999991</c:v>
                </c:pt>
                <c:pt idx="37">
                  <c:v>0.89874557835213809</c:v>
                </c:pt>
                <c:pt idx="38">
                  <c:v>0.90200000000000002</c:v>
                </c:pt>
                <c:pt idx="39">
                  <c:v>0.90727012373681504</c:v>
                </c:pt>
                <c:pt idx="40">
                  <c:v>0.91299999999999992</c:v>
                </c:pt>
                <c:pt idx="41">
                  <c:v>0.91742392670060402</c:v>
                </c:pt>
                <c:pt idx="42">
                  <c:v>0.92099999999999993</c:v>
                </c:pt>
                <c:pt idx="43">
                  <c:v>0.92453416946076994</c:v>
                </c:pt>
                <c:pt idx="44">
                  <c:v>0.92799999999999994</c:v>
                </c:pt>
                <c:pt idx="45">
                  <c:v>0.93118939545631607</c:v>
                </c:pt>
                <c:pt idx="46">
                  <c:v>0.93400000000000005</c:v>
                </c:pt>
                <c:pt idx="47">
                  <c:v>0.93645824871396799</c:v>
                </c:pt>
                <c:pt idx="48">
                  <c:v>0.93900000000000006</c:v>
                </c:pt>
                <c:pt idx="49">
                  <c:v>0.94197760968781497</c:v>
                </c:pt>
                <c:pt idx="50">
                  <c:v>0.94499999999999995</c:v>
                </c:pt>
                <c:pt idx="51">
                  <c:v>0.94763131253477395</c:v>
                </c:pt>
                <c:pt idx="52">
                  <c:v>0.95</c:v>
                </c:pt>
                <c:pt idx="53">
                  <c:v>0.95237214017309002</c:v>
                </c:pt>
                <c:pt idx="54">
                  <c:v>0.95499999999999996</c:v>
                </c:pt>
                <c:pt idx="55">
                  <c:v>0.95800512677286409</c:v>
                </c:pt>
                <c:pt idx="56">
                  <c:v>0.96099999999999997</c:v>
                </c:pt>
                <c:pt idx="57">
                  <c:v>0.96360735273545206</c:v>
                </c:pt>
                <c:pt idx="58">
                  <c:v>0.96599999999999997</c:v>
                </c:pt>
                <c:pt idx="59">
                  <c:v>0.96844046228532799</c:v>
                </c:pt>
                <c:pt idx="60">
                  <c:v>0.97099999999999997</c:v>
                </c:pt>
                <c:pt idx="61">
                  <c:v>0.97363079812323805</c:v>
                </c:pt>
                <c:pt idx="62">
                  <c:v>0.97599999999999998</c:v>
                </c:pt>
                <c:pt idx="63">
                  <c:v>0.97778634522172103</c:v>
                </c:pt>
                <c:pt idx="64">
                  <c:v>0.97900000000000009</c:v>
                </c:pt>
                <c:pt idx="65">
                  <c:v>0.97984882098987991</c:v>
                </c:pt>
                <c:pt idx="66">
                  <c:v>0.98099999999999998</c:v>
                </c:pt>
                <c:pt idx="67">
                  <c:v>0.98294337081876093</c:v>
                </c:pt>
                <c:pt idx="68">
                  <c:v>0.98499999999999999</c:v>
                </c:pt>
                <c:pt idx="69">
                  <c:v>0.98650269573507798</c:v>
                </c:pt>
                <c:pt idx="70">
                  <c:v>0.98799999999999999</c:v>
                </c:pt>
                <c:pt idx="71">
                  <c:v>0.99004584624092695</c:v>
                </c:pt>
                <c:pt idx="72">
                  <c:v>0.99199999999999999</c:v>
                </c:pt>
                <c:pt idx="73">
                  <c:v>0.993188919301215</c:v>
                </c:pt>
                <c:pt idx="74">
                  <c:v>0.99400000000000011</c:v>
                </c:pt>
                <c:pt idx="75">
                  <c:v>0.99494847655421392</c:v>
                </c:pt>
                <c:pt idx="76">
                  <c:v>0.996</c:v>
                </c:pt>
                <c:pt idx="77">
                  <c:v>0.99701717448192895</c:v>
                </c:pt>
                <c:pt idx="78">
                  <c:v>0.998</c:v>
                </c:pt>
                <c:pt idx="79">
                  <c:v>0.99898282551807105</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numCache>
            </c:numRef>
          </c:yVal>
          <c:smooth val="1"/>
          <c:extLst>
            <c:ext xmlns:c16="http://schemas.microsoft.com/office/drawing/2014/chart" uri="{C3380CC4-5D6E-409C-BE32-E72D297353CC}">
              <c16:uniqueId val="{00000000-558E-45AE-B334-64A818C85F3E}"/>
            </c:ext>
          </c:extLst>
        </c:ser>
        <c:dLbls>
          <c:showLegendKey val="0"/>
          <c:showVal val="0"/>
          <c:showCatName val="0"/>
          <c:showSerName val="0"/>
          <c:showPercent val="0"/>
          <c:showBubbleSize val="0"/>
        </c:dLbls>
        <c:axId val="166616064"/>
        <c:axId val="166634624"/>
      </c:scatterChart>
      <c:valAx>
        <c:axId val="166616064"/>
        <c:scaling>
          <c:orientation val="minMax"/>
          <c:max val="780"/>
          <c:min val="300"/>
        </c:scaling>
        <c:delete val="0"/>
        <c:axPos val="b"/>
        <c:title>
          <c:tx>
            <c:rich>
              <a:bodyPr/>
              <a:lstStyle/>
              <a:p>
                <a:pPr>
                  <a:defRPr/>
                </a:pPr>
                <a:r>
                  <a:rPr lang="en-US"/>
                  <a:t>wavelength, nm</a:t>
                </a:r>
              </a:p>
            </c:rich>
          </c:tx>
          <c:layout>
            <c:manualLayout>
              <c:xMode val="edge"/>
              <c:yMode val="edge"/>
              <c:x val="0.76926159230096247"/>
              <c:y val="0.87405074365704283"/>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66634624"/>
        <c:crossesAt val="1.0000000000000015E-3"/>
        <c:crossBetween val="midCat"/>
      </c:valAx>
      <c:valAx>
        <c:axId val="166634624"/>
        <c:scaling>
          <c:logBase val="10"/>
          <c:orientation val="minMax"/>
          <c:max val="1.1000000000000001"/>
        </c:scaling>
        <c:delete val="0"/>
        <c:axPos val="l"/>
        <c:majorGridlines/>
        <c:numFmt formatCode="General"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66616064"/>
        <c:crosses val="autoZero"/>
        <c:crossBetween val="midCat"/>
      </c:valAx>
      <c:spPr>
        <a:ln>
          <a:noFill/>
        </a:ln>
      </c:spPr>
    </c:plotArea>
    <c:legend>
      <c:legendPos val="r"/>
      <c:layout>
        <c:manualLayout>
          <c:xMode val="edge"/>
          <c:yMode val="edge"/>
          <c:x val="0.74190266841644803"/>
          <c:y val="0.23018081073199184"/>
          <c:w val="0.22198622047244093"/>
          <c:h val="7.5054680664916884E-2"/>
        </c:manualLayout>
      </c:layout>
      <c:overlay val="1"/>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l-GR" sz="1200"/>
              <a:t>α</a:t>
            </a:r>
            <a:r>
              <a:rPr lang="en-GB" sz="1200"/>
              <a:t>-opic equivalent lux and weighted SI units</a:t>
            </a:r>
          </a:p>
        </c:rich>
      </c:tx>
      <c:overlay val="0"/>
    </c:title>
    <c:autoTitleDeleted val="0"/>
    <c:plotArea>
      <c:layout/>
      <c:barChart>
        <c:barDir val="col"/>
        <c:grouping val="clustered"/>
        <c:varyColors val="0"/>
        <c:ser>
          <c:idx val="0"/>
          <c:order val="0"/>
          <c:tx>
            <c:strRef>
              <c:f>Calculations!$H$12</c:f>
              <c:strCache>
                <c:ptCount val="1"/>
                <c:pt idx="0">
                  <c:v>a-opic equivalent lux</c:v>
                </c:pt>
              </c:strCache>
            </c:strRef>
          </c:tx>
          <c:invertIfNegative val="0"/>
          <c:dLbls>
            <c:spPr>
              <a:solidFill>
                <a:srgbClr val="FFFFFF">
                  <a:alpha val="50196"/>
                </a:srgbClr>
              </a:solidFill>
            </c:spPr>
            <c:txPr>
              <a:bodyPr rot="-5400000" vert="horz"/>
              <a:lstStyle/>
              <a:p>
                <a:pPr>
                  <a:defRPr b="1">
                    <a:solidFill>
                      <a:sysClr val="windowText" lastClr="000000"/>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Calculations!$I$21:$M$21</c:f>
              <c:strCache>
                <c:ptCount val="5"/>
                <c:pt idx="0">
                  <c:v>S cone</c:v>
                </c:pt>
                <c:pt idx="1">
                  <c:v>Melanopsin</c:v>
                </c:pt>
                <c:pt idx="2">
                  <c:v>Rod</c:v>
                </c:pt>
                <c:pt idx="3">
                  <c:v>M cone</c:v>
                </c:pt>
                <c:pt idx="4">
                  <c:v>Photopic</c:v>
                </c:pt>
              </c:strCache>
            </c:strRef>
          </c:cat>
          <c:val>
            <c:numRef>
              <c:f>Calculations!$I$12:$M$12</c:f>
              <c:numCache>
                <c:formatCode>0.000</c:formatCode>
                <c:ptCount val="5"/>
                <c:pt idx="0">
                  <c:v>170</c:v>
                </c:pt>
                <c:pt idx="1">
                  <c:v>169.99999999999986</c:v>
                </c:pt>
                <c:pt idx="2">
                  <c:v>169.99999999999989</c:v>
                </c:pt>
                <c:pt idx="3">
                  <c:v>169.99999999999991</c:v>
                </c:pt>
                <c:pt idx="4">
                  <c:v>169.9999999999998</c:v>
                </c:pt>
              </c:numCache>
            </c:numRef>
          </c:val>
          <c:extLst>
            <c:ext xmlns:c16="http://schemas.microsoft.com/office/drawing/2014/chart" uri="{C3380CC4-5D6E-409C-BE32-E72D297353CC}">
              <c16:uniqueId val="{00000000-0909-4732-942E-C7ABA762D8C8}"/>
            </c:ext>
          </c:extLst>
        </c:ser>
        <c:ser>
          <c:idx val="1"/>
          <c:order val="1"/>
          <c:tx>
            <c:strRef>
              <c:f>Calculations!$H$13</c:f>
              <c:strCache>
                <c:ptCount val="1"/>
                <c:pt idx="0">
                  <c:v>μW/cm2 weighted SI units</c:v>
                </c:pt>
              </c:strCache>
            </c:strRef>
          </c:tx>
          <c:invertIfNegative val="0"/>
          <c:dLbls>
            <c:spPr>
              <a:solidFill>
                <a:schemeClr val="accent2">
                  <a:lumMod val="60000"/>
                  <a:lumOff val="40000"/>
                  <a:alpha val="50196"/>
                </a:schemeClr>
              </a:solidFill>
            </c:spPr>
            <c:txPr>
              <a:bodyPr rot="-5400000" vert="horz"/>
              <a:lstStyle/>
              <a:p>
                <a:pPr>
                  <a:defRPr sz="1100" b="1">
                    <a:solidFill>
                      <a:sysClr val="windowText" lastClr="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Calculations!$I$21:$M$21</c:f>
              <c:strCache>
                <c:ptCount val="5"/>
                <c:pt idx="0">
                  <c:v>S cone</c:v>
                </c:pt>
                <c:pt idx="1">
                  <c:v>Melanopsin</c:v>
                </c:pt>
                <c:pt idx="2">
                  <c:v>Rod</c:v>
                </c:pt>
                <c:pt idx="3">
                  <c:v>M cone</c:v>
                </c:pt>
                <c:pt idx="4">
                  <c:v>Photopic</c:v>
                </c:pt>
              </c:strCache>
            </c:strRef>
          </c:cat>
          <c:val>
            <c:numRef>
              <c:f>Calculations!$I$13:$M$13</c:f>
              <c:numCache>
                <c:formatCode>0.000</c:formatCode>
                <c:ptCount val="5"/>
                <c:pt idx="0">
                  <c:v>14.22154781183796</c:v>
                </c:pt>
                <c:pt idx="1">
                  <c:v>25.089969578809367</c:v>
                </c:pt>
                <c:pt idx="2">
                  <c:v>26.268621134002391</c:v>
                </c:pt>
                <c:pt idx="3">
                  <c:v>26.924334370736073</c:v>
                </c:pt>
                <c:pt idx="4">
                  <c:v>24.890133931616305</c:v>
                </c:pt>
              </c:numCache>
            </c:numRef>
          </c:val>
          <c:extLst>
            <c:ext xmlns:c16="http://schemas.microsoft.com/office/drawing/2014/chart" uri="{C3380CC4-5D6E-409C-BE32-E72D297353CC}">
              <c16:uniqueId val="{00000001-0909-4732-942E-C7ABA762D8C8}"/>
            </c:ext>
          </c:extLst>
        </c:ser>
        <c:dLbls>
          <c:showLegendKey val="0"/>
          <c:showVal val="0"/>
          <c:showCatName val="0"/>
          <c:showSerName val="0"/>
          <c:showPercent val="0"/>
          <c:showBubbleSize val="0"/>
        </c:dLbls>
        <c:gapWidth val="150"/>
        <c:axId val="183253632"/>
        <c:axId val="183263616"/>
      </c:barChart>
      <c:catAx>
        <c:axId val="183253632"/>
        <c:scaling>
          <c:orientation val="minMax"/>
        </c:scaling>
        <c:delete val="0"/>
        <c:axPos val="b"/>
        <c:numFmt formatCode="General" sourceLinked="1"/>
        <c:majorTickMark val="out"/>
        <c:minorTickMark val="none"/>
        <c:tickLblPos val="nextTo"/>
        <c:crossAx val="183263616"/>
        <c:crosses val="autoZero"/>
        <c:auto val="1"/>
        <c:lblAlgn val="ctr"/>
        <c:lblOffset val="100"/>
        <c:noMultiLvlLbl val="0"/>
      </c:catAx>
      <c:valAx>
        <c:axId val="183263616"/>
        <c:scaling>
          <c:orientation val="minMax"/>
        </c:scaling>
        <c:delete val="0"/>
        <c:axPos val="l"/>
        <c:majorGridlines/>
        <c:numFmt formatCode="General" sourceLinked="0"/>
        <c:majorTickMark val="out"/>
        <c:minorTickMark val="none"/>
        <c:tickLblPos val="nextTo"/>
        <c:crossAx val="183253632"/>
        <c:crosses val="autoZero"/>
        <c:crossBetween val="between"/>
      </c:valAx>
      <c:spPr>
        <a:ln>
          <a:noFill/>
        </a:ln>
      </c:spPr>
    </c:plotArea>
    <c:legend>
      <c:legendPos val="t"/>
      <c:overlay val="0"/>
    </c:legend>
    <c:plotVisOnly val="1"/>
    <c:dispBlanksAs val="gap"/>
    <c:showDLblsOverMax val="0"/>
  </c:chart>
  <c:txPr>
    <a:bodyPr/>
    <a:lstStyle/>
    <a:p>
      <a:pPr>
        <a:defRPr sz="1000"/>
      </a:pPr>
      <a:endParaRPr lang="en-US"/>
    </a:p>
  </c:tx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Calibri"/>
                <a:ea typeface="Calibri"/>
                <a:cs typeface="Calibri"/>
              </a:defRPr>
            </a:pPr>
            <a:r>
              <a:rPr lang="en-GB"/>
              <a:t>Spectral power distribution</a:t>
            </a:r>
          </a:p>
        </c:rich>
      </c:tx>
      <c:overlay val="0"/>
      <c:spPr>
        <a:noFill/>
        <a:ln w="25400">
          <a:noFill/>
        </a:ln>
      </c:spPr>
    </c:title>
    <c:autoTitleDeleted val="0"/>
    <c:plotArea>
      <c:layout>
        <c:manualLayout>
          <c:layoutTarget val="inner"/>
          <c:xMode val="edge"/>
          <c:yMode val="edge"/>
          <c:x val="0.16893387090629175"/>
          <c:y val="0.17876072168812843"/>
          <c:w val="0.76810016965372263"/>
          <c:h val="0.57053782082377869"/>
        </c:manualLayout>
      </c:layout>
      <c:scatterChart>
        <c:scatterStyle val="smoothMarker"/>
        <c:varyColors val="0"/>
        <c:ser>
          <c:idx val="0"/>
          <c:order val="0"/>
          <c:tx>
            <c:strRef>
              <c:f>Toolbox!$AC$11</c:f>
              <c:strCache>
                <c:ptCount val="1"/>
                <c:pt idx="0">
                  <c:v>Unweighted</c:v>
                </c:pt>
              </c:strCache>
            </c:strRef>
          </c:tx>
          <c:spPr>
            <a:ln>
              <a:solidFill>
                <a:srgbClr val="0000FF"/>
              </a:solidFill>
            </a:ln>
          </c:spPr>
          <c:marker>
            <c:symbol val="none"/>
          </c:marker>
          <c:xVal>
            <c:numRef>
              <c:f>Toolbox!$AB$12:$AB$108</c:f>
              <c:numCache>
                <c:formatCode>General</c:formatCode>
                <c:ptCount val="97"/>
                <c:pt idx="0">
                  <c:v>300</c:v>
                </c:pt>
                <c:pt idx="1">
                  <c:v>305</c:v>
                </c:pt>
                <c:pt idx="2">
                  <c:v>310</c:v>
                </c:pt>
                <c:pt idx="3">
                  <c:v>315</c:v>
                </c:pt>
                <c:pt idx="4">
                  <c:v>320</c:v>
                </c:pt>
                <c:pt idx="5">
                  <c:v>325</c:v>
                </c:pt>
                <c:pt idx="6">
                  <c:v>330</c:v>
                </c:pt>
                <c:pt idx="7">
                  <c:v>335</c:v>
                </c:pt>
                <c:pt idx="8">
                  <c:v>340</c:v>
                </c:pt>
                <c:pt idx="9">
                  <c:v>345</c:v>
                </c:pt>
                <c:pt idx="10">
                  <c:v>350</c:v>
                </c:pt>
                <c:pt idx="11">
                  <c:v>355</c:v>
                </c:pt>
                <c:pt idx="12">
                  <c:v>360</c:v>
                </c:pt>
                <c:pt idx="13">
                  <c:v>365</c:v>
                </c:pt>
                <c:pt idx="14">
                  <c:v>370</c:v>
                </c:pt>
                <c:pt idx="15">
                  <c:v>375</c:v>
                </c:pt>
                <c:pt idx="16">
                  <c:v>380</c:v>
                </c:pt>
                <c:pt idx="17">
                  <c:v>385</c:v>
                </c:pt>
                <c:pt idx="18">
                  <c:v>390</c:v>
                </c:pt>
                <c:pt idx="19">
                  <c:v>395</c:v>
                </c:pt>
                <c:pt idx="20">
                  <c:v>400</c:v>
                </c:pt>
                <c:pt idx="21">
                  <c:v>405</c:v>
                </c:pt>
                <c:pt idx="22">
                  <c:v>410</c:v>
                </c:pt>
                <c:pt idx="23">
                  <c:v>415</c:v>
                </c:pt>
                <c:pt idx="24">
                  <c:v>420</c:v>
                </c:pt>
                <c:pt idx="25">
                  <c:v>425</c:v>
                </c:pt>
                <c:pt idx="26">
                  <c:v>430</c:v>
                </c:pt>
                <c:pt idx="27">
                  <c:v>435</c:v>
                </c:pt>
                <c:pt idx="28">
                  <c:v>440</c:v>
                </c:pt>
                <c:pt idx="29">
                  <c:v>445</c:v>
                </c:pt>
                <c:pt idx="30">
                  <c:v>450</c:v>
                </c:pt>
                <c:pt idx="31">
                  <c:v>455</c:v>
                </c:pt>
                <c:pt idx="32">
                  <c:v>460</c:v>
                </c:pt>
                <c:pt idx="33">
                  <c:v>465</c:v>
                </c:pt>
                <c:pt idx="34">
                  <c:v>470</c:v>
                </c:pt>
                <c:pt idx="35">
                  <c:v>475</c:v>
                </c:pt>
                <c:pt idx="36">
                  <c:v>480</c:v>
                </c:pt>
                <c:pt idx="37">
                  <c:v>485</c:v>
                </c:pt>
                <c:pt idx="38">
                  <c:v>490</c:v>
                </c:pt>
                <c:pt idx="39">
                  <c:v>495</c:v>
                </c:pt>
                <c:pt idx="40">
                  <c:v>500</c:v>
                </c:pt>
                <c:pt idx="41">
                  <c:v>505</c:v>
                </c:pt>
                <c:pt idx="42">
                  <c:v>510</c:v>
                </c:pt>
                <c:pt idx="43">
                  <c:v>515</c:v>
                </c:pt>
                <c:pt idx="44">
                  <c:v>520</c:v>
                </c:pt>
                <c:pt idx="45">
                  <c:v>525</c:v>
                </c:pt>
                <c:pt idx="46">
                  <c:v>530</c:v>
                </c:pt>
                <c:pt idx="47">
                  <c:v>535</c:v>
                </c:pt>
                <c:pt idx="48">
                  <c:v>540</c:v>
                </c:pt>
                <c:pt idx="49">
                  <c:v>545</c:v>
                </c:pt>
                <c:pt idx="50">
                  <c:v>550</c:v>
                </c:pt>
                <c:pt idx="51">
                  <c:v>555</c:v>
                </c:pt>
                <c:pt idx="52">
                  <c:v>560</c:v>
                </c:pt>
                <c:pt idx="53">
                  <c:v>565</c:v>
                </c:pt>
                <c:pt idx="54">
                  <c:v>570</c:v>
                </c:pt>
                <c:pt idx="55">
                  <c:v>575</c:v>
                </c:pt>
                <c:pt idx="56">
                  <c:v>580</c:v>
                </c:pt>
                <c:pt idx="57">
                  <c:v>585</c:v>
                </c:pt>
                <c:pt idx="58">
                  <c:v>590</c:v>
                </c:pt>
                <c:pt idx="59">
                  <c:v>595</c:v>
                </c:pt>
                <c:pt idx="60">
                  <c:v>600</c:v>
                </c:pt>
                <c:pt idx="61">
                  <c:v>605</c:v>
                </c:pt>
                <c:pt idx="62">
                  <c:v>610</c:v>
                </c:pt>
                <c:pt idx="63">
                  <c:v>615</c:v>
                </c:pt>
                <c:pt idx="64">
                  <c:v>620</c:v>
                </c:pt>
                <c:pt idx="65">
                  <c:v>625</c:v>
                </c:pt>
                <c:pt idx="66">
                  <c:v>630</c:v>
                </c:pt>
                <c:pt idx="67">
                  <c:v>635</c:v>
                </c:pt>
                <c:pt idx="68">
                  <c:v>640</c:v>
                </c:pt>
                <c:pt idx="69">
                  <c:v>645</c:v>
                </c:pt>
                <c:pt idx="70">
                  <c:v>650</c:v>
                </c:pt>
                <c:pt idx="71">
                  <c:v>655</c:v>
                </c:pt>
                <c:pt idx="72">
                  <c:v>660</c:v>
                </c:pt>
                <c:pt idx="73">
                  <c:v>665</c:v>
                </c:pt>
                <c:pt idx="74">
                  <c:v>670</c:v>
                </c:pt>
                <c:pt idx="75">
                  <c:v>675</c:v>
                </c:pt>
                <c:pt idx="76">
                  <c:v>680</c:v>
                </c:pt>
                <c:pt idx="77">
                  <c:v>685</c:v>
                </c:pt>
                <c:pt idx="78">
                  <c:v>690</c:v>
                </c:pt>
                <c:pt idx="79">
                  <c:v>695</c:v>
                </c:pt>
                <c:pt idx="80">
                  <c:v>700</c:v>
                </c:pt>
                <c:pt idx="81">
                  <c:v>705</c:v>
                </c:pt>
                <c:pt idx="82">
                  <c:v>710</c:v>
                </c:pt>
                <c:pt idx="83">
                  <c:v>715</c:v>
                </c:pt>
                <c:pt idx="84">
                  <c:v>720</c:v>
                </c:pt>
                <c:pt idx="85">
                  <c:v>725</c:v>
                </c:pt>
                <c:pt idx="86">
                  <c:v>730</c:v>
                </c:pt>
                <c:pt idx="87">
                  <c:v>735</c:v>
                </c:pt>
                <c:pt idx="88">
                  <c:v>740</c:v>
                </c:pt>
                <c:pt idx="89">
                  <c:v>745</c:v>
                </c:pt>
                <c:pt idx="90">
                  <c:v>750</c:v>
                </c:pt>
                <c:pt idx="91">
                  <c:v>755</c:v>
                </c:pt>
                <c:pt idx="92">
                  <c:v>760</c:v>
                </c:pt>
                <c:pt idx="93">
                  <c:v>765</c:v>
                </c:pt>
                <c:pt idx="94">
                  <c:v>770</c:v>
                </c:pt>
                <c:pt idx="95">
                  <c:v>775</c:v>
                </c:pt>
                <c:pt idx="96">
                  <c:v>780</c:v>
                </c:pt>
              </c:numCache>
            </c:numRef>
          </c:xVal>
          <c:yVal>
            <c:numRef>
              <c:f>Toolbox!$AC$12:$AC$108</c:f>
              <c:numCache>
                <c:formatCode>General</c:formatCode>
                <c:ptCount val="97"/>
                <c:pt idx="0">
                  <c:v>1.1646483282152789</c:v>
                </c:pt>
                <c:pt idx="1">
                  <c:v>1.1646483282152789</c:v>
                </c:pt>
                <c:pt idx="2">
                  <c:v>1.1646483282152789</c:v>
                </c:pt>
                <c:pt idx="3">
                  <c:v>1.1646483282152789</c:v>
                </c:pt>
                <c:pt idx="4">
                  <c:v>1.1646483282152789</c:v>
                </c:pt>
                <c:pt idx="5">
                  <c:v>1.1646483282152789</c:v>
                </c:pt>
                <c:pt idx="6">
                  <c:v>1.1646483282152789</c:v>
                </c:pt>
                <c:pt idx="7">
                  <c:v>1.1646483282152789</c:v>
                </c:pt>
                <c:pt idx="8">
                  <c:v>1.1646483282152789</c:v>
                </c:pt>
                <c:pt idx="9">
                  <c:v>1.1646483282152789</c:v>
                </c:pt>
                <c:pt idx="10">
                  <c:v>1.1646483282152789</c:v>
                </c:pt>
                <c:pt idx="11">
                  <c:v>1.1646483282152789</c:v>
                </c:pt>
                <c:pt idx="12">
                  <c:v>1.1646483282152789</c:v>
                </c:pt>
                <c:pt idx="13">
                  <c:v>1.1646483282152789</c:v>
                </c:pt>
                <c:pt idx="14">
                  <c:v>1.1646483282152789</c:v>
                </c:pt>
                <c:pt idx="15">
                  <c:v>1.1646483282152789</c:v>
                </c:pt>
                <c:pt idx="16">
                  <c:v>1.1646483282152789</c:v>
                </c:pt>
                <c:pt idx="17">
                  <c:v>1.1646483282152789</c:v>
                </c:pt>
                <c:pt idx="18">
                  <c:v>1.1646483282152789</c:v>
                </c:pt>
                <c:pt idx="19">
                  <c:v>1.1646483282152789</c:v>
                </c:pt>
                <c:pt idx="20">
                  <c:v>1.1646483282152789</c:v>
                </c:pt>
                <c:pt idx="21">
                  <c:v>1.1646483282152789</c:v>
                </c:pt>
                <c:pt idx="22">
                  <c:v>1.1646483282152789</c:v>
                </c:pt>
                <c:pt idx="23">
                  <c:v>1.1646483282152789</c:v>
                </c:pt>
                <c:pt idx="24">
                  <c:v>1.1646483282152789</c:v>
                </c:pt>
                <c:pt idx="25">
                  <c:v>1.1646483282152789</c:v>
                </c:pt>
                <c:pt idx="26">
                  <c:v>1.1646483282152789</c:v>
                </c:pt>
                <c:pt idx="27">
                  <c:v>1.1646483282152789</c:v>
                </c:pt>
                <c:pt idx="28">
                  <c:v>1.1646483282152789</c:v>
                </c:pt>
                <c:pt idx="29">
                  <c:v>1.1646483282152789</c:v>
                </c:pt>
                <c:pt idx="30">
                  <c:v>1.1646483282152789</c:v>
                </c:pt>
                <c:pt idx="31">
                  <c:v>1.1646483282152789</c:v>
                </c:pt>
                <c:pt idx="32">
                  <c:v>1.1646483282152789</c:v>
                </c:pt>
                <c:pt idx="33">
                  <c:v>1.1646483282152789</c:v>
                </c:pt>
                <c:pt idx="34">
                  <c:v>1.1646483282152789</c:v>
                </c:pt>
                <c:pt idx="35">
                  <c:v>1.1646483282152789</c:v>
                </c:pt>
                <c:pt idx="36">
                  <c:v>1.1646483282152789</c:v>
                </c:pt>
                <c:pt idx="37">
                  <c:v>1.1646483282152789</c:v>
                </c:pt>
                <c:pt idx="38">
                  <c:v>1.1646483282152789</c:v>
                </c:pt>
                <c:pt idx="39">
                  <c:v>1.1646483282152789</c:v>
                </c:pt>
                <c:pt idx="40">
                  <c:v>1.1646483282152789</c:v>
                </c:pt>
                <c:pt idx="41">
                  <c:v>1.1646483282152789</c:v>
                </c:pt>
                <c:pt idx="42">
                  <c:v>1.1646483282152789</c:v>
                </c:pt>
                <c:pt idx="43">
                  <c:v>1.1646483282152789</c:v>
                </c:pt>
                <c:pt idx="44">
                  <c:v>1.1646483282152789</c:v>
                </c:pt>
                <c:pt idx="45">
                  <c:v>1.1646483282152789</c:v>
                </c:pt>
                <c:pt idx="46">
                  <c:v>1.1646483282152789</c:v>
                </c:pt>
                <c:pt idx="47">
                  <c:v>1.1646483282152789</c:v>
                </c:pt>
                <c:pt idx="48">
                  <c:v>1.1646483282152789</c:v>
                </c:pt>
                <c:pt idx="49">
                  <c:v>1.1646483282152789</c:v>
                </c:pt>
                <c:pt idx="50">
                  <c:v>1.1646483282152789</c:v>
                </c:pt>
                <c:pt idx="51">
                  <c:v>1.1646483282152789</c:v>
                </c:pt>
                <c:pt idx="52">
                  <c:v>1.1646483282152789</c:v>
                </c:pt>
                <c:pt idx="53">
                  <c:v>1.1646483282152789</c:v>
                </c:pt>
                <c:pt idx="54">
                  <c:v>1.1646483282152789</c:v>
                </c:pt>
                <c:pt idx="55">
                  <c:v>1.1646483282152789</c:v>
                </c:pt>
                <c:pt idx="56">
                  <c:v>1.1646483282152789</c:v>
                </c:pt>
                <c:pt idx="57">
                  <c:v>1.1646483282152789</c:v>
                </c:pt>
                <c:pt idx="58">
                  <c:v>1.1646483282152789</c:v>
                </c:pt>
                <c:pt idx="59">
                  <c:v>1.1646483282152789</c:v>
                </c:pt>
                <c:pt idx="60">
                  <c:v>1.1646483282152789</c:v>
                </c:pt>
                <c:pt idx="61">
                  <c:v>1.1646483282152789</c:v>
                </c:pt>
                <c:pt idx="62">
                  <c:v>1.1646483282152789</c:v>
                </c:pt>
                <c:pt idx="63">
                  <c:v>1.1646483282152789</c:v>
                </c:pt>
                <c:pt idx="64">
                  <c:v>1.1646483282152789</c:v>
                </c:pt>
                <c:pt idx="65">
                  <c:v>1.1646483282152789</c:v>
                </c:pt>
                <c:pt idx="66">
                  <c:v>1.1646483282152789</c:v>
                </c:pt>
                <c:pt idx="67">
                  <c:v>1.1646483282152789</c:v>
                </c:pt>
                <c:pt idx="68">
                  <c:v>1.1646483282152789</c:v>
                </c:pt>
                <c:pt idx="69">
                  <c:v>1.1646483282152789</c:v>
                </c:pt>
                <c:pt idx="70">
                  <c:v>1.1646483282152789</c:v>
                </c:pt>
                <c:pt idx="71">
                  <c:v>1.1646483282152789</c:v>
                </c:pt>
                <c:pt idx="72">
                  <c:v>1.1646483282152789</c:v>
                </c:pt>
                <c:pt idx="73">
                  <c:v>1.1646483282152789</c:v>
                </c:pt>
                <c:pt idx="74">
                  <c:v>1.1646483282152789</c:v>
                </c:pt>
                <c:pt idx="75">
                  <c:v>1.1646483282152789</c:v>
                </c:pt>
                <c:pt idx="76">
                  <c:v>1.1646483282152789</c:v>
                </c:pt>
                <c:pt idx="77">
                  <c:v>1.1646483282152789</c:v>
                </c:pt>
                <c:pt idx="78">
                  <c:v>1.1646483282152789</c:v>
                </c:pt>
                <c:pt idx="79">
                  <c:v>1.1646483282152789</c:v>
                </c:pt>
                <c:pt idx="80">
                  <c:v>1.1646483282152789</c:v>
                </c:pt>
                <c:pt idx="81">
                  <c:v>1.1646483282152789</c:v>
                </c:pt>
                <c:pt idx="82">
                  <c:v>1.1646483282152789</c:v>
                </c:pt>
                <c:pt idx="83">
                  <c:v>1.1646483282152789</c:v>
                </c:pt>
                <c:pt idx="84">
                  <c:v>1.1646483282152789</c:v>
                </c:pt>
                <c:pt idx="85">
                  <c:v>1.1646483282152789</c:v>
                </c:pt>
                <c:pt idx="86">
                  <c:v>1.1646483282152789</c:v>
                </c:pt>
                <c:pt idx="87">
                  <c:v>1.1646483282152789</c:v>
                </c:pt>
                <c:pt idx="88">
                  <c:v>1.1646483282152789</c:v>
                </c:pt>
                <c:pt idx="89">
                  <c:v>1.1646483282152789</c:v>
                </c:pt>
                <c:pt idx="90">
                  <c:v>1.1646483282152789</c:v>
                </c:pt>
                <c:pt idx="91">
                  <c:v>1.1646483282152789</c:v>
                </c:pt>
                <c:pt idx="92">
                  <c:v>1.1646483282152789</c:v>
                </c:pt>
                <c:pt idx="93">
                  <c:v>1.1646483282152789</c:v>
                </c:pt>
                <c:pt idx="94">
                  <c:v>1.1646483282152789</c:v>
                </c:pt>
                <c:pt idx="95">
                  <c:v>1.1646483282152789</c:v>
                </c:pt>
                <c:pt idx="96">
                  <c:v>1.1646483282152789</c:v>
                </c:pt>
              </c:numCache>
            </c:numRef>
          </c:yVal>
          <c:smooth val="0"/>
          <c:extLst>
            <c:ext xmlns:c16="http://schemas.microsoft.com/office/drawing/2014/chart" uri="{C3380CC4-5D6E-409C-BE32-E72D297353CC}">
              <c16:uniqueId val="{00000000-D6CA-403D-8EDF-B1A400855215}"/>
            </c:ext>
          </c:extLst>
        </c:ser>
        <c:ser>
          <c:idx val="1"/>
          <c:order val="1"/>
          <c:tx>
            <c:strRef>
              <c:f>Toolbox!$AE$11</c:f>
              <c:strCache>
                <c:ptCount val="1"/>
                <c:pt idx="0">
                  <c:v>Weighted</c:v>
                </c:pt>
              </c:strCache>
            </c:strRef>
          </c:tx>
          <c:spPr>
            <a:ln>
              <a:solidFill>
                <a:srgbClr val="FF0000"/>
              </a:solidFill>
              <a:prstDash val="solid"/>
            </a:ln>
          </c:spPr>
          <c:marker>
            <c:symbol val="none"/>
          </c:marker>
          <c:xVal>
            <c:numRef>
              <c:f>Toolbox!$AB$12:$AB$108</c:f>
              <c:numCache>
                <c:formatCode>General</c:formatCode>
                <c:ptCount val="97"/>
                <c:pt idx="0">
                  <c:v>300</c:v>
                </c:pt>
                <c:pt idx="1">
                  <c:v>305</c:v>
                </c:pt>
                <c:pt idx="2">
                  <c:v>310</c:v>
                </c:pt>
                <c:pt idx="3">
                  <c:v>315</c:v>
                </c:pt>
                <c:pt idx="4">
                  <c:v>320</c:v>
                </c:pt>
                <c:pt idx="5">
                  <c:v>325</c:v>
                </c:pt>
                <c:pt idx="6">
                  <c:v>330</c:v>
                </c:pt>
                <c:pt idx="7">
                  <c:v>335</c:v>
                </c:pt>
                <c:pt idx="8">
                  <c:v>340</c:v>
                </c:pt>
                <c:pt idx="9">
                  <c:v>345</c:v>
                </c:pt>
                <c:pt idx="10">
                  <c:v>350</c:v>
                </c:pt>
                <c:pt idx="11">
                  <c:v>355</c:v>
                </c:pt>
                <c:pt idx="12">
                  <c:v>360</c:v>
                </c:pt>
                <c:pt idx="13">
                  <c:v>365</c:v>
                </c:pt>
                <c:pt idx="14">
                  <c:v>370</c:v>
                </c:pt>
                <c:pt idx="15">
                  <c:v>375</c:v>
                </c:pt>
                <c:pt idx="16">
                  <c:v>380</c:v>
                </c:pt>
                <c:pt idx="17">
                  <c:v>385</c:v>
                </c:pt>
                <c:pt idx="18">
                  <c:v>390</c:v>
                </c:pt>
                <c:pt idx="19">
                  <c:v>395</c:v>
                </c:pt>
                <c:pt idx="20">
                  <c:v>400</c:v>
                </c:pt>
                <c:pt idx="21">
                  <c:v>405</c:v>
                </c:pt>
                <c:pt idx="22">
                  <c:v>410</c:v>
                </c:pt>
                <c:pt idx="23">
                  <c:v>415</c:v>
                </c:pt>
                <c:pt idx="24">
                  <c:v>420</c:v>
                </c:pt>
                <c:pt idx="25">
                  <c:v>425</c:v>
                </c:pt>
                <c:pt idx="26">
                  <c:v>430</c:v>
                </c:pt>
                <c:pt idx="27">
                  <c:v>435</c:v>
                </c:pt>
                <c:pt idx="28">
                  <c:v>440</c:v>
                </c:pt>
                <c:pt idx="29">
                  <c:v>445</c:v>
                </c:pt>
                <c:pt idx="30">
                  <c:v>450</c:v>
                </c:pt>
                <c:pt idx="31">
                  <c:v>455</c:v>
                </c:pt>
                <c:pt idx="32">
                  <c:v>460</c:v>
                </c:pt>
                <c:pt idx="33">
                  <c:v>465</c:v>
                </c:pt>
                <c:pt idx="34">
                  <c:v>470</c:v>
                </c:pt>
                <c:pt idx="35">
                  <c:v>475</c:v>
                </c:pt>
                <c:pt idx="36">
                  <c:v>480</c:v>
                </c:pt>
                <c:pt idx="37">
                  <c:v>485</c:v>
                </c:pt>
                <c:pt idx="38">
                  <c:v>490</c:v>
                </c:pt>
                <c:pt idx="39">
                  <c:v>495</c:v>
                </c:pt>
                <c:pt idx="40">
                  <c:v>500</c:v>
                </c:pt>
                <c:pt idx="41">
                  <c:v>505</c:v>
                </c:pt>
                <c:pt idx="42">
                  <c:v>510</c:v>
                </c:pt>
                <c:pt idx="43">
                  <c:v>515</c:v>
                </c:pt>
                <c:pt idx="44">
                  <c:v>520</c:v>
                </c:pt>
                <c:pt idx="45">
                  <c:v>525</c:v>
                </c:pt>
                <c:pt idx="46">
                  <c:v>530</c:v>
                </c:pt>
                <c:pt idx="47">
                  <c:v>535</c:v>
                </c:pt>
                <c:pt idx="48">
                  <c:v>540</c:v>
                </c:pt>
                <c:pt idx="49">
                  <c:v>545</c:v>
                </c:pt>
                <c:pt idx="50">
                  <c:v>550</c:v>
                </c:pt>
                <c:pt idx="51">
                  <c:v>555</c:v>
                </c:pt>
                <c:pt idx="52">
                  <c:v>560</c:v>
                </c:pt>
                <c:pt idx="53">
                  <c:v>565</c:v>
                </c:pt>
                <c:pt idx="54">
                  <c:v>570</c:v>
                </c:pt>
                <c:pt idx="55">
                  <c:v>575</c:v>
                </c:pt>
                <c:pt idx="56">
                  <c:v>580</c:v>
                </c:pt>
                <c:pt idx="57">
                  <c:v>585</c:v>
                </c:pt>
                <c:pt idx="58">
                  <c:v>590</c:v>
                </c:pt>
                <c:pt idx="59">
                  <c:v>595</c:v>
                </c:pt>
                <c:pt idx="60">
                  <c:v>600</c:v>
                </c:pt>
                <c:pt idx="61">
                  <c:v>605</c:v>
                </c:pt>
                <c:pt idx="62">
                  <c:v>610</c:v>
                </c:pt>
                <c:pt idx="63">
                  <c:v>615</c:v>
                </c:pt>
                <c:pt idx="64">
                  <c:v>620</c:v>
                </c:pt>
                <c:pt idx="65">
                  <c:v>625</c:v>
                </c:pt>
                <c:pt idx="66">
                  <c:v>630</c:v>
                </c:pt>
                <c:pt idx="67">
                  <c:v>635</c:v>
                </c:pt>
                <c:pt idx="68">
                  <c:v>640</c:v>
                </c:pt>
                <c:pt idx="69">
                  <c:v>645</c:v>
                </c:pt>
                <c:pt idx="70">
                  <c:v>650</c:v>
                </c:pt>
                <c:pt idx="71">
                  <c:v>655</c:v>
                </c:pt>
                <c:pt idx="72">
                  <c:v>660</c:v>
                </c:pt>
                <c:pt idx="73">
                  <c:v>665</c:v>
                </c:pt>
                <c:pt idx="74">
                  <c:v>670</c:v>
                </c:pt>
                <c:pt idx="75">
                  <c:v>675</c:v>
                </c:pt>
                <c:pt idx="76">
                  <c:v>680</c:v>
                </c:pt>
                <c:pt idx="77">
                  <c:v>685</c:v>
                </c:pt>
                <c:pt idx="78">
                  <c:v>690</c:v>
                </c:pt>
                <c:pt idx="79">
                  <c:v>695</c:v>
                </c:pt>
                <c:pt idx="80">
                  <c:v>700</c:v>
                </c:pt>
                <c:pt idx="81">
                  <c:v>705</c:v>
                </c:pt>
                <c:pt idx="82">
                  <c:v>710</c:v>
                </c:pt>
                <c:pt idx="83">
                  <c:v>715</c:v>
                </c:pt>
                <c:pt idx="84">
                  <c:v>720</c:v>
                </c:pt>
                <c:pt idx="85">
                  <c:v>725</c:v>
                </c:pt>
                <c:pt idx="86">
                  <c:v>730</c:v>
                </c:pt>
                <c:pt idx="87">
                  <c:v>735</c:v>
                </c:pt>
                <c:pt idx="88">
                  <c:v>740</c:v>
                </c:pt>
                <c:pt idx="89">
                  <c:v>745</c:v>
                </c:pt>
                <c:pt idx="90">
                  <c:v>750</c:v>
                </c:pt>
                <c:pt idx="91">
                  <c:v>755</c:v>
                </c:pt>
                <c:pt idx="92">
                  <c:v>760</c:v>
                </c:pt>
                <c:pt idx="93">
                  <c:v>765</c:v>
                </c:pt>
                <c:pt idx="94">
                  <c:v>770</c:v>
                </c:pt>
                <c:pt idx="95">
                  <c:v>775</c:v>
                </c:pt>
                <c:pt idx="96">
                  <c:v>780</c:v>
                </c:pt>
              </c:numCache>
            </c:numRef>
          </c:xVal>
          <c:yVal>
            <c:numRef>
              <c:f>Toolbox!$AE$12:$AE$108</c:f>
              <c:numCache>
                <c:formatCode>General</c:formatCode>
                <c:ptCount val="97"/>
                <c:pt idx="0">
                  <c:v>6.7193918813527904E-4</c:v>
                </c:pt>
                <c:pt idx="1">
                  <c:v>3.9672574339472055E-3</c:v>
                </c:pt>
                <c:pt idx="2">
                  <c:v>1.3218773253263909E-2</c:v>
                </c:pt>
                <c:pt idx="3">
                  <c:v>3.3944435844377341E-2</c:v>
                </c:pt>
                <c:pt idx="4">
                  <c:v>5.3395742664169819E-2</c:v>
                </c:pt>
                <c:pt idx="5">
                  <c:v>7.0954501640945494E-2</c:v>
                </c:pt>
                <c:pt idx="6">
                  <c:v>8.6431616719263971E-2</c:v>
                </c:pt>
                <c:pt idx="7">
                  <c:v>0.1000639426208409</c:v>
                </c:pt>
                <c:pt idx="8">
                  <c:v>0.11228666169968814</c:v>
                </c:pt>
                <c:pt idx="9">
                  <c:v>0.12346691635237704</c:v>
                </c:pt>
                <c:pt idx="10">
                  <c:v>0.13376236564220409</c:v>
                </c:pt>
                <c:pt idx="11">
                  <c:v>0.14238453255636407</c:v>
                </c:pt>
                <c:pt idx="12">
                  <c:v>0.14863064929989744</c:v>
                </c:pt>
                <c:pt idx="13">
                  <c:v>0.15217444685455064</c:v>
                </c:pt>
                <c:pt idx="14">
                  <c:v>0.1537116758714899</c:v>
                </c:pt>
                <c:pt idx="15">
                  <c:v>0.15410765996999096</c:v>
                </c:pt>
                <c:pt idx="16">
                  <c:v>0.1536482551624842</c:v>
                </c:pt>
                <c:pt idx="17">
                  <c:v>0.15270939682102014</c:v>
                </c:pt>
                <c:pt idx="18">
                  <c:v>0.15217236959801511</c:v>
                </c:pt>
                <c:pt idx="19">
                  <c:v>0.15301839247651036</c:v>
                </c:pt>
                <c:pt idx="20">
                  <c:v>0.15601926850142589</c:v>
                </c:pt>
                <c:pt idx="21">
                  <c:v>0.16194870779654347</c:v>
                </c:pt>
                <c:pt idx="22">
                  <c:v>0.17174163886763077</c:v>
                </c:pt>
                <c:pt idx="23">
                  <c:v>0.18629951576113432</c:v>
                </c:pt>
                <c:pt idx="24">
                  <c:v>0.20637620976289395</c:v>
                </c:pt>
                <c:pt idx="25">
                  <c:v>0.23260643488617438</c:v>
                </c:pt>
                <c:pt idx="26">
                  <c:v>0.26559729458611819</c:v>
                </c:pt>
                <c:pt idx="27">
                  <c:v>0.30578044312671643</c:v>
                </c:pt>
                <c:pt idx="28">
                  <c:v>0.35293892269244936</c:v>
                </c:pt>
                <c:pt idx="29">
                  <c:v>0.40643565014106436</c:v>
                </c:pt>
                <c:pt idx="30">
                  <c:v>0.46580447008821785</c:v>
                </c:pt>
                <c:pt idx="31">
                  <c:v>0.53049139739476581</c:v>
                </c:pt>
                <c:pt idx="32">
                  <c:v>0.5994416888074926</c:v>
                </c:pt>
                <c:pt idx="33">
                  <c:v>0.67128840292719261</c:v>
                </c:pt>
                <c:pt idx="34">
                  <c:v>0.74456597217570142</c:v>
                </c:pt>
                <c:pt idx="35">
                  <c:v>0.81756674160220422</c:v>
                </c:pt>
                <c:pt idx="36">
                  <c:v>0.88788219871827589</c:v>
                </c:pt>
                <c:pt idx="37">
                  <c:v>0.95320245420216743</c:v>
                </c:pt>
                <c:pt idx="38">
                  <c:v>1.0133453342274432</c:v>
                </c:pt>
                <c:pt idx="39">
                  <c:v>1.0681585089509338</c:v>
                </c:pt>
                <c:pt idx="40">
                  <c:v>1.113894880254142</c:v>
                </c:pt>
                <c:pt idx="41">
                  <c:v>1.1461747289669513</c:v>
                </c:pt>
                <c:pt idx="42">
                  <c:v>1.1633618370380476</c:v>
                </c:pt>
                <c:pt idx="43">
                  <c:v>1.1646483282152789</c:v>
                </c:pt>
                <c:pt idx="44">
                  <c:v>1.1487401362879723</c:v>
                </c:pt>
                <c:pt idx="45">
                  <c:v>1.1149295979311211</c:v>
                </c:pt>
                <c:pt idx="46">
                  <c:v>1.0637037266091165</c:v>
                </c:pt>
                <c:pt idx="47">
                  <c:v>0.99685907668270879</c:v>
                </c:pt>
                <c:pt idx="48">
                  <c:v>0.91763825918994835</c:v>
                </c:pt>
                <c:pt idx="49">
                  <c:v>0.82980637412838731</c:v>
                </c:pt>
                <c:pt idx="50">
                  <c:v>0.73674109018073686</c:v>
                </c:pt>
                <c:pt idx="51">
                  <c:v>0.64186552156250709</c:v>
                </c:pt>
                <c:pt idx="52">
                  <c:v>0.54869237801096438</c:v>
                </c:pt>
                <c:pt idx="53">
                  <c:v>0.46013700681411712</c:v>
                </c:pt>
                <c:pt idx="54">
                  <c:v>0.37835017285005851</c:v>
                </c:pt>
                <c:pt idx="55">
                  <c:v>0.30475466002725377</c:v>
                </c:pt>
                <c:pt idx="56">
                  <c:v>0.2400990324741773</c:v>
                </c:pt>
                <c:pt idx="57">
                  <c:v>0.18477535958995389</c:v>
                </c:pt>
                <c:pt idx="58">
                  <c:v>0.13887543453656159</c:v>
                </c:pt>
                <c:pt idx="59">
                  <c:v>0.10201075282564584</c:v>
                </c:pt>
                <c:pt idx="60">
                  <c:v>7.3340756231605284E-2</c:v>
                </c:pt>
                <c:pt idx="61">
                  <c:v>5.1724441982703186E-2</c:v>
                </c:pt>
                <c:pt idx="62">
                  <c:v>3.5877713759764451E-2</c:v>
                </c:pt>
                <c:pt idx="63">
                  <c:v>2.4547479901844915E-2</c:v>
                </c:pt>
                <c:pt idx="64">
                  <c:v>1.662141114723029E-2</c:v>
                </c:pt>
                <c:pt idx="65">
                  <c:v>1.1174258946984289E-2</c:v>
                </c:pt>
                <c:pt idx="66">
                  <c:v>7.4835744096245754E-3</c:v>
                </c:pt>
                <c:pt idx="67">
                  <c:v>5.0063374790307747E-3</c:v>
                </c:pt>
                <c:pt idx="68">
                  <c:v>3.349112798351362E-3</c:v>
                </c:pt>
                <c:pt idx="69">
                  <c:v>2.242103491628177E-3</c:v>
                </c:pt>
                <c:pt idx="70">
                  <c:v>1.5045577353693283E-3</c:v>
                </c:pt>
                <c:pt idx="71">
                  <c:v>1.0134081295214319E-3</c:v>
                </c:pt>
                <c:pt idx="72">
                  <c:v>6.8510856612843398E-4</c:v>
                </c:pt>
                <c:pt idx="73">
                  <c:v>4.6475691141238277E-4</c:v>
                </c:pt>
                <c:pt idx="74">
                  <c:v>3.1658064564598341E-4</c:v>
                </c:pt>
                <c:pt idx="75">
                  <c:v>2.1669436901603851E-4</c:v>
                </c:pt>
                <c:pt idx="76">
                  <c:v>1.4905807067612417E-4</c:v>
                </c:pt>
                <c:pt idx="77">
                  <c:v>1.0303353913370585E-4</c:v>
                </c:pt>
                <c:pt idx="78">
                  <c:v>7.1569740316971617E-5</c:v>
                </c:pt>
                <c:pt idx="79">
                  <c:v>4.9959924324741483E-5</c:v>
                </c:pt>
                <c:pt idx="80">
                  <c:v>3.5047682750266667E-5</c:v>
                </c:pt>
                <c:pt idx="81">
                  <c:v>2.468124030810883E-5</c:v>
                </c:pt>
                <c:pt idx="82">
                  <c:v>1.7464767370117974E-5</c:v>
                </c:pt>
                <c:pt idx="83">
                  <c:v>1.2417065778391035E-5</c:v>
                </c:pt>
                <c:pt idx="84">
                  <c:v>8.8696200135979233E-6</c:v>
                </c:pt>
                <c:pt idx="85">
                  <c:v>6.3648559442714792E-6</c:v>
                </c:pt>
                <c:pt idx="86">
                  <c:v>4.5881348446061528E-6</c:v>
                </c:pt>
                <c:pt idx="87">
                  <c:v>3.3221069633856205E-6</c:v>
                </c:pt>
                <c:pt idx="88">
                  <c:v>2.4159413705240364E-6</c:v>
                </c:pt>
                <c:pt idx="89">
                  <c:v>1.7644931176985709E-6</c:v>
                </c:pt>
                <c:pt idx="90">
                  <c:v>1.2941361553734308E-6</c:v>
                </c:pt>
                <c:pt idx="91">
                  <c:v>9.5308655173537765E-7</c:v>
                </c:pt>
                <c:pt idx="92">
                  <c:v>7.0476359086470033E-7</c:v>
                </c:pt>
                <c:pt idx="93">
                  <c:v>5.2321503722065403E-7</c:v>
                </c:pt>
                <c:pt idx="94">
                  <c:v>3.8995103582581669E-7</c:v>
                </c:pt>
                <c:pt idx="95">
                  <c:v>2.9174345338593364E-7</c:v>
                </c:pt>
                <c:pt idx="96">
                  <c:v>2.1908974746374513E-7</c:v>
                </c:pt>
              </c:numCache>
            </c:numRef>
          </c:yVal>
          <c:smooth val="0"/>
          <c:extLst>
            <c:ext xmlns:c16="http://schemas.microsoft.com/office/drawing/2014/chart" uri="{C3380CC4-5D6E-409C-BE32-E72D297353CC}">
              <c16:uniqueId val="{00000001-D6CA-403D-8EDF-B1A400855215}"/>
            </c:ext>
          </c:extLst>
        </c:ser>
        <c:dLbls>
          <c:showLegendKey val="0"/>
          <c:showVal val="0"/>
          <c:showCatName val="0"/>
          <c:showSerName val="0"/>
          <c:showPercent val="0"/>
          <c:showBubbleSize val="0"/>
        </c:dLbls>
        <c:axId val="183691904"/>
        <c:axId val="183513856"/>
      </c:scatterChart>
      <c:valAx>
        <c:axId val="183691904"/>
        <c:scaling>
          <c:orientation val="minMax"/>
          <c:max val="780"/>
          <c:min val="300"/>
        </c:scaling>
        <c:delete val="0"/>
        <c:axPos val="b"/>
        <c:title>
          <c:tx>
            <c:rich>
              <a:bodyPr/>
              <a:lstStyle/>
              <a:p>
                <a:pPr>
                  <a:defRPr sz="1600" b="1" i="0" u="none" strike="noStrike" baseline="0">
                    <a:solidFill>
                      <a:srgbClr val="000000"/>
                    </a:solidFill>
                    <a:latin typeface="Calibri"/>
                    <a:ea typeface="Calibri"/>
                    <a:cs typeface="Calibri"/>
                  </a:defRPr>
                </a:pPr>
                <a:r>
                  <a:rPr lang="en-GB"/>
                  <a:t>wavelength (nm)</a:t>
                </a:r>
              </a:p>
            </c:rich>
          </c:tx>
          <c:layout>
            <c:manualLayout>
              <c:xMode val="edge"/>
              <c:yMode val="edge"/>
              <c:x val="0.38887451170514609"/>
              <c:y val="0.88351115274577818"/>
            </c:manualLayout>
          </c:layout>
          <c:overlay val="0"/>
          <c:spPr>
            <a:noFill/>
            <a:ln w="25400">
              <a:noFill/>
            </a:ln>
          </c:spPr>
        </c:title>
        <c:numFmt formatCode="General" sourceLinked="1"/>
        <c:majorTickMark val="out"/>
        <c:minorTickMark val="none"/>
        <c:tickLblPos val="nextTo"/>
        <c:txPr>
          <a:bodyPr rot="0" vert="horz"/>
          <a:lstStyle/>
          <a:p>
            <a:pPr>
              <a:defRPr sz="1200" b="0" i="0" u="none" strike="noStrike" baseline="0">
                <a:solidFill>
                  <a:srgbClr val="000000"/>
                </a:solidFill>
                <a:latin typeface="Calibri"/>
                <a:ea typeface="Calibri"/>
                <a:cs typeface="Calibri"/>
              </a:defRPr>
            </a:pPr>
            <a:endParaRPr lang="en-US"/>
          </a:p>
        </c:txPr>
        <c:crossAx val="183513856"/>
        <c:crosses val="autoZero"/>
        <c:crossBetween val="midCat"/>
        <c:majorUnit val="50"/>
      </c:valAx>
      <c:valAx>
        <c:axId val="183513856"/>
        <c:scaling>
          <c:orientation val="minMax"/>
          <c:min val="0"/>
        </c:scaling>
        <c:delete val="0"/>
        <c:axPos val="l"/>
        <c:title>
          <c:tx>
            <c:rich>
              <a:bodyPr/>
              <a:lstStyle/>
              <a:p>
                <a:pPr>
                  <a:defRPr sz="1100" b="0" i="0" u="none" strike="noStrike" baseline="0">
                    <a:solidFill>
                      <a:srgbClr val="000000"/>
                    </a:solidFill>
                    <a:latin typeface="Calibri"/>
                    <a:ea typeface="Calibri"/>
                    <a:cs typeface="Calibri"/>
                  </a:defRPr>
                </a:pPr>
                <a:r>
                  <a:rPr lang="el-GR" sz="1600" b="1" i="0" u="none" strike="noStrike" baseline="0">
                    <a:solidFill>
                      <a:srgbClr val="000000"/>
                    </a:solidFill>
                    <a:latin typeface="Calibri"/>
                    <a:cs typeface="Calibri"/>
                  </a:rPr>
                  <a:t>μ</a:t>
                </a:r>
                <a:r>
                  <a:rPr lang="en-GB" sz="1600" b="1" i="0" u="none" strike="noStrike" baseline="0">
                    <a:solidFill>
                      <a:srgbClr val="000000"/>
                    </a:solidFill>
                    <a:latin typeface="Calibri"/>
                    <a:cs typeface="Calibri"/>
                  </a:rPr>
                  <a:t>W.cm</a:t>
                </a:r>
                <a:r>
                  <a:rPr lang="en-GB" sz="1600" b="1" i="0" u="none" strike="noStrike" baseline="30000">
                    <a:solidFill>
                      <a:srgbClr val="000000"/>
                    </a:solidFill>
                    <a:latin typeface="Calibri"/>
                    <a:cs typeface="Calibri"/>
                  </a:rPr>
                  <a:t>-2</a:t>
                </a:r>
                <a:r>
                  <a:rPr lang="en-GB" sz="1600" b="1" i="0" u="none" strike="noStrike" baseline="0">
                    <a:solidFill>
                      <a:srgbClr val="000000"/>
                    </a:solidFill>
                    <a:latin typeface="Calibri"/>
                    <a:cs typeface="Calibri"/>
                  </a:rPr>
                  <a:t>.nm</a:t>
                </a:r>
                <a:r>
                  <a:rPr lang="en-GB" sz="1600" b="1" i="0" u="none" strike="noStrike" baseline="30000">
                    <a:solidFill>
                      <a:srgbClr val="000000"/>
                    </a:solidFill>
                    <a:latin typeface="Calibri"/>
                    <a:cs typeface="Calibri"/>
                  </a:rPr>
                  <a:t>-1</a:t>
                </a:r>
              </a:p>
            </c:rich>
          </c:tx>
          <c:layout>
            <c:manualLayout>
              <c:xMode val="edge"/>
              <c:yMode val="edge"/>
              <c:x val="2.0056951479791151E-2"/>
              <c:y val="0.29124000978977332"/>
            </c:manualLayout>
          </c:layout>
          <c:overlay val="0"/>
          <c:spPr>
            <a:noFill/>
            <a:ln w="25400">
              <a:noFill/>
            </a:ln>
          </c:spPr>
        </c:title>
        <c:numFmt formatCode="#,##0.0" sourceLinked="0"/>
        <c:majorTickMark val="out"/>
        <c:minorTickMark val="none"/>
        <c:tickLblPos val="nextTo"/>
        <c:txPr>
          <a:bodyPr rot="0" vert="horz"/>
          <a:lstStyle/>
          <a:p>
            <a:pPr>
              <a:defRPr sz="1200" b="0" i="0" u="none" strike="noStrike" baseline="0">
                <a:solidFill>
                  <a:srgbClr val="000000"/>
                </a:solidFill>
                <a:latin typeface="Calibri"/>
                <a:ea typeface="Calibri"/>
                <a:cs typeface="Calibri"/>
              </a:defRPr>
            </a:pPr>
            <a:endParaRPr lang="en-US"/>
          </a:p>
        </c:txPr>
        <c:crossAx val="183691904"/>
        <c:crosses val="autoZero"/>
        <c:crossBetween val="midCat"/>
      </c:valAx>
    </c:plotArea>
    <c:legend>
      <c:legendPos val="r"/>
      <c:layout>
        <c:manualLayout>
          <c:xMode val="edge"/>
          <c:yMode val="edge"/>
          <c:x val="0.18542242729213002"/>
          <c:y val="0.17759376852087044"/>
          <c:w val="0.25548522995135181"/>
          <c:h val="0.1677842689018712"/>
        </c:manualLayout>
      </c:layout>
      <c:overlay val="1"/>
      <c:spPr>
        <a:solidFill>
          <a:schemeClr val="bg1">
            <a:alpha val="80000"/>
          </a:schemeClr>
        </a:solidFill>
      </c:spPr>
      <c:txPr>
        <a:bodyPr/>
        <a:lstStyle/>
        <a:p>
          <a:pPr>
            <a:defRPr sz="1200" b="0" i="0" u="none" strike="noStrike" baseline="0">
              <a:solidFill>
                <a:srgbClr val="000000"/>
              </a:solidFill>
              <a:latin typeface="Calibri"/>
              <a:ea typeface="Calibri"/>
              <a:cs typeface="Calibri"/>
            </a:defRPr>
          </a:pPr>
          <a:endParaRPr lang="en-US"/>
        </a:p>
      </c:txPr>
    </c:legend>
    <c:plotVisOnly val="1"/>
    <c:dispBlanksAs val="gap"/>
    <c:showDLblsOverMax val="0"/>
  </c:chart>
  <c:spPr>
    <a:ln>
      <a:solidFill>
        <a:schemeClr val="tx1"/>
      </a:solidFill>
    </a:ln>
    <a:effectLst>
      <a:outerShdw blurRad="50800" dist="38100" algn="l"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555" l="0.70000000000000062" r="0.70000000000000062" t="0.7500000000000055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Calibri"/>
                <a:ea typeface="Calibri"/>
                <a:cs typeface="Calibri"/>
              </a:defRPr>
            </a:pPr>
            <a:r>
              <a:rPr lang="en-GB"/>
              <a:t>Rodent retinal photopigment sensitivity</a:t>
            </a:r>
          </a:p>
        </c:rich>
      </c:tx>
      <c:overlay val="0"/>
      <c:spPr>
        <a:noFill/>
        <a:ln w="25400">
          <a:noFill/>
        </a:ln>
      </c:spPr>
    </c:title>
    <c:autoTitleDeleted val="0"/>
    <c:plotArea>
      <c:layout>
        <c:manualLayout>
          <c:layoutTarget val="inner"/>
          <c:xMode val="edge"/>
          <c:yMode val="edge"/>
          <c:x val="0.17737776464235477"/>
          <c:y val="0.15881335217938719"/>
          <c:w val="0.79104425872141471"/>
          <c:h val="0.71396241840258989"/>
        </c:manualLayout>
      </c:layout>
      <c:barChart>
        <c:barDir val="col"/>
        <c:grouping val="clustered"/>
        <c:varyColors val="0"/>
        <c:ser>
          <c:idx val="0"/>
          <c:order val="0"/>
          <c:spPr>
            <a:solidFill>
              <a:srgbClr val="FF0000"/>
            </a:solidFill>
            <a:ln>
              <a:solidFill>
                <a:schemeClr val="tx1"/>
              </a:solidFill>
            </a:ln>
          </c:spPr>
          <c:invertIfNegative val="0"/>
          <c:dPt>
            <c:idx val="0"/>
            <c:invertIfNegative val="0"/>
            <c:bubble3D val="0"/>
            <c:spPr>
              <a:solidFill>
                <a:srgbClr val="9900CC"/>
              </a:solidFill>
              <a:ln>
                <a:solidFill>
                  <a:schemeClr val="tx1"/>
                </a:solidFill>
              </a:ln>
            </c:spPr>
            <c:extLst>
              <c:ext xmlns:c16="http://schemas.microsoft.com/office/drawing/2014/chart" uri="{C3380CC4-5D6E-409C-BE32-E72D297353CC}">
                <c16:uniqueId val="{00000001-CD9B-4330-BD22-1532F88CBF28}"/>
              </c:ext>
            </c:extLst>
          </c:dPt>
          <c:dPt>
            <c:idx val="1"/>
            <c:invertIfNegative val="0"/>
            <c:bubble3D val="0"/>
            <c:spPr>
              <a:solidFill>
                <a:schemeClr val="bg1"/>
              </a:solidFill>
              <a:ln>
                <a:solidFill>
                  <a:schemeClr val="tx1"/>
                </a:solidFill>
              </a:ln>
            </c:spPr>
            <c:extLst>
              <c:ext xmlns:c16="http://schemas.microsoft.com/office/drawing/2014/chart" uri="{C3380CC4-5D6E-409C-BE32-E72D297353CC}">
                <c16:uniqueId val="{00000003-CD9B-4330-BD22-1532F88CBF28}"/>
              </c:ext>
            </c:extLst>
          </c:dPt>
          <c:dPt>
            <c:idx val="2"/>
            <c:invertIfNegative val="0"/>
            <c:bubble3D val="0"/>
            <c:spPr>
              <a:solidFill>
                <a:schemeClr val="tx1"/>
              </a:solidFill>
              <a:ln>
                <a:solidFill>
                  <a:schemeClr val="tx1"/>
                </a:solidFill>
              </a:ln>
            </c:spPr>
            <c:extLst>
              <c:ext xmlns:c16="http://schemas.microsoft.com/office/drawing/2014/chart" uri="{C3380CC4-5D6E-409C-BE32-E72D297353CC}">
                <c16:uniqueId val="{00000005-CD9B-4330-BD22-1532F88CBF28}"/>
              </c:ext>
            </c:extLst>
          </c:dPt>
          <c:dPt>
            <c:idx val="3"/>
            <c:invertIfNegative val="0"/>
            <c:bubble3D val="0"/>
            <c:spPr>
              <a:solidFill>
                <a:srgbClr val="00FF00"/>
              </a:solidFill>
              <a:ln>
                <a:solidFill>
                  <a:schemeClr val="tx1"/>
                </a:solidFill>
              </a:ln>
            </c:spPr>
            <c:extLst>
              <c:ext xmlns:c16="http://schemas.microsoft.com/office/drawing/2014/chart" uri="{C3380CC4-5D6E-409C-BE32-E72D297353CC}">
                <c16:uniqueId val="{00000007-CD9B-4330-BD22-1532F88CBF28}"/>
              </c:ext>
            </c:extLst>
          </c:dPt>
          <c:cat>
            <c:strRef>
              <c:f>Toolbox!$F$27:$F$30</c:f>
              <c:strCache>
                <c:ptCount val="4"/>
                <c:pt idx="0">
                  <c:v>sc</c:v>
                </c:pt>
                <c:pt idx="1">
                  <c:v>z</c:v>
                </c:pt>
                <c:pt idx="2">
                  <c:v>r</c:v>
                </c:pt>
                <c:pt idx="3">
                  <c:v>mc</c:v>
                </c:pt>
              </c:strCache>
            </c:strRef>
          </c:cat>
          <c:val>
            <c:numRef>
              <c:f>Toolbox!$I$27:$I$30</c:f>
              <c:numCache>
                <c:formatCode>#,##0.00</c:formatCode>
                <c:ptCount val="4"/>
                <c:pt idx="0">
                  <c:v>170</c:v>
                </c:pt>
                <c:pt idx="1">
                  <c:v>169.99999999999986</c:v>
                </c:pt>
                <c:pt idx="2">
                  <c:v>169.99999999999989</c:v>
                </c:pt>
                <c:pt idx="3">
                  <c:v>169.99999999999991</c:v>
                </c:pt>
              </c:numCache>
            </c:numRef>
          </c:val>
          <c:extLst>
            <c:ext xmlns:c16="http://schemas.microsoft.com/office/drawing/2014/chart" uri="{C3380CC4-5D6E-409C-BE32-E72D297353CC}">
              <c16:uniqueId val="{00000008-CD9B-4330-BD22-1532F88CBF28}"/>
            </c:ext>
          </c:extLst>
        </c:ser>
        <c:dLbls>
          <c:showLegendKey val="0"/>
          <c:showVal val="0"/>
          <c:showCatName val="0"/>
          <c:showSerName val="0"/>
          <c:showPercent val="0"/>
          <c:showBubbleSize val="0"/>
        </c:dLbls>
        <c:gapWidth val="150"/>
        <c:axId val="183558912"/>
        <c:axId val="183560448"/>
      </c:barChart>
      <c:catAx>
        <c:axId val="18355891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libri"/>
                <a:ea typeface="Calibri"/>
                <a:cs typeface="Calibri"/>
              </a:defRPr>
            </a:pPr>
            <a:endParaRPr lang="en-US"/>
          </a:p>
        </c:txPr>
        <c:crossAx val="183560448"/>
        <c:crosses val="autoZero"/>
        <c:auto val="1"/>
        <c:lblAlgn val="ctr"/>
        <c:lblOffset val="100"/>
        <c:noMultiLvlLbl val="0"/>
      </c:catAx>
      <c:valAx>
        <c:axId val="183560448"/>
        <c:scaling>
          <c:orientation val="minMax"/>
          <c:min val="0"/>
        </c:scaling>
        <c:delete val="0"/>
        <c:axPos val="l"/>
        <c:title>
          <c:tx>
            <c:rich>
              <a:bodyPr/>
              <a:lstStyle/>
              <a:p>
                <a:pPr>
                  <a:defRPr sz="1100" b="0" i="0" u="none" strike="noStrike" baseline="0">
                    <a:solidFill>
                      <a:srgbClr val="000000"/>
                    </a:solidFill>
                    <a:latin typeface="Calibri"/>
                    <a:ea typeface="Calibri"/>
                    <a:cs typeface="Calibri"/>
                  </a:defRPr>
                </a:pPr>
                <a:r>
                  <a:rPr lang="el-GR" sz="1600" b="1" i="0" u="none" strike="noStrike" baseline="0">
                    <a:solidFill>
                      <a:srgbClr val="000000"/>
                    </a:solidFill>
                    <a:latin typeface="Calibri"/>
                    <a:cs typeface="Calibri"/>
                  </a:rPr>
                  <a:t>α-</a:t>
                </a:r>
                <a:r>
                  <a:rPr lang="en-GB" sz="1600" b="1" i="0" u="none" strike="noStrike" baseline="0">
                    <a:solidFill>
                      <a:srgbClr val="000000"/>
                    </a:solidFill>
                    <a:latin typeface="Calibri"/>
                    <a:cs typeface="Calibri"/>
                  </a:rPr>
                  <a:t>opic  lux equivalent</a:t>
                </a:r>
              </a:p>
            </c:rich>
          </c:tx>
          <c:layout>
            <c:manualLayout>
              <c:xMode val="edge"/>
              <c:yMode val="edge"/>
              <c:x val="1.6852493438320213E-2"/>
              <c:y val="0.22209472411454187"/>
            </c:manualLayout>
          </c:layout>
          <c:overlay val="0"/>
          <c:spPr>
            <a:noFill/>
            <a:ln w="25400">
              <a:noFill/>
            </a:ln>
          </c:spPr>
        </c:title>
        <c:numFmt formatCode="0" sourceLinked="0"/>
        <c:majorTickMark val="out"/>
        <c:minorTickMark val="none"/>
        <c:tickLblPos val="nextTo"/>
        <c:txPr>
          <a:bodyPr rot="0" vert="horz"/>
          <a:lstStyle/>
          <a:p>
            <a:pPr>
              <a:defRPr sz="1200" b="0" i="0" u="none" strike="noStrike" baseline="0">
                <a:solidFill>
                  <a:srgbClr val="000000"/>
                </a:solidFill>
                <a:latin typeface="Calibri"/>
                <a:ea typeface="Calibri"/>
                <a:cs typeface="Calibri"/>
              </a:defRPr>
            </a:pPr>
            <a:endParaRPr lang="en-US"/>
          </a:p>
        </c:txPr>
        <c:crossAx val="183558912"/>
        <c:crosses val="autoZero"/>
        <c:crossBetween val="between"/>
      </c:valAx>
    </c:plotArea>
    <c:plotVisOnly val="1"/>
    <c:dispBlanksAs val="gap"/>
    <c:showDLblsOverMax val="0"/>
  </c:chart>
  <c:spPr>
    <a:solidFill>
      <a:schemeClr val="bg1"/>
    </a:solidFill>
    <a:ln>
      <a:solidFill>
        <a:schemeClr val="tx1"/>
      </a:solidFill>
    </a:ln>
    <a:effectLst>
      <a:outerShdw blurRad="50800" dist="38100" dir="2700000" algn="tl" rotWithShape="0">
        <a:prstClr val="black">
          <a:alpha val="40000"/>
        </a:prstClr>
      </a:outerShdw>
    </a:effectLst>
  </c:spPr>
  <c:txPr>
    <a:bodyPr/>
    <a:lstStyle/>
    <a:p>
      <a:pPr>
        <a:defRPr sz="1400" b="0" i="0" u="none" strike="noStrike" baseline="0">
          <a:solidFill>
            <a:srgbClr val="000000"/>
          </a:solidFill>
          <a:latin typeface="Calibri"/>
          <a:ea typeface="Calibri"/>
          <a:cs typeface="Calibri"/>
        </a:defRPr>
      </a:pPr>
      <a:endParaRPr lang="en-US"/>
    </a:p>
  </c:txPr>
  <c:printSettings>
    <c:headerFooter/>
    <c:pageMargins b="0.75000000000000289" l="0.70000000000000062" r="0.70000000000000062" t="0.75000000000000289"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Calibri"/>
                <a:ea typeface="Calibri"/>
                <a:cs typeface="Calibri"/>
              </a:defRPr>
            </a:pPr>
            <a:r>
              <a:rPr lang="en-GB"/>
              <a:t>Probability normalised sensitivity curves</a:t>
            </a:r>
          </a:p>
        </c:rich>
      </c:tx>
      <c:overlay val="0"/>
      <c:spPr>
        <a:noFill/>
        <a:ln w="25400">
          <a:noFill/>
        </a:ln>
      </c:spPr>
    </c:title>
    <c:autoTitleDeleted val="0"/>
    <c:plotArea>
      <c:layout/>
      <c:scatterChart>
        <c:scatterStyle val="lineMarker"/>
        <c:varyColors val="0"/>
        <c:ser>
          <c:idx val="4"/>
          <c:order val="0"/>
          <c:tx>
            <c:strRef>
              <c:f>Calculations!$I$21</c:f>
              <c:strCache>
                <c:ptCount val="1"/>
                <c:pt idx="0">
                  <c:v>S cone</c:v>
                </c:pt>
              </c:strCache>
            </c:strRef>
          </c:tx>
          <c:spPr>
            <a:ln>
              <a:solidFill>
                <a:srgbClr val="9900CC"/>
              </a:solidFill>
              <a:prstDash val="solid"/>
            </a:ln>
          </c:spPr>
          <c:marker>
            <c:symbol val="none"/>
          </c:marker>
          <c:xVal>
            <c:numRef>
              <c:f>Calculations!$H$22:$H$118</c:f>
              <c:numCache>
                <c:formatCode>General</c:formatCode>
                <c:ptCount val="97"/>
                <c:pt idx="0">
                  <c:v>300</c:v>
                </c:pt>
                <c:pt idx="1">
                  <c:v>305</c:v>
                </c:pt>
                <c:pt idx="2">
                  <c:v>310</c:v>
                </c:pt>
                <c:pt idx="3">
                  <c:v>315</c:v>
                </c:pt>
                <c:pt idx="4">
                  <c:v>320</c:v>
                </c:pt>
                <c:pt idx="5">
                  <c:v>325</c:v>
                </c:pt>
                <c:pt idx="6">
                  <c:v>330</c:v>
                </c:pt>
                <c:pt idx="7">
                  <c:v>335</c:v>
                </c:pt>
                <c:pt idx="8">
                  <c:v>340</c:v>
                </c:pt>
                <c:pt idx="9">
                  <c:v>345</c:v>
                </c:pt>
                <c:pt idx="10">
                  <c:v>350</c:v>
                </c:pt>
                <c:pt idx="11">
                  <c:v>355</c:v>
                </c:pt>
                <c:pt idx="12">
                  <c:v>360</c:v>
                </c:pt>
                <c:pt idx="13">
                  <c:v>365</c:v>
                </c:pt>
                <c:pt idx="14">
                  <c:v>370</c:v>
                </c:pt>
                <c:pt idx="15">
                  <c:v>375</c:v>
                </c:pt>
                <c:pt idx="16">
                  <c:v>380</c:v>
                </c:pt>
                <c:pt idx="17">
                  <c:v>385</c:v>
                </c:pt>
                <c:pt idx="18">
                  <c:v>390</c:v>
                </c:pt>
                <c:pt idx="19">
                  <c:v>395</c:v>
                </c:pt>
                <c:pt idx="20">
                  <c:v>400</c:v>
                </c:pt>
                <c:pt idx="21">
                  <c:v>405</c:v>
                </c:pt>
                <c:pt idx="22">
                  <c:v>410</c:v>
                </c:pt>
                <c:pt idx="23">
                  <c:v>415</c:v>
                </c:pt>
                <c:pt idx="24">
                  <c:v>420</c:v>
                </c:pt>
                <c:pt idx="25">
                  <c:v>425</c:v>
                </c:pt>
                <c:pt idx="26">
                  <c:v>430</c:v>
                </c:pt>
                <c:pt idx="27">
                  <c:v>435</c:v>
                </c:pt>
                <c:pt idx="28">
                  <c:v>440</c:v>
                </c:pt>
                <c:pt idx="29">
                  <c:v>445</c:v>
                </c:pt>
                <c:pt idx="30">
                  <c:v>450</c:v>
                </c:pt>
                <c:pt idx="31">
                  <c:v>455</c:v>
                </c:pt>
                <c:pt idx="32">
                  <c:v>460</c:v>
                </c:pt>
                <c:pt idx="33">
                  <c:v>465</c:v>
                </c:pt>
                <c:pt idx="34">
                  <c:v>470</c:v>
                </c:pt>
                <c:pt idx="35">
                  <c:v>475</c:v>
                </c:pt>
                <c:pt idx="36">
                  <c:v>480</c:v>
                </c:pt>
                <c:pt idx="37">
                  <c:v>485</c:v>
                </c:pt>
                <c:pt idx="38">
                  <c:v>490</c:v>
                </c:pt>
                <c:pt idx="39">
                  <c:v>495</c:v>
                </c:pt>
                <c:pt idx="40">
                  <c:v>500</c:v>
                </c:pt>
                <c:pt idx="41">
                  <c:v>505</c:v>
                </c:pt>
                <c:pt idx="42">
                  <c:v>510</c:v>
                </c:pt>
                <c:pt idx="43">
                  <c:v>515</c:v>
                </c:pt>
                <c:pt idx="44">
                  <c:v>520</c:v>
                </c:pt>
                <c:pt idx="45">
                  <c:v>525</c:v>
                </c:pt>
                <c:pt idx="46">
                  <c:v>530</c:v>
                </c:pt>
                <c:pt idx="47">
                  <c:v>535</c:v>
                </c:pt>
                <c:pt idx="48">
                  <c:v>540</c:v>
                </c:pt>
                <c:pt idx="49">
                  <c:v>545</c:v>
                </c:pt>
                <c:pt idx="50">
                  <c:v>550</c:v>
                </c:pt>
                <c:pt idx="51">
                  <c:v>555</c:v>
                </c:pt>
                <c:pt idx="52">
                  <c:v>560</c:v>
                </c:pt>
                <c:pt idx="53">
                  <c:v>565</c:v>
                </c:pt>
                <c:pt idx="54">
                  <c:v>570</c:v>
                </c:pt>
                <c:pt idx="55">
                  <c:v>575</c:v>
                </c:pt>
                <c:pt idx="56">
                  <c:v>580</c:v>
                </c:pt>
                <c:pt idx="57">
                  <c:v>585</c:v>
                </c:pt>
                <c:pt idx="58">
                  <c:v>590</c:v>
                </c:pt>
                <c:pt idx="59">
                  <c:v>595</c:v>
                </c:pt>
                <c:pt idx="60">
                  <c:v>600</c:v>
                </c:pt>
                <c:pt idx="61">
                  <c:v>605</c:v>
                </c:pt>
                <c:pt idx="62">
                  <c:v>610</c:v>
                </c:pt>
                <c:pt idx="63">
                  <c:v>615</c:v>
                </c:pt>
                <c:pt idx="64">
                  <c:v>620</c:v>
                </c:pt>
                <c:pt idx="65">
                  <c:v>625</c:v>
                </c:pt>
                <c:pt idx="66">
                  <c:v>630</c:v>
                </c:pt>
                <c:pt idx="67">
                  <c:v>635</c:v>
                </c:pt>
                <c:pt idx="68">
                  <c:v>640</c:v>
                </c:pt>
                <c:pt idx="69">
                  <c:v>645</c:v>
                </c:pt>
                <c:pt idx="70">
                  <c:v>650</c:v>
                </c:pt>
                <c:pt idx="71">
                  <c:v>655</c:v>
                </c:pt>
                <c:pt idx="72">
                  <c:v>660</c:v>
                </c:pt>
                <c:pt idx="73">
                  <c:v>665</c:v>
                </c:pt>
                <c:pt idx="74">
                  <c:v>670</c:v>
                </c:pt>
                <c:pt idx="75">
                  <c:v>675</c:v>
                </c:pt>
                <c:pt idx="76">
                  <c:v>680</c:v>
                </c:pt>
                <c:pt idx="77">
                  <c:v>685</c:v>
                </c:pt>
                <c:pt idx="78">
                  <c:v>690</c:v>
                </c:pt>
                <c:pt idx="79">
                  <c:v>695</c:v>
                </c:pt>
                <c:pt idx="80">
                  <c:v>700</c:v>
                </c:pt>
                <c:pt idx="81">
                  <c:v>705</c:v>
                </c:pt>
                <c:pt idx="82">
                  <c:v>710</c:v>
                </c:pt>
                <c:pt idx="83">
                  <c:v>715</c:v>
                </c:pt>
                <c:pt idx="84">
                  <c:v>720</c:v>
                </c:pt>
                <c:pt idx="85">
                  <c:v>725</c:v>
                </c:pt>
                <c:pt idx="86">
                  <c:v>730</c:v>
                </c:pt>
                <c:pt idx="87">
                  <c:v>735</c:v>
                </c:pt>
                <c:pt idx="88">
                  <c:v>740</c:v>
                </c:pt>
                <c:pt idx="89">
                  <c:v>745</c:v>
                </c:pt>
                <c:pt idx="90">
                  <c:v>750</c:v>
                </c:pt>
                <c:pt idx="91">
                  <c:v>755</c:v>
                </c:pt>
                <c:pt idx="92">
                  <c:v>760</c:v>
                </c:pt>
                <c:pt idx="93">
                  <c:v>765</c:v>
                </c:pt>
                <c:pt idx="94">
                  <c:v>770</c:v>
                </c:pt>
                <c:pt idx="95">
                  <c:v>775</c:v>
                </c:pt>
                <c:pt idx="96">
                  <c:v>780</c:v>
                </c:pt>
              </c:numCache>
            </c:numRef>
          </c:xVal>
          <c:yVal>
            <c:numRef>
              <c:f>Calculations!$I$22:$I$118</c:f>
              <c:numCache>
                <c:formatCode>0.000\ 000</c:formatCode>
                <c:ptCount val="97"/>
                <c:pt idx="0">
                  <c:v>6.7295793733108237E-5</c:v>
                </c:pt>
                <c:pt idx="1">
                  <c:v>3.8964108708619419E-4</c:v>
                </c:pt>
                <c:pt idx="2">
                  <c:v>1.2656081255380178E-3</c:v>
                </c:pt>
                <c:pt idx="3">
                  <c:v>3.1706161987220516E-3</c:v>
                </c:pt>
                <c:pt idx="4">
                  <c:v>4.8983251896983172E-3</c:v>
                </c:pt>
                <c:pt idx="5">
                  <c:v>6.4621753538743566E-3</c:v>
                </c:pt>
                <c:pt idx="6">
                  <c:v>7.9135380450880595E-3</c:v>
                </c:pt>
                <c:pt idx="7">
                  <c:v>9.3199926098063695E-3</c:v>
                </c:pt>
                <c:pt idx="8">
                  <c:v>1.0737955167064052E-2</c:v>
                </c:pt>
                <c:pt idx="9">
                  <c:v>1.2189230289433374E-2</c:v>
                </c:pt>
                <c:pt idx="10">
                  <c:v>1.3647548852025718E-2</c:v>
                </c:pt>
                <c:pt idx="11">
                  <c:v>1.49568244550785E-2</c:v>
                </c:pt>
                <c:pt idx="12">
                  <c:v>1.5927576433835817E-2</c:v>
                </c:pt>
                <c:pt idx="13">
                  <c:v>1.6378643782300979E-2</c:v>
                </c:pt>
                <c:pt idx="14">
                  <c:v>1.62291429381748E-2</c:v>
                </c:pt>
                <c:pt idx="15">
                  <c:v>1.5428040841656027E-2</c:v>
                </c:pt>
                <c:pt idx="16">
                  <c:v>1.3907531505615628E-2</c:v>
                </c:pt>
                <c:pt idx="17">
                  <c:v>1.1716098202847813E-2</c:v>
                </c:pt>
                <c:pt idx="18">
                  <c:v>9.1064790649724447E-3</c:v>
                </c:pt>
                <c:pt idx="19">
                  <c:v>6.4736594214959784E-3</c:v>
                </c:pt>
                <c:pt idx="20">
                  <c:v>4.2054783635340331E-3</c:v>
                </c:pt>
                <c:pt idx="21">
                  <c:v>2.5236477510869213E-3</c:v>
                </c:pt>
                <c:pt idx="22">
                  <c:v>1.4268108166640083E-3</c:v>
                </c:pt>
                <c:pt idx="23">
                  <c:v>7.7623092035604651E-4</c:v>
                </c:pt>
                <c:pt idx="24">
                  <c:v>4.1349159118475457E-4</c:v>
                </c:pt>
                <c:pt idx="25">
                  <c:v>2.1843376631753932E-4</c:v>
                </c:pt>
                <c:pt idx="26">
                  <c:v>1.1546650185268262E-4</c:v>
                </c:pt>
                <c:pt idx="27">
                  <c:v>6.1422690123754309E-5</c:v>
                </c:pt>
                <c:pt idx="28">
                  <c:v>3.2949512122739743E-5</c:v>
                </c:pt>
                <c:pt idx="29">
                  <c:v>1.783901483325013E-5</c:v>
                </c:pt>
                <c:pt idx="30">
                  <c:v>9.7615826545548259E-6</c:v>
                </c:pt>
                <c:pt idx="31">
                  <c:v>5.4047523600834093E-6</c:v>
                </c:pt>
                <c:pt idx="32">
                  <c:v>3.0281686795590981E-6</c:v>
                </c:pt>
                <c:pt idx="33">
                  <c:v>1.7164889928177134E-6</c:v>
                </c:pt>
                <c:pt idx="34">
                  <c:v>9.8423223161265974E-7</c:v>
                </c:pt>
                <c:pt idx="35">
                  <c:v>5.7070544622311626E-7</c:v>
                </c:pt>
                <c:pt idx="36">
                  <c:v>3.3432246777696992E-7</c:v>
                </c:pt>
                <c:pt idx="37">
                  <c:v>1.9774876472611783E-7</c:v>
                </c:pt>
                <c:pt idx="38">
                  <c:v>1.1830002332913584E-7</c:v>
                </c:pt>
                <c:pt idx="39">
                  <c:v>7.1675184256950241E-8</c:v>
                </c:pt>
                <c:pt idx="40">
                  <c:v>4.3891612616945429E-8</c:v>
                </c:pt>
                <c:pt idx="41">
                  <c:v>2.7105560717407766E-8</c:v>
                </c:pt>
                <c:pt idx="42">
                  <c:v>1.6885038094656561E-8</c:v>
                </c:pt>
                <c:pt idx="43">
                  <c:v>1.0616392503643734E-8</c:v>
                </c:pt>
                <c:pt idx="44">
                  <c:v>6.735281921429956E-9</c:v>
                </c:pt>
                <c:pt idx="45">
                  <c:v>4.3095344222274009E-9</c:v>
                </c:pt>
                <c:pt idx="46">
                  <c:v>2.7800126232937255E-9</c:v>
                </c:pt>
                <c:pt idx="47">
                  <c:v>1.8076524672885432E-9</c:v>
                </c:pt>
                <c:pt idx="48">
                  <c:v>1.1850522283774318E-9</c:v>
                </c:pt>
                <c:pt idx="49">
                  <c:v>7.8339326806285727E-10</c:v>
                </c:pt>
                <c:pt idx="50">
                  <c:v>5.2187565392157511E-10</c:v>
                </c:pt>
                <c:pt idx="51">
                  <c:v>3.5011374045268933E-10</c:v>
                </c:pt>
                <c:pt idx="52">
                  <c:v>2.3652635170791681E-10</c:v>
                </c:pt>
                <c:pt idx="53">
                  <c:v>1.6092242832869873E-10</c:v>
                </c:pt>
                <c:pt idx="54">
                  <c:v>1.1026916470500294E-10</c:v>
                </c:pt>
                <c:pt idx="55">
                  <c:v>7.6097094138547922E-11</c:v>
                </c:pt>
                <c:pt idx="56">
                  <c:v>5.285747380971896E-11</c:v>
                </c:pt>
                <c:pt idx="57">
                  <c:v>3.693399271399533E-11</c:v>
                </c:pt>
                <c:pt idx="58">
                  <c:v>2.5961893326511563E-11</c:v>
                </c:pt>
                <c:pt idx="59">
                  <c:v>1.8360610971935784E-11</c:v>
                </c:pt>
                <c:pt idx="60">
                  <c:v>1.306304730341289E-11</c:v>
                </c:pt>
                <c:pt idx="61">
                  <c:v>9.3480952093010751E-12</c:v>
                </c:pt>
                <c:pt idx="62">
                  <c:v>6.7253231563877751E-12</c:v>
                </c:pt>
                <c:pt idx="63">
                  <c:v>4.8619810541640511E-12</c:v>
                </c:pt>
                <c:pt idx="64">
                  <c:v>3.5316021974728474E-12</c:v>
                </c:pt>
                <c:pt idx="65">
                  <c:v>2.5776623985281285E-12</c:v>
                </c:pt>
                <c:pt idx="66">
                  <c:v>1.8915505208033859E-12</c:v>
                </c:pt>
                <c:pt idx="67">
                  <c:v>1.3960829807803437E-12</c:v>
                </c:pt>
                <c:pt idx="68">
                  <c:v>1.0355091485660142E-12</c:v>
                </c:pt>
                <c:pt idx="69">
                  <c:v>7.7126401555775632E-13</c:v>
                </c:pt>
                <c:pt idx="70">
                  <c:v>5.771030527705028E-13</c:v>
                </c:pt>
                <c:pt idx="71">
                  <c:v>4.3401207857047177E-13</c:v>
                </c:pt>
                <c:pt idx="72">
                  <c:v>3.2780985947729202E-13</c:v>
                </c:pt>
                <c:pt idx="73">
                  <c:v>2.4847141060914399E-13</c:v>
                </c:pt>
                <c:pt idx="74">
                  <c:v>1.8905732009030787E-13</c:v>
                </c:pt>
                <c:pt idx="75">
                  <c:v>1.444633829005985E-13</c:v>
                </c:pt>
                <c:pt idx="76">
                  <c:v>1.1084459474971941E-13</c:v>
                </c:pt>
                <c:pt idx="77">
                  <c:v>8.5381795172669721E-14</c:v>
                </c:pt>
                <c:pt idx="78">
                  <c:v>6.6019583721521894E-14</c:v>
                </c:pt>
                <c:pt idx="79">
                  <c:v>5.1240781331439293E-14</c:v>
                </c:pt>
                <c:pt idx="80">
                  <c:v>3.991846835853653E-14</c:v>
                </c:pt>
                <c:pt idx="81">
                  <c:v>3.1178589874075725E-14</c:v>
                </c:pt>
                <c:pt idx="82">
                  <c:v>2.4438372054057086E-14</c:v>
                </c:pt>
                <c:pt idx="83">
                  <c:v>1.9221574609291128E-14</c:v>
                </c:pt>
                <c:pt idx="84">
                  <c:v>1.5169634627140191E-14</c:v>
                </c:pt>
                <c:pt idx="85">
                  <c:v>1.2011581731648629E-14</c:v>
                </c:pt>
                <c:pt idx="86">
                  <c:v>9.5418919172240377E-15</c:v>
                </c:pt>
                <c:pt idx="87">
                  <c:v>7.6041223869887899E-15</c:v>
                </c:pt>
                <c:pt idx="88">
                  <c:v>6.0787726446729007E-15</c:v>
                </c:pt>
                <c:pt idx="89">
                  <c:v>4.8742470818202228E-15</c:v>
                </c:pt>
                <c:pt idx="90">
                  <c:v>3.9201022033560702E-15</c:v>
                </c:pt>
                <c:pt idx="91">
                  <c:v>3.1619829821613381E-15</c:v>
                </c:pt>
                <c:pt idx="92">
                  <c:v>2.5578125749960935E-15</c:v>
                </c:pt>
                <c:pt idx="93">
                  <c:v>2.0749153524913867E-15</c:v>
                </c:pt>
                <c:pt idx="94">
                  <c:v>1.6878373389600225E-15</c:v>
                </c:pt>
                <c:pt idx="95">
                  <c:v>1.3766895640628896E-15</c:v>
                </c:pt>
                <c:pt idx="96">
                  <c:v>1.1258848026395724E-15</c:v>
                </c:pt>
              </c:numCache>
            </c:numRef>
          </c:yVal>
          <c:smooth val="0"/>
          <c:extLst>
            <c:ext xmlns:c16="http://schemas.microsoft.com/office/drawing/2014/chart" uri="{C3380CC4-5D6E-409C-BE32-E72D297353CC}">
              <c16:uniqueId val="{00000000-C526-4F9B-9DDB-F969ADF80346}"/>
            </c:ext>
          </c:extLst>
        </c:ser>
        <c:ser>
          <c:idx val="3"/>
          <c:order val="1"/>
          <c:tx>
            <c:strRef>
              <c:f>Calculations!$J$21</c:f>
              <c:strCache>
                <c:ptCount val="1"/>
                <c:pt idx="0">
                  <c:v>Melanopsin</c:v>
                </c:pt>
              </c:strCache>
            </c:strRef>
          </c:tx>
          <c:spPr>
            <a:ln>
              <a:solidFill>
                <a:schemeClr val="tx1">
                  <a:lumMod val="50000"/>
                  <a:lumOff val="50000"/>
                </a:schemeClr>
              </a:solidFill>
              <a:prstDash val="sysDash"/>
            </a:ln>
          </c:spPr>
          <c:marker>
            <c:symbol val="none"/>
          </c:marker>
          <c:xVal>
            <c:numRef>
              <c:f>Calculations!$H$22:$H$118</c:f>
              <c:numCache>
                <c:formatCode>General</c:formatCode>
                <c:ptCount val="97"/>
                <c:pt idx="0">
                  <c:v>300</c:v>
                </c:pt>
                <c:pt idx="1">
                  <c:v>305</c:v>
                </c:pt>
                <c:pt idx="2">
                  <c:v>310</c:v>
                </c:pt>
                <c:pt idx="3">
                  <c:v>315</c:v>
                </c:pt>
                <c:pt idx="4">
                  <c:v>320</c:v>
                </c:pt>
                <c:pt idx="5">
                  <c:v>325</c:v>
                </c:pt>
                <c:pt idx="6">
                  <c:v>330</c:v>
                </c:pt>
                <c:pt idx="7">
                  <c:v>335</c:v>
                </c:pt>
                <c:pt idx="8">
                  <c:v>340</c:v>
                </c:pt>
                <c:pt idx="9">
                  <c:v>345</c:v>
                </c:pt>
                <c:pt idx="10">
                  <c:v>350</c:v>
                </c:pt>
                <c:pt idx="11">
                  <c:v>355</c:v>
                </c:pt>
                <c:pt idx="12">
                  <c:v>360</c:v>
                </c:pt>
                <c:pt idx="13">
                  <c:v>365</c:v>
                </c:pt>
                <c:pt idx="14">
                  <c:v>370</c:v>
                </c:pt>
                <c:pt idx="15">
                  <c:v>375</c:v>
                </c:pt>
                <c:pt idx="16">
                  <c:v>380</c:v>
                </c:pt>
                <c:pt idx="17">
                  <c:v>385</c:v>
                </c:pt>
                <c:pt idx="18">
                  <c:v>390</c:v>
                </c:pt>
                <c:pt idx="19">
                  <c:v>395</c:v>
                </c:pt>
                <c:pt idx="20">
                  <c:v>400</c:v>
                </c:pt>
                <c:pt idx="21">
                  <c:v>405</c:v>
                </c:pt>
                <c:pt idx="22">
                  <c:v>410</c:v>
                </c:pt>
                <c:pt idx="23">
                  <c:v>415</c:v>
                </c:pt>
                <c:pt idx="24">
                  <c:v>420</c:v>
                </c:pt>
                <c:pt idx="25">
                  <c:v>425</c:v>
                </c:pt>
                <c:pt idx="26">
                  <c:v>430</c:v>
                </c:pt>
                <c:pt idx="27">
                  <c:v>435</c:v>
                </c:pt>
                <c:pt idx="28">
                  <c:v>440</c:v>
                </c:pt>
                <c:pt idx="29">
                  <c:v>445</c:v>
                </c:pt>
                <c:pt idx="30">
                  <c:v>450</c:v>
                </c:pt>
                <c:pt idx="31">
                  <c:v>455</c:v>
                </c:pt>
                <c:pt idx="32">
                  <c:v>460</c:v>
                </c:pt>
                <c:pt idx="33">
                  <c:v>465</c:v>
                </c:pt>
                <c:pt idx="34">
                  <c:v>470</c:v>
                </c:pt>
                <c:pt idx="35">
                  <c:v>475</c:v>
                </c:pt>
                <c:pt idx="36">
                  <c:v>480</c:v>
                </c:pt>
                <c:pt idx="37">
                  <c:v>485</c:v>
                </c:pt>
                <c:pt idx="38">
                  <c:v>490</c:v>
                </c:pt>
                <c:pt idx="39">
                  <c:v>495</c:v>
                </c:pt>
                <c:pt idx="40">
                  <c:v>500</c:v>
                </c:pt>
                <c:pt idx="41">
                  <c:v>505</c:v>
                </c:pt>
                <c:pt idx="42">
                  <c:v>510</c:v>
                </c:pt>
                <c:pt idx="43">
                  <c:v>515</c:v>
                </c:pt>
                <c:pt idx="44">
                  <c:v>520</c:v>
                </c:pt>
                <c:pt idx="45">
                  <c:v>525</c:v>
                </c:pt>
                <c:pt idx="46">
                  <c:v>530</c:v>
                </c:pt>
                <c:pt idx="47">
                  <c:v>535</c:v>
                </c:pt>
                <c:pt idx="48">
                  <c:v>540</c:v>
                </c:pt>
                <c:pt idx="49">
                  <c:v>545</c:v>
                </c:pt>
                <c:pt idx="50">
                  <c:v>550</c:v>
                </c:pt>
                <c:pt idx="51">
                  <c:v>555</c:v>
                </c:pt>
                <c:pt idx="52">
                  <c:v>560</c:v>
                </c:pt>
                <c:pt idx="53">
                  <c:v>565</c:v>
                </c:pt>
                <c:pt idx="54">
                  <c:v>570</c:v>
                </c:pt>
                <c:pt idx="55">
                  <c:v>575</c:v>
                </c:pt>
                <c:pt idx="56">
                  <c:v>580</c:v>
                </c:pt>
                <c:pt idx="57">
                  <c:v>585</c:v>
                </c:pt>
                <c:pt idx="58">
                  <c:v>590</c:v>
                </c:pt>
                <c:pt idx="59">
                  <c:v>595</c:v>
                </c:pt>
                <c:pt idx="60">
                  <c:v>600</c:v>
                </c:pt>
                <c:pt idx="61">
                  <c:v>605</c:v>
                </c:pt>
                <c:pt idx="62">
                  <c:v>610</c:v>
                </c:pt>
                <c:pt idx="63">
                  <c:v>615</c:v>
                </c:pt>
                <c:pt idx="64">
                  <c:v>620</c:v>
                </c:pt>
                <c:pt idx="65">
                  <c:v>625</c:v>
                </c:pt>
                <c:pt idx="66">
                  <c:v>630</c:v>
                </c:pt>
                <c:pt idx="67">
                  <c:v>635</c:v>
                </c:pt>
                <c:pt idx="68">
                  <c:v>640</c:v>
                </c:pt>
                <c:pt idx="69">
                  <c:v>645</c:v>
                </c:pt>
                <c:pt idx="70">
                  <c:v>650</c:v>
                </c:pt>
                <c:pt idx="71">
                  <c:v>655</c:v>
                </c:pt>
                <c:pt idx="72">
                  <c:v>660</c:v>
                </c:pt>
                <c:pt idx="73">
                  <c:v>665</c:v>
                </c:pt>
                <c:pt idx="74">
                  <c:v>670</c:v>
                </c:pt>
                <c:pt idx="75">
                  <c:v>675</c:v>
                </c:pt>
                <c:pt idx="76">
                  <c:v>680</c:v>
                </c:pt>
                <c:pt idx="77">
                  <c:v>685</c:v>
                </c:pt>
                <c:pt idx="78">
                  <c:v>690</c:v>
                </c:pt>
                <c:pt idx="79">
                  <c:v>695</c:v>
                </c:pt>
                <c:pt idx="80">
                  <c:v>700</c:v>
                </c:pt>
                <c:pt idx="81">
                  <c:v>705</c:v>
                </c:pt>
                <c:pt idx="82">
                  <c:v>710</c:v>
                </c:pt>
                <c:pt idx="83">
                  <c:v>715</c:v>
                </c:pt>
                <c:pt idx="84">
                  <c:v>720</c:v>
                </c:pt>
                <c:pt idx="85">
                  <c:v>725</c:v>
                </c:pt>
                <c:pt idx="86">
                  <c:v>730</c:v>
                </c:pt>
                <c:pt idx="87">
                  <c:v>735</c:v>
                </c:pt>
                <c:pt idx="88">
                  <c:v>740</c:v>
                </c:pt>
                <c:pt idx="89">
                  <c:v>745</c:v>
                </c:pt>
                <c:pt idx="90">
                  <c:v>750</c:v>
                </c:pt>
                <c:pt idx="91">
                  <c:v>755</c:v>
                </c:pt>
                <c:pt idx="92">
                  <c:v>760</c:v>
                </c:pt>
                <c:pt idx="93">
                  <c:v>765</c:v>
                </c:pt>
                <c:pt idx="94">
                  <c:v>770</c:v>
                </c:pt>
                <c:pt idx="95">
                  <c:v>775</c:v>
                </c:pt>
                <c:pt idx="96">
                  <c:v>780</c:v>
                </c:pt>
              </c:numCache>
            </c:numRef>
          </c:xVal>
          <c:yVal>
            <c:numRef>
              <c:f>Calculations!$J$22:$J$118</c:f>
              <c:numCache>
                <c:formatCode>0.000\ 000</c:formatCode>
                <c:ptCount val="97"/>
                <c:pt idx="0">
                  <c:v>6.6280378484766271E-6</c:v>
                </c:pt>
                <c:pt idx="1">
                  <c:v>3.9090061290117045E-5</c:v>
                </c:pt>
                <c:pt idx="2">
                  <c:v>1.2972850062796512E-4</c:v>
                </c:pt>
                <c:pt idx="3">
                  <c:v>3.3087997141125901E-4</c:v>
                </c:pt>
                <c:pt idx="4">
                  <c:v>5.1560163129242814E-4</c:v>
                </c:pt>
                <c:pt idx="5">
                  <c:v>6.7705514739223023E-4</c:v>
                </c:pt>
                <c:pt idx="6">
                  <c:v>8.1320534083236342E-4</c:v>
                </c:pt>
                <c:pt idx="7">
                  <c:v>9.2661688906860011E-4</c:v>
                </c:pt>
                <c:pt idx="8">
                  <c:v>1.0220912966764305E-3</c:v>
                </c:pt>
                <c:pt idx="9">
                  <c:v>1.1041350324334875E-3</c:v>
                </c:pt>
                <c:pt idx="10">
                  <c:v>1.1758281622425643E-3</c:v>
                </c:pt>
                <c:pt idx="11">
                  <c:v>1.2327310596231371E-3</c:v>
                </c:pt>
                <c:pt idx="12">
                  <c:v>1.272362742905602E-3</c:v>
                </c:pt>
                <c:pt idx="13">
                  <c:v>1.2963763381408551E-3</c:v>
                </c:pt>
                <c:pt idx="14">
                  <c:v>1.3154956208686183E-3</c:v>
                </c:pt>
                <c:pt idx="15">
                  <c:v>1.3419704641672229E-3</c:v>
                </c:pt>
                <c:pt idx="16">
                  <c:v>1.3830246322871374E-3</c:v>
                </c:pt>
                <c:pt idx="17">
                  <c:v>1.4459780383233739E-3</c:v>
                </c:pt>
                <c:pt idx="18">
                  <c:v>1.5416179938092314E-3</c:v>
                </c:pt>
                <c:pt idx="19">
                  <c:v>1.6805967418603753E-3</c:v>
                </c:pt>
                <c:pt idx="20">
                  <c:v>1.8697790951377809E-3</c:v>
                </c:pt>
                <c:pt idx="21">
                  <c:v>2.113582371863593E-3</c:v>
                </c:pt>
                <c:pt idx="22">
                  <c:v>2.4160976113701623E-3</c:v>
                </c:pt>
                <c:pt idx="23">
                  <c:v>2.7794086571344347E-3</c:v>
                </c:pt>
                <c:pt idx="24">
                  <c:v>3.2023323023390058E-3</c:v>
                </c:pt>
                <c:pt idx="25">
                  <c:v>3.6811828632936049E-3</c:v>
                </c:pt>
                <c:pt idx="26">
                  <c:v>4.2118212313296535E-3</c:v>
                </c:pt>
                <c:pt idx="27">
                  <c:v>4.7878414648929802E-3</c:v>
                </c:pt>
                <c:pt idx="28">
                  <c:v>5.3937338427700347E-3</c:v>
                </c:pt>
                <c:pt idx="29">
                  <c:v>6.009811558030596E-3</c:v>
                </c:pt>
                <c:pt idx="30">
                  <c:v>6.6218669060010785E-3</c:v>
                </c:pt>
                <c:pt idx="31">
                  <c:v>7.2166681236926124E-3</c:v>
                </c:pt>
                <c:pt idx="32">
                  <c:v>7.7758417354189448E-3</c:v>
                </c:pt>
                <c:pt idx="33">
                  <c:v>8.2786656531648305E-3</c:v>
                </c:pt>
                <c:pt idx="34">
                  <c:v>8.7046059601604032E-3</c:v>
                </c:pt>
                <c:pt idx="35">
                  <c:v>9.0315129325561488E-3</c:v>
                </c:pt>
                <c:pt idx="36">
                  <c:v>9.2318254486775438E-3</c:v>
                </c:pt>
                <c:pt idx="37">
                  <c:v>9.2837763278830285E-3</c:v>
                </c:pt>
                <c:pt idx="38">
                  <c:v>9.1915078896547785E-3</c:v>
                </c:pt>
                <c:pt idx="39">
                  <c:v>8.962687761813623E-3</c:v>
                </c:pt>
                <c:pt idx="40">
                  <c:v>8.5823534545477909E-3</c:v>
                </c:pt>
                <c:pt idx="41">
                  <c:v>8.0467753468769845E-3</c:v>
                </c:pt>
                <c:pt idx="42">
                  <c:v>7.38574546403282E-3</c:v>
                </c:pt>
                <c:pt idx="43">
                  <c:v>6.6389896666064763E-3</c:v>
                </c:pt>
                <c:pt idx="44">
                  <c:v>5.8424554547682681E-3</c:v>
                </c:pt>
                <c:pt idx="45">
                  <c:v>5.0307931972794024E-3</c:v>
                </c:pt>
                <c:pt idx="46">
                  <c:v>4.2359683853476875E-3</c:v>
                </c:pt>
                <c:pt idx="47">
                  <c:v>3.4848829210275454E-3</c:v>
                </c:pt>
                <c:pt idx="48">
                  <c:v>2.7991560906022997E-3</c:v>
                </c:pt>
                <c:pt idx="49">
                  <c:v>2.1929837569617202E-3</c:v>
                </c:pt>
                <c:pt idx="50">
                  <c:v>1.6730425417387518E-3</c:v>
                </c:pt>
                <c:pt idx="51">
                  <c:v>1.2416078262698577E-3</c:v>
                </c:pt>
                <c:pt idx="52">
                  <c:v>8.9684229248953337E-4</c:v>
                </c:pt>
                <c:pt idx="53">
                  <c:v>6.3175683833192648E-4</c:v>
                </c:pt>
                <c:pt idx="54">
                  <c:v>4.3534253292977639E-4</c:v>
                </c:pt>
                <c:pt idx="55">
                  <c:v>2.9458091397549177E-4</c:v>
                </c:pt>
                <c:pt idx="56">
                  <c:v>1.9644809931968827E-4</c:v>
                </c:pt>
                <c:pt idx="57">
                  <c:v>1.295750170144901E-4</c:v>
                </c:pt>
                <c:pt idx="58">
                  <c:v>8.4854786252833441E-5</c:v>
                </c:pt>
                <c:pt idx="59">
                  <c:v>5.5357174505016481E-5</c:v>
                </c:pt>
                <c:pt idx="60">
                  <c:v>3.606938212437628E-5</c:v>
                </c:pt>
                <c:pt idx="61">
                  <c:v>2.3518347106653479E-5</c:v>
                </c:pt>
                <c:pt idx="62">
                  <c:v>1.5363271515468019E-5</c:v>
                </c:pt>
                <c:pt idx="63">
                  <c:v>1.0062684017426826E-5</c:v>
                </c:pt>
                <c:pt idx="64">
                  <c:v>6.6138826388859222E-6</c:v>
                </c:pt>
                <c:pt idx="65">
                  <c:v>4.3657153348702056E-6</c:v>
                </c:pt>
                <c:pt idx="66">
                  <c:v>2.8972047145737207E-6</c:v>
                </c:pt>
                <c:pt idx="67">
                  <c:v>1.9344518358978106E-6</c:v>
                </c:pt>
                <c:pt idx="68">
                  <c:v>1.2988556562253591E-6</c:v>
                </c:pt>
                <c:pt idx="69">
                  <c:v>8.7646095641225234E-7</c:v>
                </c:pt>
                <c:pt idx="70">
                  <c:v>5.9474401249411729E-7</c:v>
                </c:pt>
                <c:pt idx="71">
                  <c:v>4.0606357094630775E-7</c:v>
                </c:pt>
                <c:pt idx="72">
                  <c:v>2.7875829463104441E-7</c:v>
                </c:pt>
                <c:pt idx="73">
                  <c:v>1.9227078138206786E-7</c:v>
                </c:pt>
                <c:pt idx="74">
                  <c:v>1.332878965824875E-7</c:v>
                </c:pt>
                <c:pt idx="75">
                  <c:v>9.2907484109072719E-8</c:v>
                </c:pt>
                <c:pt idx="76">
                  <c:v>6.5108899542673067E-8</c:v>
                </c:pt>
                <c:pt idx="77">
                  <c:v>4.5862739746723968E-8</c:v>
                </c:pt>
                <c:pt idx="78">
                  <c:v>3.2468991096591579E-8</c:v>
                </c:pt>
                <c:pt idx="79">
                  <c:v>2.3101504365498487E-8</c:v>
                </c:pt>
                <c:pt idx="80">
                  <c:v>1.6517627906037477E-8</c:v>
                </c:pt>
                <c:pt idx="81">
                  <c:v>1.1854768303458154E-8</c:v>
                </c:pt>
                <c:pt idx="82">
                  <c:v>8.5482513989447199E-9</c:v>
                </c:pt>
                <c:pt idx="83">
                  <c:v>6.1924103607680464E-9</c:v>
                </c:pt>
                <c:pt idx="84">
                  <c:v>4.5060961045826103E-9</c:v>
                </c:pt>
                <c:pt idx="85">
                  <c:v>3.2935194485710933E-9</c:v>
                </c:pt>
                <c:pt idx="86">
                  <c:v>2.4176901591982954E-9</c:v>
                </c:pt>
                <c:pt idx="87">
                  <c:v>1.7823133826252363E-9</c:v>
                </c:pt>
                <c:pt idx="88">
                  <c:v>1.3193916595986535E-9</c:v>
                </c:pt>
                <c:pt idx="89">
                  <c:v>9.8069444737650262E-10</c:v>
                </c:pt>
                <c:pt idx="90">
                  <c:v>7.3186156003206712E-10</c:v>
                </c:pt>
                <c:pt idx="91">
                  <c:v>5.4830873253878715E-10</c:v>
                </c:pt>
                <c:pt idx="92">
                  <c:v>4.1237183186708817E-10</c:v>
                </c:pt>
                <c:pt idx="93">
                  <c:v>3.1130625243930127E-10</c:v>
                </c:pt>
                <c:pt idx="94">
                  <c:v>2.3587935878523648E-10</c:v>
                </c:pt>
                <c:pt idx="95">
                  <c:v>1.7937597943144098E-10</c:v>
                </c:pt>
                <c:pt idx="96">
                  <c:v>1.3689281675952861E-10</c:v>
                </c:pt>
              </c:numCache>
            </c:numRef>
          </c:yVal>
          <c:smooth val="0"/>
          <c:extLst>
            <c:ext xmlns:c16="http://schemas.microsoft.com/office/drawing/2014/chart" uri="{C3380CC4-5D6E-409C-BE32-E72D297353CC}">
              <c16:uniqueId val="{00000001-C526-4F9B-9DDB-F969ADF80346}"/>
            </c:ext>
          </c:extLst>
        </c:ser>
        <c:ser>
          <c:idx val="2"/>
          <c:order val="2"/>
          <c:tx>
            <c:strRef>
              <c:f>Calculations!$K$21</c:f>
              <c:strCache>
                <c:ptCount val="1"/>
                <c:pt idx="0">
                  <c:v>Rod</c:v>
                </c:pt>
              </c:strCache>
            </c:strRef>
          </c:tx>
          <c:spPr>
            <a:ln>
              <a:solidFill>
                <a:schemeClr val="tx1"/>
              </a:solidFill>
              <a:prstDash val="solid"/>
            </a:ln>
          </c:spPr>
          <c:marker>
            <c:symbol val="none"/>
          </c:marker>
          <c:xVal>
            <c:numRef>
              <c:f>Calculations!$H$22:$H$118</c:f>
              <c:numCache>
                <c:formatCode>General</c:formatCode>
                <c:ptCount val="97"/>
                <c:pt idx="0">
                  <c:v>300</c:v>
                </c:pt>
                <c:pt idx="1">
                  <c:v>305</c:v>
                </c:pt>
                <c:pt idx="2">
                  <c:v>310</c:v>
                </c:pt>
                <c:pt idx="3">
                  <c:v>315</c:v>
                </c:pt>
                <c:pt idx="4">
                  <c:v>320</c:v>
                </c:pt>
                <c:pt idx="5">
                  <c:v>325</c:v>
                </c:pt>
                <c:pt idx="6">
                  <c:v>330</c:v>
                </c:pt>
                <c:pt idx="7">
                  <c:v>335</c:v>
                </c:pt>
                <c:pt idx="8">
                  <c:v>340</c:v>
                </c:pt>
                <c:pt idx="9">
                  <c:v>345</c:v>
                </c:pt>
                <c:pt idx="10">
                  <c:v>350</c:v>
                </c:pt>
                <c:pt idx="11">
                  <c:v>355</c:v>
                </c:pt>
                <c:pt idx="12">
                  <c:v>360</c:v>
                </c:pt>
                <c:pt idx="13">
                  <c:v>365</c:v>
                </c:pt>
                <c:pt idx="14">
                  <c:v>370</c:v>
                </c:pt>
                <c:pt idx="15">
                  <c:v>375</c:v>
                </c:pt>
                <c:pt idx="16">
                  <c:v>380</c:v>
                </c:pt>
                <c:pt idx="17">
                  <c:v>385</c:v>
                </c:pt>
                <c:pt idx="18">
                  <c:v>390</c:v>
                </c:pt>
                <c:pt idx="19">
                  <c:v>395</c:v>
                </c:pt>
                <c:pt idx="20">
                  <c:v>400</c:v>
                </c:pt>
                <c:pt idx="21">
                  <c:v>405</c:v>
                </c:pt>
                <c:pt idx="22">
                  <c:v>410</c:v>
                </c:pt>
                <c:pt idx="23">
                  <c:v>415</c:v>
                </c:pt>
                <c:pt idx="24">
                  <c:v>420</c:v>
                </c:pt>
                <c:pt idx="25">
                  <c:v>425</c:v>
                </c:pt>
                <c:pt idx="26">
                  <c:v>430</c:v>
                </c:pt>
                <c:pt idx="27">
                  <c:v>435</c:v>
                </c:pt>
                <c:pt idx="28">
                  <c:v>440</c:v>
                </c:pt>
                <c:pt idx="29">
                  <c:v>445</c:v>
                </c:pt>
                <c:pt idx="30">
                  <c:v>450</c:v>
                </c:pt>
                <c:pt idx="31">
                  <c:v>455</c:v>
                </c:pt>
                <c:pt idx="32">
                  <c:v>460</c:v>
                </c:pt>
                <c:pt idx="33">
                  <c:v>465</c:v>
                </c:pt>
                <c:pt idx="34">
                  <c:v>470</c:v>
                </c:pt>
                <c:pt idx="35">
                  <c:v>475</c:v>
                </c:pt>
                <c:pt idx="36">
                  <c:v>480</c:v>
                </c:pt>
                <c:pt idx="37">
                  <c:v>485</c:v>
                </c:pt>
                <c:pt idx="38">
                  <c:v>490</c:v>
                </c:pt>
                <c:pt idx="39">
                  <c:v>495</c:v>
                </c:pt>
                <c:pt idx="40">
                  <c:v>500</c:v>
                </c:pt>
                <c:pt idx="41">
                  <c:v>505</c:v>
                </c:pt>
                <c:pt idx="42">
                  <c:v>510</c:v>
                </c:pt>
                <c:pt idx="43">
                  <c:v>515</c:v>
                </c:pt>
                <c:pt idx="44">
                  <c:v>520</c:v>
                </c:pt>
                <c:pt idx="45">
                  <c:v>525</c:v>
                </c:pt>
                <c:pt idx="46">
                  <c:v>530</c:v>
                </c:pt>
                <c:pt idx="47">
                  <c:v>535</c:v>
                </c:pt>
                <c:pt idx="48">
                  <c:v>540</c:v>
                </c:pt>
                <c:pt idx="49">
                  <c:v>545</c:v>
                </c:pt>
                <c:pt idx="50">
                  <c:v>550</c:v>
                </c:pt>
                <c:pt idx="51">
                  <c:v>555</c:v>
                </c:pt>
                <c:pt idx="52">
                  <c:v>560</c:v>
                </c:pt>
                <c:pt idx="53">
                  <c:v>565</c:v>
                </c:pt>
                <c:pt idx="54">
                  <c:v>570</c:v>
                </c:pt>
                <c:pt idx="55">
                  <c:v>575</c:v>
                </c:pt>
                <c:pt idx="56">
                  <c:v>580</c:v>
                </c:pt>
                <c:pt idx="57">
                  <c:v>585</c:v>
                </c:pt>
                <c:pt idx="58">
                  <c:v>590</c:v>
                </c:pt>
                <c:pt idx="59">
                  <c:v>595</c:v>
                </c:pt>
                <c:pt idx="60">
                  <c:v>600</c:v>
                </c:pt>
                <c:pt idx="61">
                  <c:v>605</c:v>
                </c:pt>
                <c:pt idx="62">
                  <c:v>610</c:v>
                </c:pt>
                <c:pt idx="63">
                  <c:v>615</c:v>
                </c:pt>
                <c:pt idx="64">
                  <c:v>620</c:v>
                </c:pt>
                <c:pt idx="65">
                  <c:v>625</c:v>
                </c:pt>
                <c:pt idx="66">
                  <c:v>630</c:v>
                </c:pt>
                <c:pt idx="67">
                  <c:v>635</c:v>
                </c:pt>
                <c:pt idx="68">
                  <c:v>640</c:v>
                </c:pt>
                <c:pt idx="69">
                  <c:v>645</c:v>
                </c:pt>
                <c:pt idx="70">
                  <c:v>650</c:v>
                </c:pt>
                <c:pt idx="71">
                  <c:v>655</c:v>
                </c:pt>
                <c:pt idx="72">
                  <c:v>660</c:v>
                </c:pt>
                <c:pt idx="73">
                  <c:v>665</c:v>
                </c:pt>
                <c:pt idx="74">
                  <c:v>670</c:v>
                </c:pt>
                <c:pt idx="75">
                  <c:v>675</c:v>
                </c:pt>
                <c:pt idx="76">
                  <c:v>680</c:v>
                </c:pt>
                <c:pt idx="77">
                  <c:v>685</c:v>
                </c:pt>
                <c:pt idx="78">
                  <c:v>690</c:v>
                </c:pt>
                <c:pt idx="79">
                  <c:v>695</c:v>
                </c:pt>
                <c:pt idx="80">
                  <c:v>700</c:v>
                </c:pt>
                <c:pt idx="81">
                  <c:v>705</c:v>
                </c:pt>
                <c:pt idx="82">
                  <c:v>710</c:v>
                </c:pt>
                <c:pt idx="83">
                  <c:v>715</c:v>
                </c:pt>
                <c:pt idx="84">
                  <c:v>720</c:v>
                </c:pt>
                <c:pt idx="85">
                  <c:v>725</c:v>
                </c:pt>
                <c:pt idx="86">
                  <c:v>730</c:v>
                </c:pt>
                <c:pt idx="87">
                  <c:v>735</c:v>
                </c:pt>
                <c:pt idx="88">
                  <c:v>740</c:v>
                </c:pt>
                <c:pt idx="89">
                  <c:v>745</c:v>
                </c:pt>
                <c:pt idx="90">
                  <c:v>750</c:v>
                </c:pt>
                <c:pt idx="91">
                  <c:v>755</c:v>
                </c:pt>
                <c:pt idx="92">
                  <c:v>760</c:v>
                </c:pt>
                <c:pt idx="93">
                  <c:v>765</c:v>
                </c:pt>
                <c:pt idx="94">
                  <c:v>770</c:v>
                </c:pt>
                <c:pt idx="95">
                  <c:v>775</c:v>
                </c:pt>
                <c:pt idx="96">
                  <c:v>780</c:v>
                </c:pt>
              </c:numCache>
            </c:numRef>
          </c:xVal>
          <c:yVal>
            <c:numRef>
              <c:f>Calculations!$K$22:$K$118</c:f>
              <c:numCache>
                <c:formatCode>0.000\ 000</c:formatCode>
                <c:ptCount val="97"/>
                <c:pt idx="0">
                  <c:v>5.5019122199468094E-6</c:v>
                </c:pt>
                <c:pt idx="1">
                  <c:v>3.2480295066085918E-5</c:v>
                </c:pt>
                <c:pt idx="2">
                  <c:v>1.0810607462639439E-4</c:v>
                </c:pt>
                <c:pt idx="3">
                  <c:v>2.7704479544616006E-4</c:v>
                </c:pt>
                <c:pt idx="4">
                  <c:v>4.3452719251130359E-4</c:v>
                </c:pt>
                <c:pt idx="5">
                  <c:v>5.7523376655875416E-4</c:v>
                </c:pt>
                <c:pt idx="6">
                  <c:v>6.9749731851297407E-4</c:v>
                </c:pt>
                <c:pt idx="7">
                  <c:v>8.0323270102926315E-4</c:v>
                </c:pt>
                <c:pt idx="8">
                  <c:v>8.9603801100684424E-4</c:v>
                </c:pt>
                <c:pt idx="9">
                  <c:v>9.7903423037456008E-4</c:v>
                </c:pt>
                <c:pt idx="10">
                  <c:v>1.0537778143226487E-3</c:v>
                </c:pt>
                <c:pt idx="11">
                  <c:v>1.1145793404969003E-3</c:v>
                </c:pt>
                <c:pt idx="12">
                  <c:v>1.1567994668492448E-3</c:v>
                </c:pt>
                <c:pt idx="13">
                  <c:v>1.1790662196382461E-3</c:v>
                </c:pt>
                <c:pt idx="14">
                  <c:v>1.1881208374101922E-3</c:v>
                </c:pt>
                <c:pt idx="15">
                  <c:v>1.1920772472057614E-3</c:v>
                </c:pt>
                <c:pt idx="16">
                  <c:v>1.1946318561463765E-3</c:v>
                </c:pt>
                <c:pt idx="17">
                  <c:v>1.2001399812706043E-3</c:v>
                </c:pt>
                <c:pt idx="18">
                  <c:v>1.2167309647978155E-3</c:v>
                </c:pt>
                <c:pt idx="19">
                  <c:v>1.2531341362650367E-3</c:v>
                </c:pt>
                <c:pt idx="20">
                  <c:v>1.3160761014110233E-3</c:v>
                </c:pt>
                <c:pt idx="21">
                  <c:v>1.4117461033297959E-3</c:v>
                </c:pt>
                <c:pt idx="22">
                  <c:v>1.5471315244624201E-3</c:v>
                </c:pt>
                <c:pt idx="23">
                  <c:v>1.728481420730648E-3</c:v>
                </c:pt>
                <c:pt idx="24">
                  <c:v>1.9602995852305337E-3</c:v>
                </c:pt>
                <c:pt idx="25">
                  <c:v>2.2456112974326157E-3</c:v>
                </c:pt>
                <c:pt idx="26">
                  <c:v>2.5869380655465604E-3</c:v>
                </c:pt>
                <c:pt idx="27">
                  <c:v>2.9849769442635839E-3</c:v>
                </c:pt>
                <c:pt idx="28">
                  <c:v>3.4340759669752806E-3</c:v>
                </c:pt>
                <c:pt idx="29">
                  <c:v>3.9247441194331083E-3</c:v>
                </c:pt>
                <c:pt idx="30">
                  <c:v>4.4497103621631926E-3</c:v>
                </c:pt>
                <c:pt idx="31">
                  <c:v>5.0014877181861197E-3</c:v>
                </c:pt>
                <c:pt idx="32">
                  <c:v>5.5684972705509154E-3</c:v>
                </c:pt>
                <c:pt idx="33">
                  <c:v>6.1369588526190514E-3</c:v>
                </c:pt>
                <c:pt idx="34">
                  <c:v>6.6927973281180903E-3</c:v>
                </c:pt>
                <c:pt idx="35">
                  <c:v>7.2201591312194124E-3</c:v>
                </c:pt>
                <c:pt idx="36">
                  <c:v>7.6973556637123935E-3</c:v>
                </c:pt>
                <c:pt idx="37">
                  <c:v>8.1040893169179208E-3</c:v>
                </c:pt>
                <c:pt idx="38">
                  <c:v>8.438362355695856E-3</c:v>
                </c:pt>
                <c:pt idx="39">
                  <c:v>8.6978412888006791E-3</c:v>
                </c:pt>
                <c:pt idx="40">
                  <c:v>8.8515352693888938E-3</c:v>
                </c:pt>
                <c:pt idx="41">
                  <c:v>8.867220873711907E-3</c:v>
                </c:pt>
                <c:pt idx="42">
                  <c:v>8.7388789575835076E-3</c:v>
                </c:pt>
                <c:pt idx="43">
                  <c:v>8.4708130386025749E-3</c:v>
                </c:pt>
                <c:pt idx="44">
                  <c:v>8.0677660220100037E-3</c:v>
                </c:pt>
                <c:pt idx="45">
                  <c:v>7.5422934852985247E-3</c:v>
                </c:pt>
                <c:pt idx="46">
                  <c:v>6.9166960054853344E-3</c:v>
                </c:pt>
                <c:pt idx="47">
                  <c:v>6.2204694184741201E-3</c:v>
                </c:pt>
                <c:pt idx="48">
                  <c:v>5.4879609325491196E-3</c:v>
                </c:pt>
                <c:pt idx="49">
                  <c:v>4.750654758919122E-3</c:v>
                </c:pt>
                <c:pt idx="50">
                  <c:v>4.0320482244345767E-3</c:v>
                </c:pt>
                <c:pt idx="51">
                  <c:v>3.3516443542930237E-3</c:v>
                </c:pt>
                <c:pt idx="52">
                  <c:v>2.7264571102364908E-3</c:v>
                </c:pt>
                <c:pt idx="53">
                  <c:v>2.168501203137494E-3</c:v>
                </c:pt>
                <c:pt idx="54">
                  <c:v>1.6848145449296693E-3</c:v>
                </c:pt>
                <c:pt idx="55">
                  <c:v>1.2778675431974001E-3</c:v>
                </c:pt>
                <c:pt idx="56">
                  <c:v>9.4570882250649365E-4</c:v>
                </c:pt>
                <c:pt idx="57">
                  <c:v>6.8328041547315184E-4</c:v>
                </c:pt>
                <c:pt idx="58">
                  <c:v>4.8299499941316409E-4</c:v>
                </c:pt>
                <c:pt idx="59">
                  <c:v>3.3507067180308872E-4</c:v>
                </c:pt>
                <c:pt idx="60">
                  <c:v>2.2891588903882869E-4</c:v>
                </c:pt>
                <c:pt idx="61">
                  <c:v>1.5455275412356797E-4</c:v>
                </c:pt>
                <c:pt idx="62">
                  <c:v>1.0343414651528166E-4</c:v>
                </c:pt>
                <c:pt idx="63">
                  <c:v>6.8803999795410346E-5</c:v>
                </c:pt>
                <c:pt idx="64">
                  <c:v>4.5608954318452591E-5</c:v>
                </c:pt>
                <c:pt idx="65">
                  <c:v>3.0197910129024519E-5</c:v>
                </c:pt>
                <c:pt idx="66">
                  <c:v>2.0017412185318214E-5</c:v>
                </c:pt>
                <c:pt idx="67">
                  <c:v>1.3307940920342676E-5</c:v>
                </c:pt>
                <c:pt idx="68">
                  <c:v>8.8756202798530737E-6</c:v>
                </c:pt>
                <c:pt idx="69">
                  <c:v>5.9385752282808115E-6</c:v>
                </c:pt>
                <c:pt idx="70">
                  <c:v>3.9904594851606199E-6</c:v>
                </c:pt>
                <c:pt idx="71">
                  <c:v>2.6953612713270592E-6</c:v>
                </c:pt>
                <c:pt idx="72">
                  <c:v>1.8293047220415757E-6</c:v>
                </c:pt>
                <c:pt idx="73">
                  <c:v>1.2468134904687066E-6</c:v>
                </c:pt>
                <c:pt idx="74">
                  <c:v>8.5382942691894287E-7</c:v>
                </c:pt>
                <c:pt idx="75">
                  <c:v>5.8780950958625457E-7</c:v>
                </c:pt>
                <c:pt idx="76">
                  <c:v>4.068024558650833E-7</c:v>
                </c:pt>
                <c:pt idx="77">
                  <c:v>2.8297059770453881E-7</c:v>
                </c:pt>
                <c:pt idx="78">
                  <c:v>1.9782940154863128E-7</c:v>
                </c:pt>
                <c:pt idx="79">
                  <c:v>1.3900231127188474E-7</c:v>
                </c:pt>
                <c:pt idx="80">
                  <c:v>9.8156797929138274E-8</c:v>
                </c:pt>
                <c:pt idx="81">
                  <c:v>6.9582021621839673E-8</c:v>
                </c:pt>
                <c:pt idx="82">
                  <c:v>4.9563224743005235E-8</c:v>
                </c:pt>
                <c:pt idx="83">
                  <c:v>3.5470899723693361E-8</c:v>
                </c:pt>
                <c:pt idx="84">
                  <c:v>2.550342632690067E-8</c:v>
                </c:pt>
                <c:pt idx="85">
                  <c:v>1.8420513804153192E-8</c:v>
                </c:pt>
                <c:pt idx="86">
                  <c:v>1.3364262804435204E-8</c:v>
                </c:pt>
                <c:pt idx="87">
                  <c:v>9.7384918447446665E-9</c:v>
                </c:pt>
                <c:pt idx="88">
                  <c:v>7.1269804276761814E-9</c:v>
                </c:pt>
                <c:pt idx="89">
                  <c:v>5.2378228711116064E-9</c:v>
                </c:pt>
                <c:pt idx="90">
                  <c:v>3.8653801880098754E-9</c:v>
                </c:pt>
                <c:pt idx="91">
                  <c:v>2.8641463802545564E-9</c:v>
                </c:pt>
                <c:pt idx="92">
                  <c:v>2.1307175314207615E-9</c:v>
                </c:pt>
                <c:pt idx="93">
                  <c:v>1.5912961553035608E-9</c:v>
                </c:pt>
                <c:pt idx="94">
                  <c:v>1.1929936077040884E-9</c:v>
                </c:pt>
                <c:pt idx="95">
                  <c:v>8.9774999951032679E-10</c:v>
                </c:pt>
                <c:pt idx="96">
                  <c:v>6.78065816007875E-10</c:v>
                </c:pt>
              </c:numCache>
            </c:numRef>
          </c:yVal>
          <c:smooth val="0"/>
          <c:extLst>
            <c:ext xmlns:c16="http://schemas.microsoft.com/office/drawing/2014/chart" uri="{C3380CC4-5D6E-409C-BE32-E72D297353CC}">
              <c16:uniqueId val="{00000002-C526-4F9B-9DDB-F969ADF80346}"/>
            </c:ext>
          </c:extLst>
        </c:ser>
        <c:ser>
          <c:idx val="1"/>
          <c:order val="3"/>
          <c:tx>
            <c:strRef>
              <c:f>Calculations!$L$21</c:f>
              <c:strCache>
                <c:ptCount val="1"/>
                <c:pt idx="0">
                  <c:v>M cone</c:v>
                </c:pt>
              </c:strCache>
            </c:strRef>
          </c:tx>
          <c:spPr>
            <a:ln>
              <a:solidFill>
                <a:srgbClr val="00FF00"/>
              </a:solidFill>
            </a:ln>
          </c:spPr>
          <c:marker>
            <c:symbol val="none"/>
          </c:marker>
          <c:xVal>
            <c:numRef>
              <c:f>Calculations!$H$22:$H$118</c:f>
              <c:numCache>
                <c:formatCode>General</c:formatCode>
                <c:ptCount val="97"/>
                <c:pt idx="0">
                  <c:v>300</c:v>
                </c:pt>
                <c:pt idx="1">
                  <c:v>305</c:v>
                </c:pt>
                <c:pt idx="2">
                  <c:v>310</c:v>
                </c:pt>
                <c:pt idx="3">
                  <c:v>315</c:v>
                </c:pt>
                <c:pt idx="4">
                  <c:v>320</c:v>
                </c:pt>
                <c:pt idx="5">
                  <c:v>325</c:v>
                </c:pt>
                <c:pt idx="6">
                  <c:v>330</c:v>
                </c:pt>
                <c:pt idx="7">
                  <c:v>335</c:v>
                </c:pt>
                <c:pt idx="8">
                  <c:v>340</c:v>
                </c:pt>
                <c:pt idx="9">
                  <c:v>345</c:v>
                </c:pt>
                <c:pt idx="10">
                  <c:v>350</c:v>
                </c:pt>
                <c:pt idx="11">
                  <c:v>355</c:v>
                </c:pt>
                <c:pt idx="12">
                  <c:v>360</c:v>
                </c:pt>
                <c:pt idx="13">
                  <c:v>365</c:v>
                </c:pt>
                <c:pt idx="14">
                  <c:v>370</c:v>
                </c:pt>
                <c:pt idx="15">
                  <c:v>375</c:v>
                </c:pt>
                <c:pt idx="16">
                  <c:v>380</c:v>
                </c:pt>
                <c:pt idx="17">
                  <c:v>385</c:v>
                </c:pt>
                <c:pt idx="18">
                  <c:v>390</c:v>
                </c:pt>
                <c:pt idx="19">
                  <c:v>395</c:v>
                </c:pt>
                <c:pt idx="20">
                  <c:v>400</c:v>
                </c:pt>
                <c:pt idx="21">
                  <c:v>405</c:v>
                </c:pt>
                <c:pt idx="22">
                  <c:v>410</c:v>
                </c:pt>
                <c:pt idx="23">
                  <c:v>415</c:v>
                </c:pt>
                <c:pt idx="24">
                  <c:v>420</c:v>
                </c:pt>
                <c:pt idx="25">
                  <c:v>425</c:v>
                </c:pt>
                <c:pt idx="26">
                  <c:v>430</c:v>
                </c:pt>
                <c:pt idx="27">
                  <c:v>435</c:v>
                </c:pt>
                <c:pt idx="28">
                  <c:v>440</c:v>
                </c:pt>
                <c:pt idx="29">
                  <c:v>445</c:v>
                </c:pt>
                <c:pt idx="30">
                  <c:v>450</c:v>
                </c:pt>
                <c:pt idx="31">
                  <c:v>455</c:v>
                </c:pt>
                <c:pt idx="32">
                  <c:v>460</c:v>
                </c:pt>
                <c:pt idx="33">
                  <c:v>465</c:v>
                </c:pt>
                <c:pt idx="34">
                  <c:v>470</c:v>
                </c:pt>
                <c:pt idx="35">
                  <c:v>475</c:v>
                </c:pt>
                <c:pt idx="36">
                  <c:v>480</c:v>
                </c:pt>
                <c:pt idx="37">
                  <c:v>485</c:v>
                </c:pt>
                <c:pt idx="38">
                  <c:v>490</c:v>
                </c:pt>
                <c:pt idx="39">
                  <c:v>495</c:v>
                </c:pt>
                <c:pt idx="40">
                  <c:v>500</c:v>
                </c:pt>
                <c:pt idx="41">
                  <c:v>505</c:v>
                </c:pt>
                <c:pt idx="42">
                  <c:v>510</c:v>
                </c:pt>
                <c:pt idx="43">
                  <c:v>515</c:v>
                </c:pt>
                <c:pt idx="44">
                  <c:v>520</c:v>
                </c:pt>
                <c:pt idx="45">
                  <c:v>525</c:v>
                </c:pt>
                <c:pt idx="46">
                  <c:v>530</c:v>
                </c:pt>
                <c:pt idx="47">
                  <c:v>535</c:v>
                </c:pt>
                <c:pt idx="48">
                  <c:v>540</c:v>
                </c:pt>
                <c:pt idx="49">
                  <c:v>545</c:v>
                </c:pt>
                <c:pt idx="50">
                  <c:v>550</c:v>
                </c:pt>
                <c:pt idx="51">
                  <c:v>555</c:v>
                </c:pt>
                <c:pt idx="52">
                  <c:v>560</c:v>
                </c:pt>
                <c:pt idx="53">
                  <c:v>565</c:v>
                </c:pt>
                <c:pt idx="54">
                  <c:v>570</c:v>
                </c:pt>
                <c:pt idx="55">
                  <c:v>575</c:v>
                </c:pt>
                <c:pt idx="56">
                  <c:v>580</c:v>
                </c:pt>
                <c:pt idx="57">
                  <c:v>585</c:v>
                </c:pt>
                <c:pt idx="58">
                  <c:v>590</c:v>
                </c:pt>
                <c:pt idx="59">
                  <c:v>595</c:v>
                </c:pt>
                <c:pt idx="60">
                  <c:v>600</c:v>
                </c:pt>
                <c:pt idx="61">
                  <c:v>605</c:v>
                </c:pt>
                <c:pt idx="62">
                  <c:v>610</c:v>
                </c:pt>
                <c:pt idx="63">
                  <c:v>615</c:v>
                </c:pt>
                <c:pt idx="64">
                  <c:v>620</c:v>
                </c:pt>
                <c:pt idx="65">
                  <c:v>625</c:v>
                </c:pt>
                <c:pt idx="66">
                  <c:v>630</c:v>
                </c:pt>
                <c:pt idx="67">
                  <c:v>635</c:v>
                </c:pt>
                <c:pt idx="68">
                  <c:v>640</c:v>
                </c:pt>
                <c:pt idx="69">
                  <c:v>645</c:v>
                </c:pt>
                <c:pt idx="70">
                  <c:v>650</c:v>
                </c:pt>
                <c:pt idx="71">
                  <c:v>655</c:v>
                </c:pt>
                <c:pt idx="72">
                  <c:v>660</c:v>
                </c:pt>
                <c:pt idx="73">
                  <c:v>665</c:v>
                </c:pt>
                <c:pt idx="74">
                  <c:v>670</c:v>
                </c:pt>
                <c:pt idx="75">
                  <c:v>675</c:v>
                </c:pt>
                <c:pt idx="76">
                  <c:v>680</c:v>
                </c:pt>
                <c:pt idx="77">
                  <c:v>685</c:v>
                </c:pt>
                <c:pt idx="78">
                  <c:v>690</c:v>
                </c:pt>
                <c:pt idx="79">
                  <c:v>695</c:v>
                </c:pt>
                <c:pt idx="80">
                  <c:v>700</c:v>
                </c:pt>
                <c:pt idx="81">
                  <c:v>705</c:v>
                </c:pt>
                <c:pt idx="82">
                  <c:v>710</c:v>
                </c:pt>
                <c:pt idx="83">
                  <c:v>715</c:v>
                </c:pt>
                <c:pt idx="84">
                  <c:v>720</c:v>
                </c:pt>
                <c:pt idx="85">
                  <c:v>725</c:v>
                </c:pt>
                <c:pt idx="86">
                  <c:v>730</c:v>
                </c:pt>
                <c:pt idx="87">
                  <c:v>735</c:v>
                </c:pt>
                <c:pt idx="88">
                  <c:v>740</c:v>
                </c:pt>
                <c:pt idx="89">
                  <c:v>745</c:v>
                </c:pt>
                <c:pt idx="90">
                  <c:v>750</c:v>
                </c:pt>
                <c:pt idx="91">
                  <c:v>755</c:v>
                </c:pt>
                <c:pt idx="92">
                  <c:v>760</c:v>
                </c:pt>
                <c:pt idx="93">
                  <c:v>765</c:v>
                </c:pt>
                <c:pt idx="94">
                  <c:v>770</c:v>
                </c:pt>
                <c:pt idx="95">
                  <c:v>775</c:v>
                </c:pt>
                <c:pt idx="96">
                  <c:v>780</c:v>
                </c:pt>
              </c:numCache>
            </c:numRef>
          </c:xVal>
          <c:yVal>
            <c:numRef>
              <c:f>Calculations!$L$22:$L$118</c:f>
              <c:numCache>
                <c:formatCode>0.000\ 000</c:formatCode>
                <c:ptCount val="97"/>
                <c:pt idx="0">
                  <c:v>4.9913151343537506E-6</c:v>
                </c:pt>
                <c:pt idx="1">
                  <c:v>2.9469678836400126E-5</c:v>
                </c:pt>
                <c:pt idx="2">
                  <c:v>9.8192015232371595E-5</c:v>
                </c:pt>
                <c:pt idx="3">
                  <c:v>2.5214688970191508E-4</c:v>
                </c:pt>
                <c:pt idx="4">
                  <c:v>3.9663556341957629E-4</c:v>
                </c:pt>
                <c:pt idx="5">
                  <c:v>5.2706596689770433E-4</c:v>
                </c:pt>
                <c:pt idx="6">
                  <c:v>6.4203345218596074E-4</c:v>
                </c:pt>
                <c:pt idx="7">
                  <c:v>7.4329742932920887E-4</c:v>
                </c:pt>
                <c:pt idx="8">
                  <c:v>8.3409053054794911E-4</c:v>
                </c:pt>
                <c:pt idx="9">
                  <c:v>9.1713997198439681E-4</c:v>
                </c:pt>
                <c:pt idx="10">
                  <c:v>9.9361688055389598E-4</c:v>
                </c:pt>
                <c:pt idx="11">
                  <c:v>1.0576642719986509E-3</c:v>
                </c:pt>
                <c:pt idx="12">
                  <c:v>1.1040618293720449E-3</c:v>
                </c:pt>
                <c:pt idx="13">
                  <c:v>1.130385953161749E-3</c:v>
                </c:pt>
                <c:pt idx="14">
                  <c:v>1.1418048353949903E-3</c:v>
                </c:pt>
                <c:pt idx="15">
                  <c:v>1.1447462941738672E-3</c:v>
                </c:pt>
                <c:pt idx="16">
                  <c:v>1.1413337321310626E-3</c:v>
                </c:pt>
                <c:pt idx="17">
                  <c:v>1.1343596816046028E-3</c:v>
                </c:pt>
                <c:pt idx="18">
                  <c:v>1.1303705228338759E-3</c:v>
                </c:pt>
                <c:pt idx="19">
                  <c:v>1.1366549707005967E-3</c:v>
                </c:pt>
                <c:pt idx="20">
                  <c:v>1.1589461514859398E-3</c:v>
                </c:pt>
                <c:pt idx="21">
                  <c:v>1.2029913576809888E-3</c:v>
                </c:pt>
                <c:pt idx="22">
                  <c:v>1.2757354481104347E-3</c:v>
                </c:pt>
                <c:pt idx="23">
                  <c:v>1.3838746258003868E-3</c:v>
                </c:pt>
                <c:pt idx="24">
                  <c:v>1.5330088159000378E-3</c:v>
                </c:pt>
                <c:pt idx="25">
                  <c:v>1.7278528165880548E-3</c:v>
                </c:pt>
                <c:pt idx="26">
                  <c:v>1.9729163286190251E-3</c:v>
                </c:pt>
                <c:pt idx="27">
                  <c:v>2.2714057767687489E-3</c:v>
                </c:pt>
                <c:pt idx="28">
                  <c:v>2.6217095496782793E-3</c:v>
                </c:pt>
                <c:pt idx="29">
                  <c:v>3.0190952507469777E-3</c:v>
                </c:pt>
                <c:pt idx="30">
                  <c:v>3.4601001731318455E-3</c:v>
                </c:pt>
                <c:pt idx="31">
                  <c:v>3.9406091908541618E-3</c:v>
                </c:pt>
                <c:pt idx="32">
                  <c:v>4.4527874342477555E-3</c:v>
                </c:pt>
                <c:pt idx="33">
                  <c:v>4.9864809557320965E-3</c:v>
                </c:pt>
                <c:pt idx="34">
                  <c:v>5.5308031903285714E-3</c:v>
                </c:pt>
                <c:pt idx="35">
                  <c:v>6.0730692937078787E-3</c:v>
                </c:pt>
                <c:pt idx="36">
                  <c:v>6.5953882944145194E-3</c:v>
                </c:pt>
                <c:pt idx="37">
                  <c:v>7.080601816015171E-3</c:v>
                </c:pt>
                <c:pt idx="38">
                  <c:v>7.5273566304305244E-3</c:v>
                </c:pt>
                <c:pt idx="39">
                  <c:v>7.9345211973887112E-3</c:v>
                </c:pt>
                <c:pt idx="40">
                  <c:v>8.2742612308724633E-3</c:v>
                </c:pt>
                <c:pt idx="41">
                  <c:v>8.5140431936748147E-3</c:v>
                </c:pt>
                <c:pt idx="42">
                  <c:v>8.6417128907929491E-3</c:v>
                </c:pt>
                <c:pt idx="43">
                  <c:v>8.651269236064232E-3</c:v>
                </c:pt>
                <c:pt idx="44">
                  <c:v>8.5330996151684445E-3</c:v>
                </c:pt>
                <c:pt idx="45">
                  <c:v>8.28194734606277E-3</c:v>
                </c:pt>
                <c:pt idx="46">
                  <c:v>7.901430074091274E-3</c:v>
                </c:pt>
                <c:pt idx="47">
                  <c:v>7.4048930083574519E-3</c:v>
                </c:pt>
                <c:pt idx="48">
                  <c:v>6.8164229915917626E-3</c:v>
                </c:pt>
                <c:pt idx="49">
                  <c:v>6.1639880318103604E-3</c:v>
                </c:pt>
                <c:pt idx="50">
                  <c:v>5.472678210247584E-3</c:v>
                </c:pt>
                <c:pt idx="51">
                  <c:v>4.767921187757553E-3</c:v>
                </c:pt>
                <c:pt idx="52">
                  <c:v>4.0758101608434601E-3</c:v>
                </c:pt>
                <c:pt idx="53">
                  <c:v>3.4180009836323965E-3</c:v>
                </c:pt>
                <c:pt idx="54">
                  <c:v>2.810470020468068E-3</c:v>
                </c:pt>
                <c:pt idx="55">
                  <c:v>2.2637860296259743E-3</c:v>
                </c:pt>
                <c:pt idx="56">
                  <c:v>1.7835095134989842E-3</c:v>
                </c:pt>
                <c:pt idx="57">
                  <c:v>1.3725528516001892E-3</c:v>
                </c:pt>
                <c:pt idx="58">
                  <c:v>1.0315979041435812E-3</c:v>
                </c:pt>
                <c:pt idx="59">
                  <c:v>7.5775877257356348E-4</c:v>
                </c:pt>
                <c:pt idx="60">
                  <c:v>5.4479160169188076E-4</c:v>
                </c:pt>
                <c:pt idx="61">
                  <c:v>3.8422076676422682E-4</c:v>
                </c:pt>
                <c:pt idx="62">
                  <c:v>2.6650771206258503E-4</c:v>
                </c:pt>
                <c:pt idx="63">
                  <c:v>1.8234419142057199E-4</c:v>
                </c:pt>
                <c:pt idx="64">
                  <c:v>1.2346757337329775E-4</c:v>
                </c:pt>
                <c:pt idx="65">
                  <c:v>8.300490398848664E-5</c:v>
                </c:pt>
                <c:pt idx="66">
                  <c:v>5.5589670716305147E-5</c:v>
                </c:pt>
                <c:pt idx="67">
                  <c:v>3.7188198676303318E-5</c:v>
                </c:pt>
                <c:pt idx="68">
                  <c:v>2.4877961714748998E-5</c:v>
                </c:pt>
                <c:pt idx="69">
                  <c:v>1.665484806981976E-5</c:v>
                </c:pt>
                <c:pt idx="70">
                  <c:v>1.1176192619302967E-5</c:v>
                </c:pt>
                <c:pt idx="71">
                  <c:v>7.527823087971306E-6</c:v>
                </c:pt>
                <c:pt idx="72">
                  <c:v>5.089140230505199E-6</c:v>
                </c:pt>
                <c:pt idx="73">
                  <c:v>3.4523186721193367E-6</c:v>
                </c:pt>
                <c:pt idx="74">
                  <c:v>2.3516321056395247E-6</c:v>
                </c:pt>
                <c:pt idx="75">
                  <c:v>1.6096544191752617E-6</c:v>
                </c:pt>
                <c:pt idx="76">
                  <c:v>1.1072368113072811E-6</c:v>
                </c:pt>
                <c:pt idx="77">
                  <c:v>7.6535625887704401E-7</c:v>
                </c:pt>
                <c:pt idx="78">
                  <c:v>5.3163609789930726E-7</c:v>
                </c:pt>
                <c:pt idx="79">
                  <c:v>3.7111353348101847E-7</c:v>
                </c:pt>
                <c:pt idx="80">
                  <c:v>2.6034205538882195E-7</c:v>
                </c:pt>
                <c:pt idx="81">
                  <c:v>1.8333779374642411E-7</c:v>
                </c:pt>
                <c:pt idx="82">
                  <c:v>1.2973221272352306E-7</c:v>
                </c:pt>
                <c:pt idx="83">
                  <c:v>9.2236752132205612E-8</c:v>
                </c:pt>
                <c:pt idx="84">
                  <c:v>6.5885528618588777E-8</c:v>
                </c:pt>
                <c:pt idx="85">
                  <c:v>4.7279578812462014E-8</c:v>
                </c:pt>
                <c:pt idx="86">
                  <c:v>3.408169562470577E-8</c:v>
                </c:pt>
                <c:pt idx="87">
                  <c:v>2.4677356310033078E-8</c:v>
                </c:pt>
                <c:pt idx="88">
                  <c:v>1.794615485944872E-8</c:v>
                </c:pt>
                <c:pt idx="89">
                  <c:v>1.310705099262465E-8</c:v>
                </c:pt>
                <c:pt idx="90">
                  <c:v>9.6131338851594528E-9</c:v>
                </c:pt>
                <c:pt idx="91">
                  <c:v>7.0797408664726952E-9</c:v>
                </c:pt>
                <c:pt idx="92">
                  <c:v>5.2351421666394436E-9</c:v>
                </c:pt>
                <c:pt idx="93">
                  <c:v>3.8865587539971579E-9</c:v>
                </c:pt>
                <c:pt idx="94">
                  <c:v>2.8966438349514228E-9</c:v>
                </c:pt>
                <c:pt idx="95">
                  <c:v>2.167135865784138E-9</c:v>
                </c:pt>
                <c:pt idx="96">
                  <c:v>1.6274478280278137E-9</c:v>
                </c:pt>
              </c:numCache>
            </c:numRef>
          </c:yVal>
          <c:smooth val="0"/>
          <c:extLst>
            <c:ext xmlns:c16="http://schemas.microsoft.com/office/drawing/2014/chart" uri="{C3380CC4-5D6E-409C-BE32-E72D297353CC}">
              <c16:uniqueId val="{00000003-C526-4F9B-9DDB-F969ADF80346}"/>
            </c:ext>
          </c:extLst>
        </c:ser>
        <c:dLbls>
          <c:showLegendKey val="0"/>
          <c:showVal val="0"/>
          <c:showCatName val="0"/>
          <c:showSerName val="0"/>
          <c:showPercent val="0"/>
          <c:showBubbleSize val="0"/>
        </c:dLbls>
        <c:axId val="184128256"/>
        <c:axId val="184130176"/>
      </c:scatterChart>
      <c:valAx>
        <c:axId val="184128256"/>
        <c:scaling>
          <c:orientation val="minMax"/>
          <c:max val="650"/>
          <c:min val="300"/>
        </c:scaling>
        <c:delete val="0"/>
        <c:axPos val="b"/>
        <c:title>
          <c:tx>
            <c:rich>
              <a:bodyPr/>
              <a:lstStyle/>
              <a:p>
                <a:pPr>
                  <a:defRPr sz="1600" b="1" i="0" u="none" strike="noStrike" baseline="0">
                    <a:solidFill>
                      <a:srgbClr val="000000"/>
                    </a:solidFill>
                    <a:latin typeface="Calibri"/>
                    <a:ea typeface="Calibri"/>
                    <a:cs typeface="Calibri"/>
                  </a:defRPr>
                </a:pPr>
                <a:r>
                  <a:rPr lang="en-GB"/>
                  <a:t>wavelength (nm)</a:t>
                </a:r>
              </a:p>
            </c:rich>
          </c:tx>
          <c:overlay val="0"/>
          <c:spPr>
            <a:noFill/>
            <a:ln w="25400">
              <a:noFill/>
            </a:ln>
          </c:spPr>
        </c:title>
        <c:numFmt formatCode="General" sourceLinked="1"/>
        <c:majorTickMark val="out"/>
        <c:minorTickMark val="none"/>
        <c:tickLblPos val="nextTo"/>
        <c:txPr>
          <a:bodyPr rot="0" vert="horz"/>
          <a:lstStyle/>
          <a:p>
            <a:pPr>
              <a:defRPr sz="1200" b="0" i="0" u="none" strike="noStrike" baseline="0">
                <a:solidFill>
                  <a:srgbClr val="000000"/>
                </a:solidFill>
                <a:latin typeface="Calibri"/>
                <a:ea typeface="Calibri"/>
                <a:cs typeface="Calibri"/>
              </a:defRPr>
            </a:pPr>
            <a:endParaRPr lang="en-US"/>
          </a:p>
        </c:txPr>
        <c:crossAx val="184130176"/>
        <c:crossesAt val="1.0000000000000086E-5"/>
        <c:crossBetween val="midCat"/>
        <c:majorUnit val="50"/>
      </c:valAx>
      <c:valAx>
        <c:axId val="184130176"/>
        <c:scaling>
          <c:orientation val="minMax"/>
          <c:max val="2.0000000000000011E-2"/>
          <c:min val="0"/>
        </c:scaling>
        <c:delete val="0"/>
        <c:axPos val="l"/>
        <c:title>
          <c:tx>
            <c:rich>
              <a:bodyPr/>
              <a:lstStyle/>
              <a:p>
                <a:pPr>
                  <a:defRPr sz="1600" b="1" i="0" u="none" strike="noStrike" baseline="0">
                    <a:solidFill>
                      <a:srgbClr val="000000"/>
                    </a:solidFill>
                    <a:latin typeface="Calibri"/>
                    <a:ea typeface="Calibri"/>
                    <a:cs typeface="Calibri"/>
                  </a:defRPr>
                </a:pPr>
                <a:r>
                  <a:rPr lang="en-GB"/>
                  <a:t>relative absorptance *</a:t>
                </a:r>
              </a:p>
            </c:rich>
          </c:tx>
          <c:layout>
            <c:manualLayout>
              <c:xMode val="edge"/>
              <c:yMode val="edge"/>
              <c:x val="1.9607791131371743E-2"/>
              <c:y val="0.24057355425991575"/>
            </c:manualLayout>
          </c:layout>
          <c:overlay val="0"/>
          <c:spPr>
            <a:noFill/>
            <a:ln w="25400">
              <a:noFill/>
            </a:ln>
          </c:spPr>
        </c:title>
        <c:numFmt formatCode="0.0%" sourceLinked="0"/>
        <c:majorTickMark val="out"/>
        <c:minorTickMark val="none"/>
        <c:tickLblPos val="nextTo"/>
        <c:txPr>
          <a:bodyPr rot="0" vert="horz"/>
          <a:lstStyle/>
          <a:p>
            <a:pPr>
              <a:defRPr sz="1200" b="0" i="0" u="none" strike="noStrike" baseline="0">
                <a:solidFill>
                  <a:srgbClr val="000000"/>
                </a:solidFill>
                <a:latin typeface="Calibri"/>
                <a:ea typeface="Calibri"/>
                <a:cs typeface="Calibri"/>
              </a:defRPr>
            </a:pPr>
            <a:endParaRPr lang="en-US"/>
          </a:p>
        </c:txPr>
        <c:crossAx val="184128256"/>
        <c:crosses val="autoZero"/>
        <c:crossBetween val="midCat"/>
        <c:majorUnit val="5.0000000000000044E-3"/>
      </c:valAx>
    </c:plotArea>
    <c:legend>
      <c:legendPos val="r"/>
      <c:legendEntry>
        <c:idx val="1"/>
        <c:txPr>
          <a:bodyPr/>
          <a:lstStyle/>
          <a:p>
            <a:pPr>
              <a:defRPr sz="1200" b="0" i="0" u="none" strike="noStrike" baseline="0">
                <a:solidFill>
                  <a:srgbClr val="000000"/>
                </a:solidFill>
                <a:latin typeface="Calibri"/>
                <a:ea typeface="Calibri"/>
                <a:cs typeface="Calibri"/>
              </a:defRPr>
            </a:pPr>
            <a:endParaRPr lang="en-US"/>
          </a:p>
        </c:txPr>
      </c:legendEntry>
      <c:layout>
        <c:manualLayout>
          <c:xMode val="edge"/>
          <c:yMode val="edge"/>
          <c:x val="0.6280708385136079"/>
          <c:y val="0.18066211189250217"/>
          <c:w val="0.26877215084956485"/>
          <c:h val="0.26802455036631878"/>
        </c:manualLayout>
      </c:layout>
      <c:overlay val="1"/>
      <c:txPr>
        <a:bodyPr/>
        <a:lstStyle/>
        <a:p>
          <a:pPr>
            <a:defRPr sz="1100" b="0" i="0" u="none" strike="noStrike" baseline="0">
              <a:solidFill>
                <a:srgbClr val="000000"/>
              </a:solidFill>
              <a:latin typeface="Calibri"/>
              <a:ea typeface="Calibri"/>
              <a:cs typeface="Calibri"/>
            </a:defRPr>
          </a:pPr>
          <a:endParaRPr lang="en-US"/>
        </a:p>
      </c:txPr>
    </c:legend>
    <c:plotVisOnly val="1"/>
    <c:dispBlanksAs val="gap"/>
    <c:showDLblsOverMax val="0"/>
  </c:chart>
  <c:spPr>
    <a:ln w="9525">
      <a:solidFill>
        <a:schemeClr val="tx1"/>
      </a:solidFill>
    </a:ln>
    <a:effectLst>
      <a:outerShdw blurRad="50800" dist="38100" dir="2700000" algn="tl" rotWithShape="0">
        <a:prstClr val="black">
          <a:alpha val="40000"/>
        </a:prstClr>
      </a:outerShdw>
    </a:effectLst>
  </c:spPr>
  <c:txPr>
    <a:bodyPr/>
    <a:lstStyle/>
    <a:p>
      <a:pPr>
        <a:defRPr sz="1200" b="0" i="0" u="none" strike="noStrike" baseline="0">
          <a:solidFill>
            <a:srgbClr val="000000"/>
          </a:solidFill>
          <a:latin typeface="Calibri"/>
          <a:ea typeface="Calibri"/>
          <a:cs typeface="Calibri"/>
        </a:defRPr>
      </a:pPr>
      <a:endParaRPr lang="en-US"/>
    </a:p>
  </c:txPr>
  <c:printSettings>
    <c:headerFooter/>
    <c:pageMargins b="0.75000000000000311" l="0.70000000000000062" r="0.70000000000000062" t="0.75000000000000311"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123825</xdr:colOff>
      <xdr:row>21</xdr:row>
      <xdr:rowOff>180975</xdr:rowOff>
    </xdr:from>
    <xdr:to>
      <xdr:col>21</xdr:col>
      <xdr:colOff>428625</xdr:colOff>
      <xdr:row>36</xdr:row>
      <xdr:rowOff>66675</xdr:rowOff>
    </xdr:to>
    <xdr:graphicFrame macro="">
      <xdr:nvGraphicFramePr>
        <xdr:cNvPr id="61512" name="Chart 5">
          <a:extLst>
            <a:ext uri="{FF2B5EF4-FFF2-40B4-BE49-F238E27FC236}">
              <a16:creationId xmlns:a16="http://schemas.microsoft.com/office/drawing/2014/main" id="{00000000-0008-0000-0400-000048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123825</xdr:colOff>
      <xdr:row>5</xdr:row>
      <xdr:rowOff>0</xdr:rowOff>
    </xdr:from>
    <xdr:to>
      <xdr:col>21</xdr:col>
      <xdr:colOff>428625</xdr:colOff>
      <xdr:row>19</xdr:row>
      <xdr:rowOff>76200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57150</xdr:rowOff>
    </xdr:from>
    <xdr:to>
      <xdr:col>17</xdr:col>
      <xdr:colOff>219075</xdr:colOff>
      <xdr:row>19</xdr:row>
      <xdr:rowOff>123825</xdr:rowOff>
    </xdr:to>
    <xdr:graphicFrame macro="">
      <xdr:nvGraphicFramePr>
        <xdr:cNvPr id="1251" name="Chart 12">
          <a:extLst>
            <a:ext uri="{FF2B5EF4-FFF2-40B4-BE49-F238E27FC236}">
              <a16:creationId xmlns:a16="http://schemas.microsoft.com/office/drawing/2014/main" id="{00000000-0008-0000-0600-0000E3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20</xdr:row>
      <xdr:rowOff>57150</xdr:rowOff>
    </xdr:from>
    <xdr:to>
      <xdr:col>17</xdr:col>
      <xdr:colOff>257175</xdr:colOff>
      <xdr:row>35</xdr:row>
      <xdr:rowOff>57150</xdr:rowOff>
    </xdr:to>
    <xdr:graphicFrame macro="">
      <xdr:nvGraphicFramePr>
        <xdr:cNvPr id="1252" name="Chart 13">
          <a:extLst>
            <a:ext uri="{FF2B5EF4-FFF2-40B4-BE49-F238E27FC236}">
              <a16:creationId xmlns:a16="http://schemas.microsoft.com/office/drawing/2014/main" id="{00000000-0008-0000-0600-0000E4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19050</xdr:colOff>
      <xdr:row>35</xdr:row>
      <xdr:rowOff>190500</xdr:rowOff>
    </xdr:from>
    <xdr:to>
      <xdr:col>17</xdr:col>
      <xdr:colOff>276225</xdr:colOff>
      <xdr:row>55</xdr:row>
      <xdr:rowOff>57150</xdr:rowOff>
    </xdr:to>
    <xdr:graphicFrame macro="">
      <xdr:nvGraphicFramePr>
        <xdr:cNvPr id="1253" name="Chart 5">
          <a:extLst>
            <a:ext uri="{FF2B5EF4-FFF2-40B4-BE49-F238E27FC236}">
              <a16:creationId xmlns:a16="http://schemas.microsoft.com/office/drawing/2014/main" id="{00000000-0008-0000-0600-0000E5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7030A0"/>
  </sheetPr>
  <dimension ref="A1:R516"/>
  <sheetViews>
    <sheetView zoomScale="80" zoomScaleNormal="80" workbookViewId="0"/>
  </sheetViews>
  <sheetFormatPr defaultRowHeight="15.75" x14ac:dyDescent="0.25"/>
  <cols>
    <col min="1" max="1" width="9.28515625" style="205" bestFit="1" customWidth="1"/>
    <col min="2" max="2" width="9.140625" style="192"/>
    <col min="3" max="3" width="9.7109375" style="193" bestFit="1" customWidth="1"/>
    <col min="4" max="6" width="9.28515625" style="194" bestFit="1" customWidth="1"/>
    <col min="7" max="9" width="9.28515625" style="193" bestFit="1" customWidth="1"/>
    <col min="10" max="10" width="10.7109375" style="193" bestFit="1" customWidth="1"/>
    <col min="11" max="11" width="10.7109375" style="195" bestFit="1" customWidth="1"/>
    <col min="12" max="12" width="9.140625" style="191"/>
    <col min="13" max="17" width="16.7109375" style="191" customWidth="1"/>
    <col min="18" max="16384" width="9.140625" style="191"/>
  </cols>
  <sheetData>
    <row r="1" spans="1:18" x14ac:dyDescent="0.25">
      <c r="A1" s="191"/>
    </row>
    <row r="2" spans="1:18" ht="33.75" x14ac:dyDescent="0.5">
      <c r="A2" s="175" t="s">
        <v>147</v>
      </c>
      <c r="C2" s="196" t="s">
        <v>111</v>
      </c>
      <c r="M2" s="220" t="s">
        <v>148</v>
      </c>
    </row>
    <row r="4" spans="1:18" ht="18.75" x14ac:dyDescent="0.35">
      <c r="A4" s="196"/>
      <c r="B4" s="197" t="s">
        <v>161</v>
      </c>
      <c r="C4" s="198">
        <f>Toolbox!E27</f>
        <v>360</v>
      </c>
      <c r="D4" s="199" t="s">
        <v>14</v>
      </c>
      <c r="E4" s="198">
        <v>28</v>
      </c>
      <c r="F4" s="197" t="s">
        <v>13</v>
      </c>
      <c r="G4" s="200">
        <v>0.67400000000000004</v>
      </c>
      <c r="H4" s="197" t="s">
        <v>177</v>
      </c>
      <c r="I4" s="201">
        <v>0.26</v>
      </c>
      <c r="J4" s="202"/>
      <c r="K4" s="203"/>
      <c r="M4" s="191" t="s">
        <v>150</v>
      </c>
    </row>
    <row r="5" spans="1:18" ht="18.75" x14ac:dyDescent="0.35">
      <c r="A5" s="196"/>
      <c r="B5" s="197" t="s">
        <v>160</v>
      </c>
      <c r="C5" s="204">
        <f>189+0.315*C4</f>
        <v>302.39999999999998</v>
      </c>
      <c r="D5" s="199" t="s">
        <v>159</v>
      </c>
      <c r="E5" s="200">
        <v>0.92200000000000004</v>
      </c>
      <c r="H5" s="197" t="s">
        <v>178</v>
      </c>
      <c r="I5" s="201">
        <f>-40.5+0.195*C4</f>
        <v>29.700000000000003</v>
      </c>
      <c r="J5" s="202"/>
      <c r="K5" s="203"/>
      <c r="M5" s="191" t="s">
        <v>158</v>
      </c>
    </row>
    <row r="6" spans="1:18" x14ac:dyDescent="0.25">
      <c r="J6" s="202"/>
      <c r="K6" s="203"/>
      <c r="M6" s="191" t="s">
        <v>157</v>
      </c>
    </row>
    <row r="7" spans="1:18" x14ac:dyDescent="0.25">
      <c r="A7" s="192"/>
      <c r="C7" s="199" t="s">
        <v>12</v>
      </c>
      <c r="D7" s="198">
        <v>69.7</v>
      </c>
      <c r="E7" s="199" t="s">
        <v>18</v>
      </c>
      <c r="F7" s="198">
        <v>-14.9</v>
      </c>
      <c r="G7" s="191"/>
      <c r="M7" s="191" t="s">
        <v>153</v>
      </c>
    </row>
    <row r="8" spans="1:18" x14ac:dyDescent="0.25">
      <c r="B8" s="191"/>
      <c r="C8" s="199" t="s">
        <v>16</v>
      </c>
      <c r="D8" s="206">
        <f>0.8795+(0.0459*(EXP((-((C4-300)^2))/11940)))</f>
        <v>0.91345233330660303</v>
      </c>
      <c r="E8" s="199" t="s">
        <v>4</v>
      </c>
      <c r="F8" s="200">
        <v>1.1040000000000001</v>
      </c>
      <c r="G8" s="191"/>
      <c r="M8" s="191" t="s">
        <v>154</v>
      </c>
      <c r="Q8" s="207"/>
      <c r="R8" s="207"/>
    </row>
    <row r="9" spans="1:18" x14ac:dyDescent="0.25">
      <c r="A9" s="192"/>
      <c r="D9" s="191"/>
      <c r="E9" s="191"/>
      <c r="F9" s="191"/>
      <c r="G9" s="191"/>
      <c r="O9" s="207"/>
      <c r="P9" s="208"/>
    </row>
    <row r="10" spans="1:18" x14ac:dyDescent="0.25">
      <c r="A10" s="192"/>
      <c r="C10" s="192"/>
      <c r="D10" s="192"/>
      <c r="E10" s="192"/>
      <c r="F10" s="192"/>
      <c r="G10" s="192"/>
      <c r="H10" s="192"/>
      <c r="I10" s="192"/>
      <c r="J10" s="192"/>
      <c r="K10" s="192"/>
      <c r="L10" s="192"/>
      <c r="M10" s="192"/>
      <c r="N10" s="192"/>
      <c r="O10" s="192"/>
      <c r="P10" s="192"/>
    </row>
    <row r="11" spans="1:18" ht="18" x14ac:dyDescent="0.25">
      <c r="A11" s="209" t="s">
        <v>11</v>
      </c>
      <c r="C11" s="210" t="s">
        <v>17</v>
      </c>
      <c r="D11" s="211" t="s">
        <v>12</v>
      </c>
      <c r="E11" s="211" t="s">
        <v>14</v>
      </c>
      <c r="F11" s="211" t="s">
        <v>18</v>
      </c>
      <c r="G11" s="210" t="s">
        <v>19</v>
      </c>
      <c r="H11" s="210" t="s">
        <v>20</v>
      </c>
      <c r="I11" s="210" t="s">
        <v>21</v>
      </c>
      <c r="J11" s="210" t="s">
        <v>22</v>
      </c>
      <c r="K11" s="212" t="s">
        <v>26</v>
      </c>
      <c r="M11" s="213" t="s">
        <v>149</v>
      </c>
      <c r="N11" s="213" t="s">
        <v>151</v>
      </c>
      <c r="O11" s="213" t="s">
        <v>152</v>
      </c>
      <c r="P11" s="213" t="s">
        <v>156</v>
      </c>
      <c r="Q11" s="213" t="s">
        <v>155</v>
      </c>
    </row>
    <row r="12" spans="1:18" x14ac:dyDescent="0.25">
      <c r="A12" s="214">
        <v>300</v>
      </c>
      <c r="C12" s="215">
        <f t="shared" ref="C12:C43" si="0">$C$4/A12</f>
        <v>1.2</v>
      </c>
      <c r="D12" s="216">
        <f>EXP($D$7*($D$8-C12))</f>
        <v>2.1188923345028004E-9</v>
      </c>
      <c r="E12" s="216">
        <f>EXP($E$4*($E$5-C12))</f>
        <v>4.1634346555562574E-4</v>
      </c>
      <c r="F12" s="217">
        <f>EXP($F$7*($F$8-C12))</f>
        <v>4.1803710059405192</v>
      </c>
      <c r="G12" s="216">
        <f t="shared" ref="G12:G43" si="1">D12+E12+F12+$G$4</f>
        <v>4.8547873515249673</v>
      </c>
      <c r="H12" s="216">
        <f>1/G12</f>
        <v>0.20598224548102684</v>
      </c>
      <c r="I12" s="217">
        <f>$I$4*(EXP(-(((A12-$C$5)/$I$5)^2)))</f>
        <v>0.25830774523899752</v>
      </c>
      <c r="J12" s="217">
        <f>IF(ISERROR(H12+I12),"",H12+I12)</f>
        <v>0.46428999072002436</v>
      </c>
      <c r="K12" s="195">
        <f t="shared" ref="K12:K75" si="2">IF(J12="","",J12/MAX(J$12:J$108))</f>
        <v>0.46210653127380324</v>
      </c>
      <c r="M12" s="218">
        <f>K12</f>
        <v>0.46210653127380324</v>
      </c>
      <c r="N12" s="218">
        <f>Calculations!F22</f>
        <v>6.9999999999999993E-3</v>
      </c>
      <c r="O12" s="219">
        <f>Spectra!$C$10*$A12</f>
        <v>1510235102458.2681</v>
      </c>
      <c r="P12" s="219">
        <f>PRODUCT(M12:O12)</f>
        <v>4885226532.2344885</v>
      </c>
      <c r="Q12" s="218">
        <f t="shared" ref="Q12:Q43" si="3">P12/SUM(P$12:P$108)</f>
        <v>3.364789686655412E-4</v>
      </c>
    </row>
    <row r="13" spans="1:18" x14ac:dyDescent="0.25">
      <c r="A13" s="214">
        <v>305</v>
      </c>
      <c r="C13" s="215">
        <f t="shared" si="0"/>
        <v>1.180327868852459</v>
      </c>
      <c r="D13" s="216">
        <f t="shared" ref="D13:D76" si="4">EXP($D$7*($D$8-C13))</f>
        <v>8.3481587820168725E-9</v>
      </c>
      <c r="E13" s="216">
        <f t="shared" ref="E13:E76" si="5">EXP($E$4*($E$5-C13))</f>
        <v>7.2222030945380403E-4</v>
      </c>
      <c r="F13" s="217">
        <f t="shared" ref="F13:F76" si="6">EXP($F$7*($F$8-C13))</f>
        <v>3.1182914695019353</v>
      </c>
      <c r="G13" s="216">
        <f t="shared" si="1"/>
        <v>3.7930136981595477</v>
      </c>
      <c r="H13" s="216">
        <f t="shared" ref="H13:H76" si="7">1/G13</f>
        <v>0.2636426017879191</v>
      </c>
      <c r="I13" s="217">
        <f t="shared" ref="I13:I76" si="8">$I$4*(EXP(-(((A13-$C$5)/$I$5)^2)))</f>
        <v>0.25801507512310029</v>
      </c>
      <c r="J13" s="217">
        <f t="shared" ref="J13:J76" si="9">IF(ISERROR(H13+I13),"",H13+I13)</f>
        <v>0.52165767691101939</v>
      </c>
      <c r="K13" s="195">
        <f t="shared" si="2"/>
        <v>0.51920442914537468</v>
      </c>
      <c r="M13" s="218">
        <f t="shared" ref="M13:M76" si="10">K13</f>
        <v>0.51920442914537468</v>
      </c>
      <c r="N13" s="218">
        <f>Calculations!F23</f>
        <v>3.548133892335753E-2</v>
      </c>
      <c r="O13" s="219">
        <f>Spectra!$C$10*$A13</f>
        <v>1535405687499.2393</v>
      </c>
      <c r="P13" s="219">
        <f t="shared" ref="P13:P76" si="11">PRODUCT(M13:O13)</f>
        <v>28285348475.58662</v>
      </c>
      <c r="Q13" s="218">
        <f t="shared" si="3"/>
        <v>1.948205435430971E-3</v>
      </c>
    </row>
    <row r="14" spans="1:18" x14ac:dyDescent="0.25">
      <c r="A14" s="214">
        <v>310</v>
      </c>
      <c r="C14" s="215">
        <f t="shared" si="0"/>
        <v>1.1612903225806452</v>
      </c>
      <c r="D14" s="216">
        <f t="shared" si="4"/>
        <v>3.1467585508709503E-8</v>
      </c>
      <c r="E14" s="216">
        <f t="shared" si="5"/>
        <v>1.2307530855776847E-3</v>
      </c>
      <c r="F14" s="217">
        <f t="shared" si="6"/>
        <v>2.3481453562316257</v>
      </c>
      <c r="G14" s="216">
        <f t="shared" si="1"/>
        <v>3.023376140784789</v>
      </c>
      <c r="H14" s="216">
        <f t="shared" si="7"/>
        <v>0.3307560665410379</v>
      </c>
      <c r="I14" s="217">
        <f t="shared" si="8"/>
        <v>0.24352041635053714</v>
      </c>
      <c r="J14" s="217">
        <f t="shared" si="9"/>
        <v>0.57427648289157507</v>
      </c>
      <c r="K14" s="195">
        <f t="shared" si="2"/>
        <v>0.57157577980433494</v>
      </c>
      <c r="M14" s="218">
        <f t="shared" si="10"/>
        <v>0.57157577980433494</v>
      </c>
      <c r="N14" s="218">
        <f>Calculations!F24</f>
        <v>0.10300000000000001</v>
      </c>
      <c r="O14" s="219">
        <f>Spectra!$C$10*$A14</f>
        <v>1560576272540.2104</v>
      </c>
      <c r="P14" s="219">
        <f t="shared" si="11"/>
        <v>91874722791.895264</v>
      </c>
      <c r="Q14" s="218">
        <f t="shared" si="3"/>
        <v>6.3280406276900892E-3</v>
      </c>
    </row>
    <row r="15" spans="1:18" x14ac:dyDescent="0.25">
      <c r="A15" s="214">
        <v>315</v>
      </c>
      <c r="C15" s="215">
        <f t="shared" si="0"/>
        <v>1.1428571428571428</v>
      </c>
      <c r="D15" s="216">
        <f t="shared" si="4"/>
        <v>1.137212878284073E-7</v>
      </c>
      <c r="E15" s="216">
        <f t="shared" si="5"/>
        <v>2.0621626845820445E-3</v>
      </c>
      <c r="F15" s="217">
        <f t="shared" si="6"/>
        <v>1.7842023071039086</v>
      </c>
      <c r="G15" s="216">
        <f t="shared" si="1"/>
        <v>2.4602645835097787</v>
      </c>
      <c r="H15" s="216">
        <f t="shared" si="7"/>
        <v>0.40646034849366247</v>
      </c>
      <c r="I15" s="217">
        <f t="shared" si="8"/>
        <v>0.21717424343799022</v>
      </c>
      <c r="J15" s="217">
        <f t="shared" si="9"/>
        <v>0.62363459193165272</v>
      </c>
      <c r="K15" s="195">
        <f t="shared" si="2"/>
        <v>0.62070176790365306</v>
      </c>
      <c r="M15" s="218">
        <f t="shared" si="10"/>
        <v>0.62070176790365306</v>
      </c>
      <c r="N15" s="218">
        <f>Calculations!F25</f>
        <v>0.23384259378835601</v>
      </c>
      <c r="O15" s="219">
        <f>Spectra!$C$10*$A15</f>
        <v>1585746857581.1816</v>
      </c>
      <c r="P15" s="219">
        <f t="shared" si="11"/>
        <v>230165624302.74222</v>
      </c>
      <c r="Q15" s="218">
        <f t="shared" si="3"/>
        <v>1.5853080993610259E-2</v>
      </c>
    </row>
    <row r="16" spans="1:18" x14ac:dyDescent="0.25">
      <c r="A16" s="214">
        <v>320</v>
      </c>
      <c r="C16" s="215">
        <f t="shared" si="0"/>
        <v>1.125</v>
      </c>
      <c r="D16" s="216">
        <f t="shared" si="4"/>
        <v>3.9480559074605287E-7</v>
      </c>
      <c r="E16" s="216">
        <f t="shared" si="5"/>
        <v>3.3999314817144896E-3</v>
      </c>
      <c r="F16" s="217">
        <f t="shared" si="6"/>
        <v>1.3673847857118804</v>
      </c>
      <c r="G16" s="216">
        <f t="shared" si="1"/>
        <v>2.0447851119991856</v>
      </c>
      <c r="H16" s="216">
        <f t="shared" si="7"/>
        <v>0.48904894413198285</v>
      </c>
      <c r="I16" s="217">
        <f t="shared" si="8"/>
        <v>0.1830053980998792</v>
      </c>
      <c r="J16" s="217">
        <f t="shared" si="9"/>
        <v>0.67205434223186211</v>
      </c>
      <c r="K16" s="195">
        <f t="shared" si="2"/>
        <v>0.66889381016946636</v>
      </c>
      <c r="M16" s="218">
        <f t="shared" si="10"/>
        <v>0.66889381016946636</v>
      </c>
      <c r="N16" s="218">
        <f>Calculations!F26</f>
        <v>0.33</v>
      </c>
      <c r="O16" s="219">
        <f>Spectra!$C$10*$A16</f>
        <v>1610917442622.1528</v>
      </c>
      <c r="P16" s="219">
        <f t="shared" si="11"/>
        <v>355585793001.11493</v>
      </c>
      <c r="Q16" s="218">
        <f t="shared" si="3"/>
        <v>2.4491625948491587E-2</v>
      </c>
    </row>
    <row r="17" spans="1:17" x14ac:dyDescent="0.25">
      <c r="A17" s="214">
        <v>325</v>
      </c>
      <c r="C17" s="215">
        <f t="shared" si="0"/>
        <v>1.1076923076923078</v>
      </c>
      <c r="D17" s="216">
        <f t="shared" si="4"/>
        <v>1.3191457173790025E-6</v>
      </c>
      <c r="E17" s="216">
        <f t="shared" si="5"/>
        <v>5.5199602744059589E-3</v>
      </c>
      <c r="F17" s="217">
        <f t="shared" si="6"/>
        <v>1.0565568692715239</v>
      </c>
      <c r="G17" s="216">
        <f t="shared" si="1"/>
        <v>1.7360781486916474</v>
      </c>
      <c r="H17" s="216">
        <f t="shared" si="7"/>
        <v>0.57601093634732137</v>
      </c>
      <c r="I17" s="217">
        <f t="shared" si="8"/>
        <v>0.14571428401836548</v>
      </c>
      <c r="J17" s="217">
        <f t="shared" si="9"/>
        <v>0.72172522036568687</v>
      </c>
      <c r="K17" s="195">
        <f t="shared" si="2"/>
        <v>0.71833109647441018</v>
      </c>
      <c r="M17" s="218">
        <f t="shared" si="10"/>
        <v>0.71833109647441018</v>
      </c>
      <c r="N17" s="218">
        <f>Calculations!F27</f>
        <v>0.39915740621164403</v>
      </c>
      <c r="O17" s="219">
        <f>Spectra!$C$10*$A17</f>
        <v>1636088027663.1238</v>
      </c>
      <c r="P17" s="219">
        <f t="shared" si="11"/>
        <v>469110901936.91211</v>
      </c>
      <c r="Q17" s="218">
        <f t="shared" si="3"/>
        <v>3.2310876769371784E-2</v>
      </c>
    </row>
    <row r="18" spans="1:17" x14ac:dyDescent="0.25">
      <c r="A18" s="214">
        <v>330</v>
      </c>
      <c r="C18" s="215">
        <f t="shared" si="0"/>
        <v>1.0909090909090908</v>
      </c>
      <c r="D18" s="216">
        <f t="shared" si="4"/>
        <v>4.2493862173971693E-6</v>
      </c>
      <c r="E18" s="216">
        <f t="shared" si="5"/>
        <v>8.8312867917432099E-3</v>
      </c>
      <c r="F18" s="217">
        <f t="shared" si="6"/>
        <v>0.82278977738960613</v>
      </c>
      <c r="G18" s="216">
        <f t="shared" si="1"/>
        <v>1.5056253135675668</v>
      </c>
      <c r="H18" s="216">
        <f t="shared" si="7"/>
        <v>0.66417586831780095</v>
      </c>
      <c r="I18" s="217">
        <f t="shared" si="8"/>
        <v>0.10962837999797516</v>
      </c>
      <c r="J18" s="217">
        <f t="shared" si="9"/>
        <v>0.7738042483157761</v>
      </c>
      <c r="K18" s="195">
        <f t="shared" si="2"/>
        <v>0.77016520756693096</v>
      </c>
      <c r="M18" s="218">
        <f t="shared" si="10"/>
        <v>0.77016520756693096</v>
      </c>
      <c r="N18" s="218">
        <f>Calculations!F28</f>
        <v>0.44900000000000001</v>
      </c>
      <c r="O18" s="219">
        <f>Spectra!$C$10*$A18</f>
        <v>1661258612704.095</v>
      </c>
      <c r="P18" s="219">
        <f t="shared" si="11"/>
        <v>574470169339.74487</v>
      </c>
      <c r="Q18" s="218">
        <f t="shared" si="3"/>
        <v>3.9567690225440294E-2</v>
      </c>
    </row>
    <row r="19" spans="1:17" x14ac:dyDescent="0.25">
      <c r="A19" s="214">
        <v>335</v>
      </c>
      <c r="C19" s="215">
        <f t="shared" si="0"/>
        <v>1.0746268656716418</v>
      </c>
      <c r="D19" s="216">
        <f t="shared" si="4"/>
        <v>1.3218873937922335E-5</v>
      </c>
      <c r="E19" s="216">
        <f t="shared" si="5"/>
        <v>1.3932204630154826E-2</v>
      </c>
      <c r="F19" s="217">
        <f t="shared" si="6"/>
        <v>0.64554542362762068</v>
      </c>
      <c r="G19" s="216">
        <f t="shared" si="1"/>
        <v>1.3334908471317135</v>
      </c>
      <c r="H19" s="216">
        <f t="shared" si="7"/>
        <v>0.74991140895414521</v>
      </c>
      <c r="I19" s="217">
        <f t="shared" si="8"/>
        <v>7.7933917901155975E-2</v>
      </c>
      <c r="J19" s="217">
        <f t="shared" si="9"/>
        <v>0.82784532685530121</v>
      </c>
      <c r="K19" s="195">
        <f t="shared" si="2"/>
        <v>0.82395214213225987</v>
      </c>
      <c r="M19" s="218">
        <f t="shared" si="10"/>
        <v>0.82395214213225987</v>
      </c>
      <c r="N19" s="218">
        <f>Calculations!F29</f>
        <v>0.48690278136506698</v>
      </c>
      <c r="O19" s="219">
        <f>Spectra!$C$10*$A19</f>
        <v>1686429197745.0662</v>
      </c>
      <c r="P19" s="219">
        <f t="shared" si="11"/>
        <v>676569405782.27271</v>
      </c>
      <c r="Q19" s="218">
        <f t="shared" si="3"/>
        <v>4.6599963049031849E-2</v>
      </c>
    </row>
    <row r="20" spans="1:17" x14ac:dyDescent="0.25">
      <c r="A20" s="214">
        <v>340</v>
      </c>
      <c r="C20" s="215">
        <f t="shared" si="0"/>
        <v>1.0588235294117647</v>
      </c>
      <c r="D20" s="216">
        <f t="shared" si="4"/>
        <v>3.9771007395405464E-5</v>
      </c>
      <c r="E20" s="216">
        <f t="shared" si="5"/>
        <v>2.1686641143115189E-2</v>
      </c>
      <c r="F20" s="217">
        <f t="shared" si="6"/>
        <v>0.51010973396826176</v>
      </c>
      <c r="G20" s="216">
        <f t="shared" si="1"/>
        <v>1.2058361461187723</v>
      </c>
      <c r="H20" s="216">
        <f t="shared" si="7"/>
        <v>0.82930006968086201</v>
      </c>
      <c r="I20" s="217">
        <f t="shared" si="8"/>
        <v>5.2349515458949517E-2</v>
      </c>
      <c r="J20" s="217">
        <f t="shared" si="9"/>
        <v>0.88164958513981151</v>
      </c>
      <c r="K20" s="195">
        <f t="shared" si="2"/>
        <v>0.87750337015907276</v>
      </c>
      <c r="M20" s="218">
        <f t="shared" si="10"/>
        <v>0.87750337015907276</v>
      </c>
      <c r="N20" s="218">
        <f>Calculations!F30</f>
        <v>0.51900000000000002</v>
      </c>
      <c r="O20" s="219">
        <f>Spectra!$C$10*$A20</f>
        <v>1711599782786.0374</v>
      </c>
      <c r="P20" s="219">
        <f t="shared" si="11"/>
        <v>779504045856.5498</v>
      </c>
      <c r="Q20" s="218">
        <f t="shared" si="3"/>
        <v>5.3689775835320259E-2</v>
      </c>
    </row>
    <row r="21" spans="1:17" x14ac:dyDescent="0.25">
      <c r="A21" s="214">
        <v>345</v>
      </c>
      <c r="C21" s="215">
        <f t="shared" si="0"/>
        <v>1.0434782608695652</v>
      </c>
      <c r="D21" s="216">
        <f t="shared" si="4"/>
        <v>1.1589717862038548E-4</v>
      </c>
      <c r="E21" s="216">
        <f t="shared" si="5"/>
        <v>3.3326869870537332E-2</v>
      </c>
      <c r="F21" s="217">
        <f t="shared" si="6"/>
        <v>0.40584907983011115</v>
      </c>
      <c r="G21" s="216">
        <f t="shared" si="1"/>
        <v>1.113291846879269</v>
      </c>
      <c r="H21" s="216">
        <f t="shared" si="7"/>
        <v>0.89823706407547699</v>
      </c>
      <c r="I21" s="217">
        <f t="shared" si="8"/>
        <v>3.3226260539614499E-2</v>
      </c>
      <c r="J21" s="217">
        <f t="shared" si="9"/>
        <v>0.93146332461509151</v>
      </c>
      <c r="K21" s="195">
        <f t="shared" si="2"/>
        <v>0.92708284595823898</v>
      </c>
      <c r="M21" s="218">
        <f t="shared" si="10"/>
        <v>0.92708284595823898</v>
      </c>
      <c r="N21" s="218">
        <f>Calculations!F31</f>
        <v>0.54955621464828197</v>
      </c>
      <c r="O21" s="219">
        <f>Spectra!$C$10*$A21</f>
        <v>1736770367827.0083</v>
      </c>
      <c r="P21" s="219">
        <f t="shared" si="11"/>
        <v>884856956344.36267</v>
      </c>
      <c r="Q21" s="218">
        <f t="shared" si="3"/>
        <v>6.094615144716687E-2</v>
      </c>
    </row>
    <row r="22" spans="1:17" x14ac:dyDescent="0.25">
      <c r="A22" s="214">
        <v>350</v>
      </c>
      <c r="C22" s="215">
        <f t="shared" si="0"/>
        <v>1.0285714285714285</v>
      </c>
      <c r="D22" s="216">
        <f t="shared" si="4"/>
        <v>3.2757256989888567E-4</v>
      </c>
      <c r="E22" s="216">
        <f t="shared" si="5"/>
        <v>5.059006833086116E-2</v>
      </c>
      <c r="F22" s="217">
        <f t="shared" si="6"/>
        <v>0.3250144245892681</v>
      </c>
      <c r="G22" s="216">
        <f t="shared" si="1"/>
        <v>1.0499320654900282</v>
      </c>
      <c r="H22" s="216">
        <f t="shared" si="7"/>
        <v>0.95244257497105422</v>
      </c>
      <c r="I22" s="217">
        <f t="shared" si="8"/>
        <v>1.9926586535979049E-2</v>
      </c>
      <c r="J22" s="217">
        <f t="shared" si="9"/>
        <v>0.97236916150703323</v>
      </c>
      <c r="K22" s="195">
        <f t="shared" si="2"/>
        <v>0.96779631119075982</v>
      </c>
      <c r="M22" s="218">
        <f t="shared" si="10"/>
        <v>0.96779631119075982</v>
      </c>
      <c r="N22" s="218">
        <f>Calculations!F32</f>
        <v>0.58099999999999996</v>
      </c>
      <c r="O22" s="219">
        <f>Spectra!$C$10*$A22</f>
        <v>1761940952867.9795</v>
      </c>
      <c r="P22" s="219">
        <f t="shared" si="11"/>
        <v>990721173693.22803</v>
      </c>
      <c r="Q22" s="218">
        <f t="shared" si="3"/>
        <v>6.8237744260128588E-2</v>
      </c>
    </row>
    <row r="23" spans="1:17" x14ac:dyDescent="0.25">
      <c r="A23" s="214">
        <v>355</v>
      </c>
      <c r="C23" s="215">
        <f t="shared" si="0"/>
        <v>1.0140845070422535</v>
      </c>
      <c r="D23" s="216">
        <f t="shared" si="4"/>
        <v>8.9914835993232115E-4</v>
      </c>
      <c r="E23" s="216">
        <f t="shared" si="5"/>
        <v>7.5897904991380882E-2</v>
      </c>
      <c r="F23" s="217">
        <f t="shared" si="6"/>
        <v>0.26191353596983108</v>
      </c>
      <c r="G23" s="216">
        <f t="shared" si="1"/>
        <v>1.0127105893211443</v>
      </c>
      <c r="H23" s="216">
        <f t="shared" si="7"/>
        <v>0.98744894202235534</v>
      </c>
      <c r="I23" s="217">
        <f t="shared" si="8"/>
        <v>1.1291899294681849E-2</v>
      </c>
      <c r="J23" s="217">
        <f t="shared" si="9"/>
        <v>0.99874084131703722</v>
      </c>
      <c r="K23" s="195">
        <f t="shared" si="2"/>
        <v>0.99404397046501081</v>
      </c>
      <c r="M23" s="218">
        <f t="shared" si="10"/>
        <v>0.99404397046501081</v>
      </c>
      <c r="N23" s="218">
        <f>Calculations!F33</f>
        <v>0.61119378535171798</v>
      </c>
      <c r="O23" s="219">
        <f>Spectra!$C$10*$A23</f>
        <v>1787111537908.9507</v>
      </c>
      <c r="P23" s="219">
        <f t="shared" si="11"/>
        <v>1085765864590.3649</v>
      </c>
      <c r="Q23" s="218">
        <f t="shared" si="3"/>
        <v>7.4784122275392495E-2</v>
      </c>
    </row>
    <row r="24" spans="1:17" x14ac:dyDescent="0.25">
      <c r="A24" s="214">
        <v>360</v>
      </c>
      <c r="C24" s="215">
        <f t="shared" si="0"/>
        <v>1</v>
      </c>
      <c r="D24" s="216">
        <f t="shared" si="4"/>
        <v>2.3997940242755792E-3</v>
      </c>
      <c r="E24" s="216">
        <f t="shared" si="5"/>
        <v>0.11259026764556181</v>
      </c>
      <c r="F24" s="217">
        <f t="shared" si="6"/>
        <v>0.21233288999837557</v>
      </c>
      <c r="G24" s="216">
        <f t="shared" si="1"/>
        <v>1.0013229516682129</v>
      </c>
      <c r="H24" s="216">
        <f t="shared" si="7"/>
        <v>0.99867879622053113</v>
      </c>
      <c r="I24" s="217">
        <f t="shared" si="8"/>
        <v>6.0462169494892365E-3</v>
      </c>
      <c r="J24" s="217">
        <f t="shared" si="9"/>
        <v>1.0047250131700203</v>
      </c>
      <c r="K24" s="195">
        <f t="shared" si="2"/>
        <v>1</v>
      </c>
      <c r="M24" s="218">
        <f t="shared" si="10"/>
        <v>1</v>
      </c>
      <c r="N24" s="218">
        <f>Calculations!F34</f>
        <v>0.63800000000000001</v>
      </c>
      <c r="O24" s="219">
        <f>Spectra!$C$10*$A24</f>
        <v>1812282122949.9219</v>
      </c>
      <c r="P24" s="219">
        <f t="shared" si="11"/>
        <v>1156235994442.0503</v>
      </c>
      <c r="Q24" s="218">
        <f t="shared" si="3"/>
        <v>7.9637882169179081E-2</v>
      </c>
    </row>
    <row r="25" spans="1:17" x14ac:dyDescent="0.25">
      <c r="A25" s="214">
        <v>365</v>
      </c>
      <c r="C25" s="215">
        <f t="shared" si="0"/>
        <v>0.98630136986301364</v>
      </c>
      <c r="D25" s="216">
        <f t="shared" si="4"/>
        <v>6.2349928414030644E-3</v>
      </c>
      <c r="E25" s="216">
        <f t="shared" si="5"/>
        <v>0.16522644431424602</v>
      </c>
      <c r="F25" s="217">
        <f t="shared" si="6"/>
        <v>0.17313050771313535</v>
      </c>
      <c r="G25" s="216">
        <f t="shared" si="1"/>
        <v>1.0185919448687843</v>
      </c>
      <c r="H25" s="216">
        <f t="shared" si="7"/>
        <v>0.98174740634614055</v>
      </c>
      <c r="I25" s="217">
        <f t="shared" si="8"/>
        <v>3.0590255186415936E-3</v>
      </c>
      <c r="J25" s="217">
        <f t="shared" si="9"/>
        <v>0.98480643186478212</v>
      </c>
      <c r="K25" s="195">
        <f t="shared" si="2"/>
        <v>0.98017509164782035</v>
      </c>
      <c r="M25" s="218">
        <f t="shared" si="10"/>
        <v>0.98017509164782035</v>
      </c>
      <c r="N25" s="218">
        <f>Calculations!F35</f>
        <v>0.66016864394484598</v>
      </c>
      <c r="O25" s="219">
        <f>Spectra!$C$10*$A25</f>
        <v>1837452707990.8928</v>
      </c>
      <c r="P25" s="219">
        <f t="shared" si="11"/>
        <v>1188980480483.5688</v>
      </c>
      <c r="Q25" s="218">
        <f t="shared" si="3"/>
        <v>8.1893218911504903E-2</v>
      </c>
    </row>
    <row r="26" spans="1:17" x14ac:dyDescent="0.25">
      <c r="A26" s="214">
        <v>370</v>
      </c>
      <c r="C26" s="215">
        <f t="shared" si="0"/>
        <v>0.97297297297297303</v>
      </c>
      <c r="D26" s="216">
        <f t="shared" si="4"/>
        <v>1.5786682332233803E-2</v>
      </c>
      <c r="E26" s="216">
        <f t="shared" si="5"/>
        <v>0.23996954890723046</v>
      </c>
      <c r="F26" s="217">
        <f t="shared" si="6"/>
        <v>0.14194683360783228</v>
      </c>
      <c r="G26" s="216">
        <f t="shared" si="1"/>
        <v>1.0717030648472967</v>
      </c>
      <c r="H26" s="216">
        <f t="shared" si="7"/>
        <v>0.93309428031027097</v>
      </c>
      <c r="I26" s="217">
        <f t="shared" si="8"/>
        <v>1.4623964253557059E-3</v>
      </c>
      <c r="J26" s="217">
        <f t="shared" si="9"/>
        <v>0.9345566767356267</v>
      </c>
      <c r="K26" s="195">
        <f t="shared" si="2"/>
        <v>0.93016165068588808</v>
      </c>
      <c r="M26" s="218">
        <f t="shared" si="10"/>
        <v>0.93016165068588808</v>
      </c>
      <c r="N26" s="218">
        <f>Calculations!F36</f>
        <v>0.68</v>
      </c>
      <c r="O26" s="219">
        <f>Spectra!$C$10*$A26</f>
        <v>1862623293031.864</v>
      </c>
      <c r="P26" s="219">
        <f t="shared" si="11"/>
        <v>1178127714659.7021</v>
      </c>
      <c r="Q26" s="218">
        <f t="shared" si="3"/>
        <v>8.1145714690874005E-2</v>
      </c>
    </row>
    <row r="27" spans="1:17" x14ac:dyDescent="0.25">
      <c r="A27" s="214">
        <v>375</v>
      </c>
      <c r="C27" s="215">
        <f t="shared" si="0"/>
        <v>0.96</v>
      </c>
      <c r="D27" s="216">
        <f t="shared" si="4"/>
        <v>3.8993029931504733E-2</v>
      </c>
      <c r="E27" s="216">
        <f t="shared" si="5"/>
        <v>0.34507275504338453</v>
      </c>
      <c r="F27" s="217">
        <f t="shared" si="6"/>
        <v>0.1169978172899325</v>
      </c>
      <c r="G27" s="216">
        <f t="shared" si="1"/>
        <v>1.1750636022648218</v>
      </c>
      <c r="H27" s="216">
        <f t="shared" si="7"/>
        <v>0.85101776454703937</v>
      </c>
      <c r="I27" s="217">
        <f t="shared" si="8"/>
        <v>6.605866263317522E-4</v>
      </c>
      <c r="J27" s="217">
        <f t="shared" si="9"/>
        <v>0.8516783511733711</v>
      </c>
      <c r="K27" s="195">
        <f t="shared" si="2"/>
        <v>0.84767308468436575</v>
      </c>
      <c r="M27" s="218">
        <f t="shared" si="10"/>
        <v>0.84767308468436575</v>
      </c>
      <c r="N27" s="218">
        <f>Calculations!F37</f>
        <v>0.69988163886889698</v>
      </c>
      <c r="O27" s="219">
        <f>Spectra!$C$10*$A27</f>
        <v>1887793878072.8352</v>
      </c>
      <c r="P27" s="219">
        <f t="shared" si="11"/>
        <v>1119973036635.3491</v>
      </c>
      <c r="Q27" s="218">
        <f t="shared" si="3"/>
        <v>7.7140204208280133E-2</v>
      </c>
    </row>
    <row r="28" spans="1:17" x14ac:dyDescent="0.25">
      <c r="A28" s="214">
        <v>380</v>
      </c>
      <c r="C28" s="215">
        <f t="shared" si="0"/>
        <v>0.94736842105263153</v>
      </c>
      <c r="D28" s="216">
        <f t="shared" si="4"/>
        <v>9.4047875184039217E-2</v>
      </c>
      <c r="E28" s="216">
        <f t="shared" si="5"/>
        <v>0.49148896591014518</v>
      </c>
      <c r="F28" s="217">
        <f t="shared" si="6"/>
        <v>9.6925704560984774E-2</v>
      </c>
      <c r="G28" s="216">
        <f t="shared" si="1"/>
        <v>1.3564625456551691</v>
      </c>
      <c r="H28" s="216">
        <f t="shared" si="7"/>
        <v>0.73721165630636831</v>
      </c>
      <c r="I28" s="217">
        <f t="shared" si="8"/>
        <v>2.8195323429404515E-4</v>
      </c>
      <c r="J28" s="217">
        <f t="shared" si="9"/>
        <v>0.73749360954066234</v>
      </c>
      <c r="K28" s="195">
        <f t="shared" si="2"/>
        <v>0.73402533018839367</v>
      </c>
      <c r="M28" s="218">
        <f t="shared" si="10"/>
        <v>0.73402533018839367</v>
      </c>
      <c r="N28" s="218">
        <f>Calculations!F38</f>
        <v>0.71900000000000008</v>
      </c>
      <c r="O28" s="219">
        <f>Spectra!$C$10*$A28</f>
        <v>1912964463113.8064</v>
      </c>
      <c r="P28" s="219">
        <f t="shared" si="11"/>
        <v>1009594183234.8823</v>
      </c>
      <c r="Q28" s="218">
        <f t="shared" si="3"/>
        <v>6.9537657528078139E-2</v>
      </c>
    </row>
    <row r="29" spans="1:17" x14ac:dyDescent="0.25">
      <c r="A29" s="214">
        <v>385</v>
      </c>
      <c r="C29" s="215">
        <f t="shared" si="0"/>
        <v>0.93506493506493504</v>
      </c>
      <c r="D29" s="216">
        <f t="shared" si="4"/>
        <v>0.22170705456281234</v>
      </c>
      <c r="E29" s="216">
        <f t="shared" si="5"/>
        <v>0.69362890409170974</v>
      </c>
      <c r="F29" s="217">
        <f t="shared" si="6"/>
        <v>8.0690658399942924E-2</v>
      </c>
      <c r="G29" s="216">
        <f t="shared" si="1"/>
        <v>1.6700266170544651</v>
      </c>
      <c r="H29" s="216">
        <f t="shared" si="7"/>
        <v>0.59879285143596406</v>
      </c>
      <c r="I29" s="217">
        <f t="shared" si="8"/>
        <v>1.1371219106182275E-4</v>
      </c>
      <c r="J29" s="217">
        <f t="shared" si="9"/>
        <v>0.59890656362702588</v>
      </c>
      <c r="K29" s="195">
        <f t="shared" si="2"/>
        <v>0.59609003038294861</v>
      </c>
      <c r="M29" s="218">
        <f t="shared" si="10"/>
        <v>0.59609003038294861</v>
      </c>
      <c r="N29" s="218">
        <f>Calculations!F39</f>
        <v>0.736179800579567</v>
      </c>
      <c r="O29" s="219">
        <f>Spectra!$C$10*$A29</f>
        <v>1938135048154.7776</v>
      </c>
      <c r="P29" s="219">
        <f t="shared" si="11"/>
        <v>850510717234.59033</v>
      </c>
      <c r="Q29" s="218">
        <f t="shared" si="3"/>
        <v>5.858049101423906E-2</v>
      </c>
    </row>
    <row r="30" spans="1:17" x14ac:dyDescent="0.25">
      <c r="A30" s="214">
        <v>390</v>
      </c>
      <c r="C30" s="215">
        <f t="shared" si="0"/>
        <v>0.92307692307692313</v>
      </c>
      <c r="D30" s="216">
        <f t="shared" si="4"/>
        <v>0.51128203829786123</v>
      </c>
      <c r="E30" s="216">
        <f t="shared" si="5"/>
        <v>0.97029624571962791</v>
      </c>
      <c r="F30" s="217">
        <f t="shared" si="6"/>
        <v>6.749148439630899E-2</v>
      </c>
      <c r="G30" s="216">
        <f t="shared" si="1"/>
        <v>2.2230697684137981</v>
      </c>
      <c r="H30" s="216">
        <f t="shared" si="7"/>
        <v>0.44982843732948546</v>
      </c>
      <c r="I30" s="217">
        <f t="shared" si="8"/>
        <v>4.3333085948978417E-5</v>
      </c>
      <c r="J30" s="217">
        <f t="shared" si="9"/>
        <v>0.44987177041543447</v>
      </c>
      <c r="K30" s="195">
        <f t="shared" si="2"/>
        <v>0.44775611686628414</v>
      </c>
      <c r="M30" s="218">
        <f t="shared" si="10"/>
        <v>0.44775611686628414</v>
      </c>
      <c r="N30" s="218">
        <f>Calculations!F40</f>
        <v>0.752</v>
      </c>
      <c r="O30" s="219">
        <f>Spectra!$C$10*$A30</f>
        <v>1963305633195.7485</v>
      </c>
      <c r="P30" s="219">
        <f t="shared" si="11"/>
        <v>661069744119.15503</v>
      </c>
      <c r="Q30" s="218">
        <f t="shared" si="3"/>
        <v>4.5532395324862224E-2</v>
      </c>
    </row>
    <row r="31" spans="1:17" x14ac:dyDescent="0.25">
      <c r="A31" s="214">
        <v>395</v>
      </c>
      <c r="C31" s="215">
        <f t="shared" si="0"/>
        <v>0.91139240506329111</v>
      </c>
      <c r="D31" s="216">
        <f t="shared" si="4"/>
        <v>1.1543956941899018</v>
      </c>
      <c r="E31" s="216">
        <f t="shared" si="5"/>
        <v>1.3458323351926231</v>
      </c>
      <c r="F31" s="217">
        <f t="shared" si="6"/>
        <v>5.6707252603113628E-2</v>
      </c>
      <c r="G31" s="216">
        <f t="shared" si="1"/>
        <v>3.2309352819856385</v>
      </c>
      <c r="H31" s="216">
        <f t="shared" si="7"/>
        <v>0.30950790180651011</v>
      </c>
      <c r="I31" s="217">
        <f t="shared" si="8"/>
        <v>1.5603242280084497E-5</v>
      </c>
      <c r="J31" s="217">
        <f t="shared" si="9"/>
        <v>0.30952350504879017</v>
      </c>
      <c r="K31" s="195">
        <f t="shared" si="2"/>
        <v>0.30806788025731413</v>
      </c>
      <c r="M31" s="218">
        <f t="shared" si="10"/>
        <v>0.30806788025731413</v>
      </c>
      <c r="N31" s="218">
        <f>Calculations!F41</f>
        <v>0.76714915881283607</v>
      </c>
      <c r="O31" s="219">
        <f>Spectra!$C$10*$A31</f>
        <v>1988476218236.7197</v>
      </c>
      <c r="P31" s="219">
        <f t="shared" si="11"/>
        <v>469944568778.93811</v>
      </c>
      <c r="Q31" s="218">
        <f t="shared" si="3"/>
        <v>3.236829710747989E-2</v>
      </c>
    </row>
    <row r="32" spans="1:17" x14ac:dyDescent="0.25">
      <c r="A32" s="214">
        <v>400</v>
      </c>
      <c r="C32" s="215">
        <f t="shared" si="0"/>
        <v>0.9</v>
      </c>
      <c r="D32" s="216">
        <f t="shared" si="4"/>
        <v>2.5539153972394275</v>
      </c>
      <c r="E32" s="216">
        <f t="shared" si="5"/>
        <v>1.8515071812945394</v>
      </c>
      <c r="F32" s="217">
        <f t="shared" si="6"/>
        <v>4.7854027277297449E-2</v>
      </c>
      <c r="G32" s="216">
        <f t="shared" si="1"/>
        <v>5.1272766058112653</v>
      </c>
      <c r="H32" s="216">
        <f t="shared" si="7"/>
        <v>0.19503531345794725</v>
      </c>
      <c r="I32" s="217">
        <f t="shared" si="8"/>
        <v>5.3087555653789417E-6</v>
      </c>
      <c r="J32" s="217">
        <f t="shared" si="9"/>
        <v>0.19504062221351262</v>
      </c>
      <c r="K32" s="195">
        <f t="shared" si="2"/>
        <v>0.19412338665495901</v>
      </c>
      <c r="M32" s="218">
        <f t="shared" si="10"/>
        <v>0.19412338665495901</v>
      </c>
      <c r="N32" s="218">
        <f>Calculations!F42</f>
        <v>0.78099999999999992</v>
      </c>
      <c r="O32" s="219">
        <f>Spectra!$C$10*$A32</f>
        <v>2013646803277.6909</v>
      </c>
      <c r="P32" s="219">
        <f t="shared" si="11"/>
        <v>305289726780.75311</v>
      </c>
      <c r="Q32" s="218">
        <f t="shared" si="3"/>
        <v>2.1027391817670164E-2</v>
      </c>
    </row>
    <row r="33" spans="1:17" x14ac:dyDescent="0.25">
      <c r="A33" s="214">
        <v>405</v>
      </c>
      <c r="C33" s="215">
        <f t="shared" si="0"/>
        <v>0.88888888888888884</v>
      </c>
      <c r="D33" s="216">
        <f t="shared" si="4"/>
        <v>5.5404297830314215</v>
      </c>
      <c r="E33" s="216">
        <f t="shared" si="5"/>
        <v>2.5271978281388376</v>
      </c>
      <c r="F33" s="217">
        <f t="shared" si="6"/>
        <v>4.0552592966082095E-2</v>
      </c>
      <c r="G33" s="216">
        <f t="shared" si="1"/>
        <v>8.7821802041363402</v>
      </c>
      <c r="H33" s="216">
        <f t="shared" si="7"/>
        <v>0.11386694155159872</v>
      </c>
      <c r="I33" s="217">
        <f t="shared" si="8"/>
        <v>1.7066845220666387E-6</v>
      </c>
      <c r="J33" s="217">
        <f t="shared" si="9"/>
        <v>0.11386864823612079</v>
      </c>
      <c r="K33" s="195">
        <f t="shared" si="2"/>
        <v>0.11333314762101165</v>
      </c>
      <c r="M33" s="218">
        <f t="shared" si="10"/>
        <v>0.11333314762101165</v>
      </c>
      <c r="N33" s="218">
        <f>Calculations!F43</f>
        <v>0.792848564169089</v>
      </c>
      <c r="O33" s="219">
        <f>Spectra!$C$10*$A33</f>
        <v>2038817388318.6621</v>
      </c>
      <c r="P33" s="219">
        <f t="shared" si="11"/>
        <v>183200022879.85934</v>
      </c>
      <c r="Q33" s="218">
        <f t="shared" si="3"/>
        <v>1.2618238755434606E-2</v>
      </c>
    </row>
    <row r="34" spans="1:17" x14ac:dyDescent="0.25">
      <c r="A34" s="214">
        <v>410</v>
      </c>
      <c r="C34" s="215">
        <f t="shared" si="0"/>
        <v>0.87804878048780488</v>
      </c>
      <c r="D34" s="216">
        <f t="shared" si="4"/>
        <v>11.794432893645681</v>
      </c>
      <c r="E34" s="216">
        <f t="shared" si="5"/>
        <v>3.4233997845381863</v>
      </c>
      <c r="F34" s="217">
        <f t="shared" si="6"/>
        <v>3.4504236315423445E-2</v>
      </c>
      <c r="G34" s="216">
        <f t="shared" si="1"/>
        <v>15.926336914499291</v>
      </c>
      <c r="H34" s="216">
        <f t="shared" si="7"/>
        <v>6.2789077323210638E-2</v>
      </c>
      <c r="I34" s="217">
        <f t="shared" si="8"/>
        <v>5.1843750736117632E-7</v>
      </c>
      <c r="J34" s="217">
        <f t="shared" si="9"/>
        <v>6.2789595760717992E-2</v>
      </c>
      <c r="K34" s="195">
        <f t="shared" si="2"/>
        <v>6.2494309326100846E-2</v>
      </c>
      <c r="M34" s="218">
        <f t="shared" si="10"/>
        <v>6.2494309326100846E-2</v>
      </c>
      <c r="N34" s="218">
        <f>Calculations!F44</f>
        <v>0.80299999999999994</v>
      </c>
      <c r="O34" s="219">
        <f>Spectra!$C$10*$A34</f>
        <v>2063987973359.6331</v>
      </c>
      <c r="P34" s="219">
        <f t="shared" si="11"/>
        <v>103576964790.54857</v>
      </c>
      <c r="Q34" s="218">
        <f t="shared" si="3"/>
        <v>7.1340540833200409E-3</v>
      </c>
    </row>
    <row r="35" spans="1:17" x14ac:dyDescent="0.25">
      <c r="A35" s="214">
        <v>415</v>
      </c>
      <c r="C35" s="215">
        <f t="shared" si="0"/>
        <v>0.86746987951807231</v>
      </c>
      <c r="D35" s="216">
        <f t="shared" si="4"/>
        <v>24.654933662964137</v>
      </c>
      <c r="E35" s="216">
        <f t="shared" si="5"/>
        <v>4.6036219471710664</v>
      </c>
      <c r="F35" s="217">
        <f t="shared" si="6"/>
        <v>2.9472466360616609E-2</v>
      </c>
      <c r="G35" s="216">
        <f t="shared" si="1"/>
        <v>29.96202807649582</v>
      </c>
      <c r="H35" s="216">
        <f t="shared" si="7"/>
        <v>3.3375577829608455E-2</v>
      </c>
      <c r="I35" s="217">
        <f t="shared" si="8"/>
        <v>1.4880660938773537E-7</v>
      </c>
      <c r="J35" s="217">
        <f t="shared" si="9"/>
        <v>3.3375726636217844E-2</v>
      </c>
      <c r="K35" s="195">
        <f t="shared" si="2"/>
        <v>3.3218767522183681E-2</v>
      </c>
      <c r="M35" s="218">
        <f t="shared" si="10"/>
        <v>3.3218767522183681E-2</v>
      </c>
      <c r="N35" s="218">
        <f>Calculations!F45</f>
        <v>0.81195658451080899</v>
      </c>
      <c r="O35" s="219">
        <f>Spectra!$C$10*$A35</f>
        <v>2089158558400.6042</v>
      </c>
      <c r="P35" s="219">
        <f t="shared" si="11"/>
        <v>56349196241.050224</v>
      </c>
      <c r="Q35" s="218">
        <f t="shared" si="3"/>
        <v>3.8811546017802324E-3</v>
      </c>
    </row>
    <row r="36" spans="1:17" x14ac:dyDescent="0.25">
      <c r="A36" s="214">
        <v>420</v>
      </c>
      <c r="C36" s="215">
        <f t="shared" si="0"/>
        <v>0.8571428571428571</v>
      </c>
      <c r="D36" s="216">
        <f t="shared" si="4"/>
        <v>50.64145393462762</v>
      </c>
      <c r="E36" s="216">
        <f t="shared" si="5"/>
        <v>6.1472203251842572</v>
      </c>
      <c r="F36" s="217">
        <f t="shared" si="6"/>
        <v>2.5269139040764901E-2</v>
      </c>
      <c r="G36" s="216">
        <f t="shared" si="1"/>
        <v>57.487943398852643</v>
      </c>
      <c r="H36" s="216">
        <f t="shared" si="7"/>
        <v>1.7394951721650183E-2</v>
      </c>
      <c r="I36" s="217">
        <f t="shared" si="8"/>
        <v>4.0358096273617722E-8</v>
      </c>
      <c r="J36" s="217">
        <f t="shared" si="9"/>
        <v>1.7394992079746457E-2</v>
      </c>
      <c r="K36" s="195">
        <f t="shared" si="2"/>
        <v>1.7313187042953478E-2</v>
      </c>
      <c r="M36" s="218">
        <f t="shared" si="10"/>
        <v>1.7313187042953478E-2</v>
      </c>
      <c r="N36" s="218">
        <f>Calculations!F46</f>
        <v>0.82</v>
      </c>
      <c r="O36" s="219">
        <f>Spectra!$C$10*$A36</f>
        <v>2114329143441.5754</v>
      </c>
      <c r="P36" s="219">
        <f t="shared" si="11"/>
        <v>30016736263.232719</v>
      </c>
      <c r="Q36" s="218">
        <f t="shared" si="3"/>
        <v>2.0674579559237728E-3</v>
      </c>
    </row>
    <row r="37" spans="1:17" x14ac:dyDescent="0.25">
      <c r="A37" s="214">
        <v>425</v>
      </c>
      <c r="C37" s="215">
        <f t="shared" si="0"/>
        <v>0.84705882352941175</v>
      </c>
      <c r="D37" s="216">
        <f t="shared" si="4"/>
        <v>102.27115122431127</v>
      </c>
      <c r="E37" s="216">
        <f t="shared" si="5"/>
        <v>8.1527308208841305</v>
      </c>
      <c r="F37" s="217">
        <f t="shared" si="6"/>
        <v>2.1743867191567044E-2</v>
      </c>
      <c r="G37" s="216">
        <f t="shared" si="1"/>
        <v>111.11962591238697</v>
      </c>
      <c r="H37" s="216">
        <f t="shared" si="7"/>
        <v>8.9993103539464485E-3</v>
      </c>
      <c r="I37" s="217">
        <f t="shared" si="8"/>
        <v>1.0342410376430042E-8</v>
      </c>
      <c r="J37" s="217">
        <f t="shared" si="9"/>
        <v>8.9993206963568245E-3</v>
      </c>
      <c r="K37" s="195">
        <f t="shared" si="2"/>
        <v>8.9569987592554873E-3</v>
      </c>
      <c r="M37" s="218">
        <f t="shared" si="10"/>
        <v>8.9569987592554873E-3</v>
      </c>
      <c r="N37" s="218">
        <f>Calculations!F47</f>
        <v>0.82745009778767498</v>
      </c>
      <c r="O37" s="219">
        <f>Spectra!$C$10*$A37</f>
        <v>2139499728482.5466</v>
      </c>
      <c r="P37" s="219">
        <f t="shared" si="11"/>
        <v>15856836981.259338</v>
      </c>
      <c r="Q37" s="218">
        <f t="shared" si="3"/>
        <v>1.0921688315876966E-3</v>
      </c>
    </row>
    <row r="38" spans="1:17" x14ac:dyDescent="0.25">
      <c r="A38" s="214">
        <v>430</v>
      </c>
      <c r="C38" s="215">
        <f t="shared" si="0"/>
        <v>0.83720930232558144</v>
      </c>
      <c r="D38" s="216">
        <f t="shared" si="4"/>
        <v>203.189544343336</v>
      </c>
      <c r="E38" s="216">
        <f t="shared" si="5"/>
        <v>10.741766293150011</v>
      </c>
      <c r="F38" s="217">
        <f t="shared" si="6"/>
        <v>1.8775895325679783E-2</v>
      </c>
      <c r="G38" s="216">
        <f t="shared" si="1"/>
        <v>214.62408653181171</v>
      </c>
      <c r="H38" s="216">
        <f t="shared" si="7"/>
        <v>4.659309288903039E-3</v>
      </c>
      <c r="I38" s="217">
        <f t="shared" si="8"/>
        <v>2.5043527637587346E-9</v>
      </c>
      <c r="J38" s="217">
        <f t="shared" si="9"/>
        <v>4.6593117932558024E-3</v>
      </c>
      <c r="K38" s="195">
        <f t="shared" si="2"/>
        <v>4.6374000171003514E-3</v>
      </c>
      <c r="M38" s="218">
        <f t="shared" si="10"/>
        <v>4.6374000171003514E-3</v>
      </c>
      <c r="N38" s="218">
        <f>Calculations!F48</f>
        <v>0.83499999999999996</v>
      </c>
      <c r="O38" s="219">
        <f>Spectra!$C$10*$A38</f>
        <v>2164670313523.5178</v>
      </c>
      <c r="P38" s="219">
        <f t="shared" si="11"/>
        <v>8382099194.3737373</v>
      </c>
      <c r="Q38" s="218">
        <f t="shared" si="3"/>
        <v>5.7733250926341308E-4</v>
      </c>
    </row>
    <row r="39" spans="1:17" x14ac:dyDescent="0.25">
      <c r="A39" s="214">
        <v>435</v>
      </c>
      <c r="C39" s="215">
        <f t="shared" si="0"/>
        <v>0.82758620689655171</v>
      </c>
      <c r="D39" s="216">
        <f t="shared" si="4"/>
        <v>397.37046659288603</v>
      </c>
      <c r="E39" s="216">
        <f t="shared" si="5"/>
        <v>14.063548074034431</v>
      </c>
      <c r="F39" s="217">
        <f t="shared" si="6"/>
        <v>1.626783363933355E-2</v>
      </c>
      <c r="G39" s="216">
        <f t="shared" si="1"/>
        <v>412.12428250055979</v>
      </c>
      <c r="H39" s="216">
        <f t="shared" si="7"/>
        <v>2.4264525107147543E-3</v>
      </c>
      <c r="I39" s="217">
        <f t="shared" si="8"/>
        <v>5.7299638837348367E-10</v>
      </c>
      <c r="J39" s="217">
        <f t="shared" si="9"/>
        <v>2.4264530837111425E-3</v>
      </c>
      <c r="K39" s="195">
        <f t="shared" si="2"/>
        <v>2.4150419785563121E-3</v>
      </c>
      <c r="M39" s="218">
        <f t="shared" si="10"/>
        <v>2.4150419785563121E-3</v>
      </c>
      <c r="N39" s="218">
        <f>Calculations!F49</f>
        <v>0.84311802433849192</v>
      </c>
      <c r="O39" s="219">
        <f>Spectra!$C$10*$A39</f>
        <v>2189840898564.4888</v>
      </c>
      <c r="P39" s="219">
        <f t="shared" si="11"/>
        <v>4458878316.5827522</v>
      </c>
      <c r="Q39" s="218">
        <f t="shared" si="3"/>
        <v>3.0711345061877154E-4</v>
      </c>
    </row>
    <row r="40" spans="1:17" x14ac:dyDescent="0.25">
      <c r="A40" s="214">
        <v>440</v>
      </c>
      <c r="C40" s="215">
        <f t="shared" si="0"/>
        <v>0.81818181818181823</v>
      </c>
      <c r="D40" s="216">
        <f t="shared" si="4"/>
        <v>765.36657663477899</v>
      </c>
      <c r="E40" s="216">
        <f t="shared" si="5"/>
        <v>18.300146969019551</v>
      </c>
      <c r="F40" s="217">
        <f t="shared" si="6"/>
        <v>1.4140801893975657E-2</v>
      </c>
      <c r="G40" s="216">
        <f t="shared" si="1"/>
        <v>784.35486440569252</v>
      </c>
      <c r="H40" s="216">
        <f t="shared" si="7"/>
        <v>1.2749331270581236E-3</v>
      </c>
      <c r="I40" s="217">
        <f t="shared" si="8"/>
        <v>1.2387706550322804E-10</v>
      </c>
      <c r="J40" s="217">
        <f t="shared" si="9"/>
        <v>1.2749332509351891E-3</v>
      </c>
      <c r="K40" s="195">
        <f t="shared" si="2"/>
        <v>1.2689375045144258E-3</v>
      </c>
      <c r="M40" s="218">
        <f t="shared" si="10"/>
        <v>1.2689375045144258E-3</v>
      </c>
      <c r="N40" s="218">
        <f>Calculations!F50</f>
        <v>0.85099999999999998</v>
      </c>
      <c r="O40" s="219">
        <f>Spectra!$C$10*$A40</f>
        <v>2215011483605.46</v>
      </c>
      <c r="P40" s="219">
        <f t="shared" si="11"/>
        <v>2391915183.9500189</v>
      </c>
      <c r="Q40" s="218">
        <f t="shared" si="3"/>
        <v>1.6474756061369872E-4</v>
      </c>
    </row>
    <row r="41" spans="1:17" x14ac:dyDescent="0.25">
      <c r="A41" s="214">
        <v>445</v>
      </c>
      <c r="C41" s="215">
        <f t="shared" si="0"/>
        <v>0.8089887640449438</v>
      </c>
      <c r="D41" s="216">
        <f t="shared" si="4"/>
        <v>1452.6006454855858</v>
      </c>
      <c r="E41" s="216">
        <f t="shared" si="5"/>
        <v>23.672513490158071</v>
      </c>
      <c r="F41" s="217">
        <f t="shared" si="6"/>
        <v>1.2330647910133895E-2</v>
      </c>
      <c r="G41" s="216">
        <f t="shared" si="1"/>
        <v>1476.959489623654</v>
      </c>
      <c r="H41" s="216">
        <f t="shared" si="7"/>
        <v>6.7706664063942024E-4</v>
      </c>
      <c r="I41" s="217">
        <f t="shared" si="8"/>
        <v>2.5305363293656413E-11</v>
      </c>
      <c r="J41" s="217">
        <f t="shared" si="9"/>
        <v>6.7706666594478352E-4</v>
      </c>
      <c r="K41" s="195">
        <f t="shared" si="2"/>
        <v>6.7388256196445446E-4</v>
      </c>
      <c r="M41" s="218">
        <f t="shared" si="10"/>
        <v>6.7388256196445446E-4</v>
      </c>
      <c r="N41" s="218">
        <f>Calculations!F51</f>
        <v>0.85782780485835697</v>
      </c>
      <c r="O41" s="219">
        <f>Spectra!$C$10*$A41</f>
        <v>2240182068646.4312</v>
      </c>
      <c r="P41" s="219">
        <f t="shared" si="11"/>
        <v>1294993694.8205302</v>
      </c>
      <c r="Q41" s="218">
        <f t="shared" si="3"/>
        <v>8.9195074166250644E-5</v>
      </c>
    </row>
    <row r="42" spans="1:17" x14ac:dyDescent="0.25">
      <c r="A42" s="214">
        <v>450</v>
      </c>
      <c r="C42" s="215">
        <f t="shared" si="0"/>
        <v>0.8</v>
      </c>
      <c r="D42" s="216">
        <f t="shared" si="4"/>
        <v>2717.934868691721</v>
      </c>
      <c r="E42" s="216">
        <f t="shared" si="5"/>
        <v>30.447381590538228</v>
      </c>
      <c r="F42" s="217">
        <f t="shared" si="6"/>
        <v>1.0784989205741261E-2</v>
      </c>
      <c r="G42" s="216">
        <f t="shared" si="1"/>
        <v>2749.0670352714646</v>
      </c>
      <c r="H42" s="216">
        <f t="shared" si="7"/>
        <v>3.6375977274095538E-4</v>
      </c>
      <c r="I42" s="217">
        <f t="shared" si="8"/>
        <v>4.8844637143362098E-12</v>
      </c>
      <c r="J42" s="217">
        <f t="shared" si="9"/>
        <v>3.6375977762541909E-4</v>
      </c>
      <c r="K42" s="195">
        <f t="shared" si="2"/>
        <v>3.6204909090270992E-4</v>
      </c>
      <c r="M42" s="218">
        <f t="shared" si="10"/>
        <v>3.6204909090270992E-4</v>
      </c>
      <c r="N42" s="218">
        <f>Calculations!F52</f>
        <v>0.8640000000000001</v>
      </c>
      <c r="O42" s="219">
        <f>Spectra!$C$10*$A42</f>
        <v>2265352653687.4023</v>
      </c>
      <c r="P42" s="219">
        <f t="shared" si="11"/>
        <v>708625902.67911267</v>
      </c>
      <c r="Q42" s="218">
        <f t="shared" si="3"/>
        <v>4.8807913272774126E-5</v>
      </c>
    </row>
    <row r="43" spans="1:17" x14ac:dyDescent="0.25">
      <c r="A43" s="214">
        <v>455</v>
      </c>
      <c r="C43" s="215">
        <f t="shared" si="0"/>
        <v>0.79120879120879117</v>
      </c>
      <c r="D43" s="216">
        <f t="shared" si="4"/>
        <v>5015.9337987909939</v>
      </c>
      <c r="E43" s="216">
        <f t="shared" si="5"/>
        <v>38.945134429879523</v>
      </c>
      <c r="F43" s="217">
        <f t="shared" si="6"/>
        <v>9.4608881931248501E-3</v>
      </c>
      <c r="G43" s="216">
        <f t="shared" si="1"/>
        <v>5055.5623941090662</v>
      </c>
      <c r="H43" s="216">
        <f t="shared" si="7"/>
        <v>1.9780193023930198E-4</v>
      </c>
      <c r="I43" s="217">
        <f t="shared" si="8"/>
        <v>8.9084847755620621E-13</v>
      </c>
      <c r="J43" s="217">
        <f t="shared" si="9"/>
        <v>1.9780193113015047E-4</v>
      </c>
      <c r="K43" s="195">
        <f t="shared" si="2"/>
        <v>1.9687170970897116E-4</v>
      </c>
      <c r="M43" s="218">
        <f t="shared" si="10"/>
        <v>1.9687170970897116E-4</v>
      </c>
      <c r="N43" s="218">
        <f>Calculations!F53</f>
        <v>0.87007075622808105</v>
      </c>
      <c r="O43" s="219">
        <f>Spectra!$C$10*$A43</f>
        <v>2290523238728.3735</v>
      </c>
      <c r="P43" s="219">
        <f t="shared" si="11"/>
        <v>392349033.49756396</v>
      </c>
      <c r="Q43" s="218">
        <f t="shared" si="3"/>
        <v>2.7023761800417045E-5</v>
      </c>
    </row>
    <row r="44" spans="1:17" x14ac:dyDescent="0.25">
      <c r="A44" s="214">
        <v>460</v>
      </c>
      <c r="C44" s="215">
        <f t="shared" ref="C44:C75" si="12">$C$4/A44</f>
        <v>0.78260869565217395</v>
      </c>
      <c r="D44" s="216">
        <f t="shared" si="4"/>
        <v>9134.3886669908661</v>
      </c>
      <c r="E44" s="216">
        <f t="shared" si="5"/>
        <v>49.548724647136524</v>
      </c>
      <c r="F44" s="217">
        <f t="shared" si="6"/>
        <v>8.3230172905141998E-3</v>
      </c>
      <c r="G44" s="216">
        <f t="shared" ref="G44:G75" si="13">D44+E44+F44+$G$4</f>
        <v>9184.619714655295</v>
      </c>
      <c r="H44" s="216">
        <f t="shared" si="7"/>
        <v>1.0887767061322807E-4</v>
      </c>
      <c r="I44" s="217">
        <f t="shared" si="8"/>
        <v>1.5352299703196297E-13</v>
      </c>
      <c r="J44" s="217">
        <f t="shared" si="9"/>
        <v>1.0887767076675107E-4</v>
      </c>
      <c r="K44" s="195">
        <f t="shared" si="2"/>
        <v>1.0836564168262298E-4</v>
      </c>
      <c r="M44" s="218">
        <f t="shared" si="10"/>
        <v>1.0836564168262298E-4</v>
      </c>
      <c r="N44" s="218">
        <f>Calculations!F54</f>
        <v>0.87599999999999989</v>
      </c>
      <c r="O44" s="219">
        <f>Spectra!$C$10*$A44</f>
        <v>2315693823769.3447</v>
      </c>
      <c r="P44" s="219">
        <f t="shared" si="11"/>
        <v>219824882.90624866</v>
      </c>
      <c r="Q44" s="218">
        <f t="shared" ref="Q44:Q75" si="14">P44/SUM(P$12:P$108)</f>
        <v>1.514084339779549E-5</v>
      </c>
    </row>
    <row r="45" spans="1:17" x14ac:dyDescent="0.25">
      <c r="A45" s="214">
        <v>465</v>
      </c>
      <c r="C45" s="215">
        <f t="shared" si="12"/>
        <v>0.77419354838709675</v>
      </c>
      <c r="D45" s="216">
        <f t="shared" si="4"/>
        <v>16421.345278107416</v>
      </c>
      <c r="E45" s="216">
        <f t="shared" si="5"/>
        <v>62.713745191056454</v>
      </c>
      <c r="F45" s="217">
        <f t="shared" si="6"/>
        <v>7.3422045867643547E-3</v>
      </c>
      <c r="G45" s="216">
        <f t="shared" si="13"/>
        <v>16484.740365503058</v>
      </c>
      <c r="H45" s="216">
        <f t="shared" si="7"/>
        <v>6.0662162571432373E-5</v>
      </c>
      <c r="I45" s="217">
        <f t="shared" si="8"/>
        <v>2.4999175259154812E-14</v>
      </c>
      <c r="J45" s="217">
        <f t="shared" si="9"/>
        <v>6.0662162596431547E-5</v>
      </c>
      <c r="K45" s="195">
        <f t="shared" si="2"/>
        <v>6.0376881038360546E-5</v>
      </c>
      <c r="M45" s="218">
        <f t="shared" si="10"/>
        <v>6.0376881038360546E-5</v>
      </c>
      <c r="N45" s="218">
        <f>Calculations!F55</f>
        <v>0.88163917022932092</v>
      </c>
      <c r="O45" s="219">
        <f>Spectra!$C$10*$A45</f>
        <v>2340864408810.3154</v>
      </c>
      <c r="P45" s="219">
        <f t="shared" si="11"/>
        <v>124605671.54104422</v>
      </c>
      <c r="Q45" s="218">
        <f t="shared" si="14"/>
        <v>8.5824449640885669E-6</v>
      </c>
    </row>
    <row r="46" spans="1:17" x14ac:dyDescent="0.25">
      <c r="A46" s="214">
        <v>470</v>
      </c>
      <c r="C46" s="215">
        <f t="shared" si="12"/>
        <v>0.76595744680851063</v>
      </c>
      <c r="D46" s="216">
        <f t="shared" si="4"/>
        <v>29155.346516837355</v>
      </c>
      <c r="E46" s="216">
        <f t="shared" si="5"/>
        <v>78.979749910478731</v>
      </c>
      <c r="F46" s="217">
        <f t="shared" si="6"/>
        <v>6.4942764083697037E-3</v>
      </c>
      <c r="G46" s="216">
        <f t="shared" si="13"/>
        <v>29235.00676102424</v>
      </c>
      <c r="H46" s="216">
        <f t="shared" si="7"/>
        <v>3.4205567598266743E-5</v>
      </c>
      <c r="I46" s="217">
        <f t="shared" si="8"/>
        <v>3.8464542018936449E-15</v>
      </c>
      <c r="J46" s="217">
        <f t="shared" si="9"/>
        <v>3.4205567602113194E-5</v>
      </c>
      <c r="K46" s="195">
        <f t="shared" si="2"/>
        <v>3.4044705918279853E-5</v>
      </c>
      <c r="M46" s="218">
        <f t="shared" si="10"/>
        <v>3.4044705918279853E-5</v>
      </c>
      <c r="N46" s="218">
        <f>Calculations!F56</f>
        <v>0.88700000000000001</v>
      </c>
      <c r="O46" s="219">
        <f>Spectra!$C$10*$A46</f>
        <v>2366034993851.2866</v>
      </c>
      <c r="P46" s="219">
        <f t="shared" si="11"/>
        <v>71448706.449969172</v>
      </c>
      <c r="Q46" s="218">
        <f t="shared" si="14"/>
        <v>4.9211611580632991E-6</v>
      </c>
    </row>
    <row r="47" spans="1:17" x14ac:dyDescent="0.25">
      <c r="A47" s="214">
        <v>475</v>
      </c>
      <c r="C47" s="215">
        <f t="shared" si="12"/>
        <v>0.75789473684210529</v>
      </c>
      <c r="D47" s="216">
        <f t="shared" si="4"/>
        <v>51142.159418298455</v>
      </c>
      <c r="E47" s="216">
        <f t="shared" si="5"/>
        <v>98.982925782897297</v>
      </c>
      <c r="F47" s="217">
        <f t="shared" si="6"/>
        <v>5.7591325126877292E-3</v>
      </c>
      <c r="G47" s="216">
        <f t="shared" si="13"/>
        <v>51241.822103213861</v>
      </c>
      <c r="H47" s="216">
        <f t="shared" si="7"/>
        <v>1.9515309154810102E-5</v>
      </c>
      <c r="I47" s="217">
        <f t="shared" si="8"/>
        <v>5.5921407514330292E-16</v>
      </c>
      <c r="J47" s="217">
        <f t="shared" si="9"/>
        <v>1.9515309155369316E-5</v>
      </c>
      <c r="K47" s="195">
        <f t="shared" si="2"/>
        <v>1.9423532707517973E-5</v>
      </c>
      <c r="M47" s="218">
        <f t="shared" si="10"/>
        <v>1.9423532707517973E-5</v>
      </c>
      <c r="N47" s="218">
        <f>Calculations!F57</f>
        <v>0.89199756285463494</v>
      </c>
      <c r="O47" s="219">
        <f>Spectra!$C$10*$A47</f>
        <v>2391205578892.2578</v>
      </c>
      <c r="P47" s="219">
        <f t="shared" si="11"/>
        <v>41429415.321811348</v>
      </c>
      <c r="Q47" s="218">
        <f t="shared" si="14"/>
        <v>2.8535272311155815E-6</v>
      </c>
    </row>
    <row r="48" spans="1:17" x14ac:dyDescent="0.25">
      <c r="A48" s="214">
        <v>480</v>
      </c>
      <c r="C48" s="215">
        <f t="shared" si="12"/>
        <v>0.75</v>
      </c>
      <c r="D48" s="216">
        <f t="shared" si="4"/>
        <v>88665.632143241368</v>
      </c>
      <c r="E48" s="216">
        <f t="shared" si="5"/>
        <v>123.47022081645788</v>
      </c>
      <c r="F48" s="217">
        <f t="shared" si="6"/>
        <v>5.1200043004470891E-3</v>
      </c>
      <c r="G48" s="216">
        <f t="shared" si="13"/>
        <v>88789.781484062114</v>
      </c>
      <c r="H48" s="216">
        <f t="shared" si="7"/>
        <v>1.1262557281768976E-5</v>
      </c>
      <c r="I48" s="217">
        <f t="shared" si="8"/>
        <v>7.6820700894469825E-17</v>
      </c>
      <c r="J48" s="217">
        <f t="shared" si="9"/>
        <v>1.1262557281845797E-5</v>
      </c>
      <c r="K48" s="195">
        <f t="shared" si="2"/>
        <v>1.1209591812899297E-5</v>
      </c>
      <c r="M48" s="218">
        <f t="shared" si="10"/>
        <v>1.1209591812899297E-5</v>
      </c>
      <c r="N48" s="218">
        <f>Calculations!F58</f>
        <v>0.89599999999999991</v>
      </c>
      <c r="O48" s="219">
        <f>Spectra!$C$10*$A48</f>
        <v>2416376163933.229</v>
      </c>
      <c r="P48" s="219">
        <f t="shared" si="11"/>
        <v>24269585.055843394</v>
      </c>
      <c r="Q48" s="218">
        <f t="shared" si="14"/>
        <v>1.6716123388848497E-6</v>
      </c>
    </row>
    <row r="49" spans="1:17" x14ac:dyDescent="0.25">
      <c r="A49" s="214">
        <v>485</v>
      </c>
      <c r="C49" s="215">
        <f t="shared" si="12"/>
        <v>0.74226804123711343</v>
      </c>
      <c r="D49" s="216">
        <f t="shared" si="4"/>
        <v>151986.22295148487</v>
      </c>
      <c r="E49" s="216">
        <f t="shared" si="5"/>
        <v>153.31503325581713</v>
      </c>
      <c r="F49" s="217">
        <f t="shared" si="6"/>
        <v>4.5628575976990656E-3</v>
      </c>
      <c r="G49" s="216">
        <f t="shared" si="13"/>
        <v>152140.21654759828</v>
      </c>
      <c r="H49" s="216">
        <f t="shared" si="7"/>
        <v>6.5728840321923822E-6</v>
      </c>
      <c r="I49" s="217">
        <f t="shared" si="8"/>
        <v>9.9715134649001733E-18</v>
      </c>
      <c r="J49" s="217">
        <f t="shared" si="9"/>
        <v>6.5728840322023535E-6</v>
      </c>
      <c r="K49" s="195">
        <f t="shared" si="2"/>
        <v>6.5419731230380803E-6</v>
      </c>
      <c r="M49" s="218">
        <f t="shared" si="10"/>
        <v>6.5419731230380803E-6</v>
      </c>
      <c r="N49" s="218">
        <f>Calculations!F59</f>
        <v>0.89874557835213809</v>
      </c>
      <c r="O49" s="219">
        <f>Spectra!$C$10*$A49</f>
        <v>2441546748974.2002</v>
      </c>
      <c r="P49" s="219">
        <f t="shared" si="11"/>
        <v>14355243.597956842</v>
      </c>
      <c r="Q49" s="218">
        <f t="shared" si="14"/>
        <v>9.8874382363058913E-7</v>
      </c>
    </row>
    <row r="50" spans="1:17" x14ac:dyDescent="0.25">
      <c r="A50" s="214">
        <v>490</v>
      </c>
      <c r="C50" s="215">
        <f t="shared" si="12"/>
        <v>0.73469387755102045</v>
      </c>
      <c r="D50" s="216">
        <f t="shared" si="4"/>
        <v>257677.57322216517</v>
      </c>
      <c r="E50" s="216">
        <f t="shared" si="5"/>
        <v>189.53456871991696</v>
      </c>
      <c r="F50" s="217">
        <f t="shared" si="6"/>
        <v>4.0759100808933175E-3</v>
      </c>
      <c r="G50" s="216">
        <f t="shared" si="13"/>
        <v>257867.78586679517</v>
      </c>
      <c r="H50" s="216">
        <f t="shared" si="7"/>
        <v>3.8779562815052925E-6</v>
      </c>
      <c r="I50" s="217">
        <f t="shared" si="8"/>
        <v>1.223000228572744E-18</v>
      </c>
      <c r="J50" s="217">
        <f t="shared" si="9"/>
        <v>3.8779562815065156E-6</v>
      </c>
      <c r="K50" s="195">
        <f t="shared" si="2"/>
        <v>3.8597190581243004E-6</v>
      </c>
      <c r="M50" s="218">
        <f t="shared" si="10"/>
        <v>3.8597190581243004E-6</v>
      </c>
      <c r="N50" s="218">
        <f>Calculations!F60</f>
        <v>0.90200000000000002</v>
      </c>
      <c r="O50" s="219">
        <f>Spectra!$C$10*$A50</f>
        <v>2466717334015.1714</v>
      </c>
      <c r="P50" s="219">
        <f t="shared" si="11"/>
        <v>8587793.9864037391</v>
      </c>
      <c r="Q50" s="218">
        <f t="shared" si="14"/>
        <v>5.9150011664567921E-7</v>
      </c>
    </row>
    <row r="51" spans="1:17" x14ac:dyDescent="0.25">
      <c r="A51" s="214">
        <v>495</v>
      </c>
      <c r="C51" s="215">
        <f t="shared" si="12"/>
        <v>0.72727272727272729</v>
      </c>
      <c r="D51" s="216">
        <f t="shared" si="4"/>
        <v>432232.33733587101</v>
      </c>
      <c r="E51" s="216">
        <f t="shared" si="5"/>
        <v>233.30897226907155</v>
      </c>
      <c r="F51" s="217">
        <f t="shared" si="6"/>
        <v>3.6492399584354364E-3</v>
      </c>
      <c r="G51" s="216">
        <f t="shared" si="13"/>
        <v>432466.32395738002</v>
      </c>
      <c r="H51" s="216">
        <f t="shared" si="7"/>
        <v>2.3123187739782279E-6</v>
      </c>
      <c r="I51" s="217">
        <f t="shared" si="8"/>
        <v>1.4173419446048124E-19</v>
      </c>
      <c r="J51" s="217">
        <f t="shared" si="9"/>
        <v>2.3123187739783697E-6</v>
      </c>
      <c r="K51" s="195">
        <f t="shared" si="2"/>
        <v>2.3014444187895195E-6</v>
      </c>
      <c r="M51" s="218">
        <f t="shared" si="10"/>
        <v>2.3014444187895195E-6</v>
      </c>
      <c r="N51" s="218">
        <f>Calculations!F61</f>
        <v>0.90727012373681504</v>
      </c>
      <c r="O51" s="219">
        <f>Spectra!$C$10*$A51</f>
        <v>2491887919056.1426</v>
      </c>
      <c r="P51" s="219">
        <f t="shared" si="11"/>
        <v>5203141.1238497989</v>
      </c>
      <c r="Q51" s="218">
        <f t="shared" si="14"/>
        <v>3.5837592128475123E-7</v>
      </c>
    </row>
    <row r="52" spans="1:17" x14ac:dyDescent="0.25">
      <c r="A52" s="214">
        <v>500</v>
      </c>
      <c r="C52" s="215">
        <f t="shared" si="12"/>
        <v>0.72</v>
      </c>
      <c r="D52" s="216">
        <f t="shared" si="4"/>
        <v>717571.32652801718</v>
      </c>
      <c r="E52" s="216">
        <f t="shared" si="5"/>
        <v>286.00234211511281</v>
      </c>
      <c r="F52" s="217">
        <f t="shared" si="6"/>
        <v>3.2744675606917162E-3</v>
      </c>
      <c r="G52" s="216">
        <f t="shared" si="13"/>
        <v>717858.00614459987</v>
      </c>
      <c r="H52" s="216">
        <f t="shared" si="7"/>
        <v>1.3930331506236172E-6</v>
      </c>
      <c r="I52" s="217">
        <f t="shared" si="8"/>
        <v>1.5520488441158547E-20</v>
      </c>
      <c r="J52" s="217">
        <f t="shared" si="9"/>
        <v>1.3930331506236327E-6</v>
      </c>
      <c r="K52" s="195">
        <f t="shared" si="2"/>
        <v>1.3864820048905289E-6</v>
      </c>
      <c r="M52" s="218">
        <f t="shared" si="10"/>
        <v>1.3864820048905289E-6</v>
      </c>
      <c r="N52" s="218">
        <f>Calculations!F62</f>
        <v>0.91299999999999992</v>
      </c>
      <c r="O52" s="219">
        <f>Spectra!$C$10*$A52</f>
        <v>2517058504097.1138</v>
      </c>
      <c r="P52" s="219">
        <f t="shared" si="11"/>
        <v>3186238.8212440247</v>
      </c>
      <c r="Q52" s="218">
        <f t="shared" si="14"/>
        <v>2.1945806308472714E-7</v>
      </c>
    </row>
    <row r="53" spans="1:17" x14ac:dyDescent="0.25">
      <c r="A53" s="214">
        <v>505</v>
      </c>
      <c r="C53" s="215">
        <f t="shared" si="12"/>
        <v>0.71287128712871284</v>
      </c>
      <c r="D53" s="216">
        <f t="shared" si="4"/>
        <v>1179379.3914039063</v>
      </c>
      <c r="E53" s="216">
        <f t="shared" si="5"/>
        <v>349.18573073311234</v>
      </c>
      <c r="F53" s="217">
        <f t="shared" si="6"/>
        <v>2.9444953883202563E-3</v>
      </c>
      <c r="G53" s="216">
        <f t="shared" si="13"/>
        <v>1179729.2540791349</v>
      </c>
      <c r="H53" s="216">
        <f t="shared" si="7"/>
        <v>8.4765211724835398E-7</v>
      </c>
      <c r="I53" s="217">
        <f t="shared" si="8"/>
        <v>1.6059010166135897E-21</v>
      </c>
      <c r="J53" s="217">
        <f t="shared" si="9"/>
        <v>8.4765211724835557E-7</v>
      </c>
      <c r="K53" s="195">
        <f t="shared" si="2"/>
        <v>8.4366578530170948E-7</v>
      </c>
      <c r="M53" s="218">
        <f t="shared" si="10"/>
        <v>8.4366578530170948E-7</v>
      </c>
      <c r="N53" s="218">
        <f>Calculations!F63</f>
        <v>0.91742392670060402</v>
      </c>
      <c r="O53" s="219">
        <f>Spectra!$C$10*$A53</f>
        <v>2542229089138.085</v>
      </c>
      <c r="P53" s="219">
        <f t="shared" si="11"/>
        <v>1967683.2241987032</v>
      </c>
      <c r="Q53" s="218">
        <f t="shared" si="14"/>
        <v>1.3552780358703883E-7</v>
      </c>
    </row>
    <row r="54" spans="1:17" x14ac:dyDescent="0.25">
      <c r="A54" s="214">
        <v>510</v>
      </c>
      <c r="C54" s="215">
        <f t="shared" si="12"/>
        <v>0.70588235294117652</v>
      </c>
      <c r="D54" s="216">
        <f t="shared" si="4"/>
        <v>1919600.4655107348</v>
      </c>
      <c r="E54" s="216">
        <f t="shared" si="5"/>
        <v>424.66223749417048</v>
      </c>
      <c r="F54" s="217">
        <f t="shared" si="6"/>
        <v>2.6532951962324695E-3</v>
      </c>
      <c r="G54" s="216">
        <f t="shared" si="13"/>
        <v>1920025.8044015244</v>
      </c>
      <c r="H54" s="216">
        <f t="shared" si="7"/>
        <v>5.2082633353550257E-7</v>
      </c>
      <c r="I54" s="217">
        <f t="shared" si="8"/>
        <v>1.5700547775510622E-22</v>
      </c>
      <c r="J54" s="217">
        <f t="shared" si="9"/>
        <v>5.2082633353550267E-7</v>
      </c>
      <c r="K54" s="195">
        <f t="shared" si="2"/>
        <v>5.1837699540517765E-7</v>
      </c>
      <c r="M54" s="218">
        <f t="shared" si="10"/>
        <v>5.1837699540517765E-7</v>
      </c>
      <c r="N54" s="218">
        <f>Calculations!F64</f>
        <v>0.92099999999999993</v>
      </c>
      <c r="O54" s="219">
        <f>Spectra!$C$10*$A54</f>
        <v>2567399674179.0557</v>
      </c>
      <c r="P54" s="219">
        <f t="shared" si="11"/>
        <v>1225741.3357058624</v>
      </c>
      <c r="Q54" s="218">
        <f t="shared" si="14"/>
        <v>8.44251904732828E-8</v>
      </c>
    </row>
    <row r="55" spans="1:17" x14ac:dyDescent="0.25">
      <c r="A55" s="214">
        <v>515</v>
      </c>
      <c r="C55" s="215">
        <f t="shared" si="12"/>
        <v>0.69902912621359226</v>
      </c>
      <c r="D55" s="216">
        <f t="shared" si="4"/>
        <v>3094997.1225241814</v>
      </c>
      <c r="E55" s="216">
        <f t="shared" si="5"/>
        <v>514.49429461009822</v>
      </c>
      <c r="F55" s="217">
        <f t="shared" si="6"/>
        <v>2.3957330509023545E-3</v>
      </c>
      <c r="G55" s="216">
        <f t="shared" si="13"/>
        <v>3095512.2932145246</v>
      </c>
      <c r="H55" s="216">
        <f t="shared" si="7"/>
        <v>3.2304830518426187E-7</v>
      </c>
      <c r="I55" s="217">
        <f t="shared" si="8"/>
        <v>1.4504189987155525E-23</v>
      </c>
      <c r="J55" s="217">
        <f t="shared" si="9"/>
        <v>3.2304830518426187E-7</v>
      </c>
      <c r="K55" s="195">
        <f t="shared" si="2"/>
        <v>3.2152907606530881E-7</v>
      </c>
      <c r="M55" s="218">
        <f t="shared" si="10"/>
        <v>3.2152907606530881E-7</v>
      </c>
      <c r="N55" s="218">
        <f>Calculations!F65</f>
        <v>0.92453416946076994</v>
      </c>
      <c r="O55" s="219">
        <f>Spectra!$C$10*$A55</f>
        <v>2592570259220.0269</v>
      </c>
      <c r="P55" s="219">
        <f t="shared" si="11"/>
        <v>770679.40592399694</v>
      </c>
      <c r="Q55" s="218">
        <f t="shared" si="14"/>
        <v>5.3081962518218668E-8</v>
      </c>
    </row>
    <row r="56" spans="1:17" x14ac:dyDescent="0.25">
      <c r="A56" s="214">
        <v>520</v>
      </c>
      <c r="C56" s="215">
        <f t="shared" si="12"/>
        <v>0.69230769230769229</v>
      </c>
      <c r="D56" s="216">
        <f t="shared" si="4"/>
        <v>4944475.6332273036</v>
      </c>
      <c r="E56" s="216">
        <f t="shared" si="5"/>
        <v>621.03324516301336</v>
      </c>
      <c r="F56" s="217">
        <f t="shared" si="6"/>
        <v>2.1674251460172193E-3</v>
      </c>
      <c r="G56" s="216">
        <f t="shared" si="13"/>
        <v>4945097.3426398914</v>
      </c>
      <c r="H56" s="216">
        <f t="shared" si="7"/>
        <v>2.0222048843757642E-7</v>
      </c>
      <c r="I56" s="217">
        <f t="shared" si="8"/>
        <v>1.2660614881289302E-24</v>
      </c>
      <c r="J56" s="217">
        <f t="shared" si="9"/>
        <v>2.0222048843757642E-7</v>
      </c>
      <c r="K56" s="195">
        <f t="shared" si="2"/>
        <v>2.0126948745861124E-7</v>
      </c>
      <c r="M56" s="218">
        <f t="shared" si="10"/>
        <v>2.0126948745861124E-7</v>
      </c>
      <c r="N56" s="218">
        <f>Calculations!F66</f>
        <v>0.92799999999999994</v>
      </c>
      <c r="O56" s="219">
        <f>Spectra!$C$10*$A56</f>
        <v>2617740844260.998</v>
      </c>
      <c r="P56" s="219">
        <f t="shared" si="11"/>
        <v>488936.62024616369</v>
      </c>
      <c r="Q56" s="218">
        <f t="shared" si="14"/>
        <v>3.367640960714978E-8</v>
      </c>
    </row>
    <row r="57" spans="1:17" x14ac:dyDescent="0.25">
      <c r="A57" s="214">
        <v>525</v>
      </c>
      <c r="C57" s="215">
        <f t="shared" si="12"/>
        <v>0.68571428571428572</v>
      </c>
      <c r="D57" s="216">
        <f t="shared" si="4"/>
        <v>7828973.1567103891</v>
      </c>
      <c r="E57" s="216">
        <f t="shared" si="5"/>
        <v>746.95130829279151</v>
      </c>
      <c r="F57" s="217">
        <f t="shared" si="6"/>
        <v>1.9646186124460184E-3</v>
      </c>
      <c r="G57" s="216">
        <f t="shared" si="13"/>
        <v>7829720.7839832995</v>
      </c>
      <c r="H57" s="216">
        <f t="shared" si="7"/>
        <v>1.277184752291076E-7</v>
      </c>
      <c r="I57" s="217">
        <f t="shared" si="8"/>
        <v>1.0442362375499606E-25</v>
      </c>
      <c r="J57" s="217">
        <f t="shared" si="9"/>
        <v>1.277184752291076E-7</v>
      </c>
      <c r="K57" s="195">
        <f t="shared" si="2"/>
        <v>1.2711784175268162E-7</v>
      </c>
      <c r="M57" s="218">
        <f t="shared" si="10"/>
        <v>1.2711784175268162E-7</v>
      </c>
      <c r="N57" s="218">
        <f>Calculations!F67</f>
        <v>0.93118939545631607</v>
      </c>
      <c r="O57" s="219">
        <f>Spectra!$C$10*$A57</f>
        <v>2642911429301.9692</v>
      </c>
      <c r="P57" s="219">
        <f t="shared" si="11"/>
        <v>312843.50377883168</v>
      </c>
      <c r="Q57" s="218">
        <f t="shared" si="14"/>
        <v>2.1547672111137006E-8</v>
      </c>
    </row>
    <row r="58" spans="1:17" x14ac:dyDescent="0.25">
      <c r="A58" s="214">
        <v>530</v>
      </c>
      <c r="C58" s="215">
        <f t="shared" si="12"/>
        <v>0.67924528301886788</v>
      </c>
      <c r="D58" s="216">
        <f t="shared" si="4"/>
        <v>12289200.235997023</v>
      </c>
      <c r="E58" s="216">
        <f t="shared" si="5"/>
        <v>895.27602224571217</v>
      </c>
      <c r="F58" s="217">
        <f t="shared" si="6"/>
        <v>1.7840927022693897E-3</v>
      </c>
      <c r="G58" s="216">
        <f t="shared" si="13"/>
        <v>12290096.187803362</v>
      </c>
      <c r="H58" s="216">
        <f t="shared" si="7"/>
        <v>8.1366328197853782E-8</v>
      </c>
      <c r="I58" s="217">
        <f t="shared" si="8"/>
        <v>8.1381439117470719E-27</v>
      </c>
      <c r="J58" s="217">
        <f t="shared" si="9"/>
        <v>8.1366328197853782E-8</v>
      </c>
      <c r="K58" s="195">
        <f t="shared" si="2"/>
        <v>8.0983679246855688E-8</v>
      </c>
      <c r="M58" s="218">
        <f t="shared" si="10"/>
        <v>8.0983679246855688E-8</v>
      </c>
      <c r="N58" s="218">
        <f>Calculations!F68</f>
        <v>0.93400000000000005</v>
      </c>
      <c r="O58" s="219">
        <f>Spectra!$C$10*$A58</f>
        <v>2668082014342.9404</v>
      </c>
      <c r="P58" s="219">
        <f t="shared" si="11"/>
        <v>201810.40558229899</v>
      </c>
      <c r="Q58" s="218">
        <f t="shared" si="14"/>
        <v>1.3900063116468627E-8</v>
      </c>
    </row>
    <row r="59" spans="1:17" x14ac:dyDescent="0.25">
      <c r="A59" s="214">
        <v>535</v>
      </c>
      <c r="C59" s="215">
        <f t="shared" si="12"/>
        <v>0.67289719626168221</v>
      </c>
      <c r="D59" s="216">
        <f t="shared" si="4"/>
        <v>19128559.768274006</v>
      </c>
      <c r="E59" s="216">
        <f t="shared" si="5"/>
        <v>1069.4272509672574</v>
      </c>
      <c r="F59" s="217">
        <f t="shared" si="6"/>
        <v>1.6230766313462665E-3</v>
      </c>
      <c r="G59" s="216">
        <f t="shared" si="13"/>
        <v>19129629.871148046</v>
      </c>
      <c r="H59" s="216">
        <f t="shared" si="7"/>
        <v>5.2274926735944523E-8</v>
      </c>
      <c r="I59" s="217">
        <f t="shared" si="8"/>
        <v>5.9928666501006926E-28</v>
      </c>
      <c r="J59" s="217">
        <f t="shared" si="9"/>
        <v>5.2274926735944523E-8</v>
      </c>
      <c r="K59" s="195">
        <f t="shared" si="2"/>
        <v>5.2029088607052053E-8</v>
      </c>
      <c r="M59" s="218">
        <f t="shared" si="10"/>
        <v>5.2029088607052053E-8</v>
      </c>
      <c r="N59" s="218">
        <f>Calculations!F69</f>
        <v>0.93645824871396799</v>
      </c>
      <c r="O59" s="219">
        <f>Spectra!$C$10*$A59</f>
        <v>2693252599383.9116</v>
      </c>
      <c r="P59" s="219">
        <f t="shared" si="11"/>
        <v>131223.53277055631</v>
      </c>
      <c r="Q59" s="218">
        <f t="shared" si="14"/>
        <v>9.0382623364427162E-9</v>
      </c>
    </row>
    <row r="60" spans="1:17" x14ac:dyDescent="0.25">
      <c r="A60" s="214">
        <v>540</v>
      </c>
      <c r="C60" s="215">
        <f t="shared" si="12"/>
        <v>0.66666666666666663</v>
      </c>
      <c r="D60" s="216">
        <f t="shared" si="4"/>
        <v>29531290.816505913</v>
      </c>
      <c r="E60" s="216">
        <f t="shared" si="5"/>
        <v>1273.256834275089</v>
      </c>
      <c r="F60" s="217">
        <f t="shared" si="6"/>
        <v>1.4791810829645254E-3</v>
      </c>
      <c r="G60" s="216">
        <f t="shared" si="13"/>
        <v>29532564.74881937</v>
      </c>
      <c r="H60" s="216">
        <f t="shared" si="7"/>
        <v>3.3860926353847316E-8</v>
      </c>
      <c r="I60" s="217">
        <f t="shared" si="8"/>
        <v>4.169908315426459E-29</v>
      </c>
      <c r="J60" s="217">
        <f t="shared" si="9"/>
        <v>3.3860926353847316E-8</v>
      </c>
      <c r="K60" s="195">
        <f t="shared" si="2"/>
        <v>3.3701685446261851E-8</v>
      </c>
      <c r="M60" s="218">
        <f t="shared" si="10"/>
        <v>3.3701685446261851E-8</v>
      </c>
      <c r="N60" s="218">
        <f>Calculations!F70</f>
        <v>0.93900000000000006</v>
      </c>
      <c r="O60" s="219">
        <f>Spectra!$C$10*$A60</f>
        <v>2718423184424.8828</v>
      </c>
      <c r="P60" s="219">
        <f t="shared" si="11"/>
        <v>86026.901043962789</v>
      </c>
      <c r="Q60" s="218">
        <f t="shared" si="14"/>
        <v>5.9252611418871588E-9</v>
      </c>
    </row>
    <row r="61" spans="1:17" x14ac:dyDescent="0.25">
      <c r="A61" s="214">
        <v>545</v>
      </c>
      <c r="C61" s="215">
        <f t="shared" si="12"/>
        <v>0.66055045871559637</v>
      </c>
      <c r="D61" s="216">
        <f t="shared" si="4"/>
        <v>45229525.880780257</v>
      </c>
      <c r="E61" s="216">
        <f t="shared" si="5"/>
        <v>1511.0909554038838</v>
      </c>
      <c r="F61" s="217">
        <f t="shared" si="6"/>
        <v>1.3503409469285328E-3</v>
      </c>
      <c r="G61" s="216">
        <f t="shared" si="13"/>
        <v>45231037.647086009</v>
      </c>
      <c r="H61" s="216">
        <f t="shared" si="7"/>
        <v>2.2108712336039557E-8</v>
      </c>
      <c r="I61" s="217">
        <f t="shared" si="8"/>
        <v>2.7415807471549521E-30</v>
      </c>
      <c r="J61" s="217">
        <f t="shared" si="9"/>
        <v>2.2108712336039557E-8</v>
      </c>
      <c r="K61" s="195">
        <f t="shared" si="2"/>
        <v>2.2004739651383901E-8</v>
      </c>
      <c r="M61" s="218">
        <f t="shared" si="10"/>
        <v>2.2004739651383901E-8</v>
      </c>
      <c r="N61" s="218">
        <f>Calculations!F71</f>
        <v>0.94197760968781497</v>
      </c>
      <c r="O61" s="219">
        <f>Spectra!$C$10*$A61</f>
        <v>2743593769465.854</v>
      </c>
      <c r="P61" s="219">
        <f t="shared" si="11"/>
        <v>56869.134993673732</v>
      </c>
      <c r="Q61" s="218">
        <f t="shared" si="14"/>
        <v>3.9169663403142862E-9</v>
      </c>
    </row>
    <row r="62" spans="1:17" x14ac:dyDescent="0.25">
      <c r="A62" s="214">
        <v>550</v>
      </c>
      <c r="C62" s="215">
        <f t="shared" si="12"/>
        <v>0.65454545454545454</v>
      </c>
      <c r="D62" s="216">
        <f t="shared" si="4"/>
        <v>68737774.253125697</v>
      </c>
      <c r="E62" s="216">
        <f t="shared" si="5"/>
        <v>1787.7752929061685</v>
      </c>
      <c r="F62" s="217">
        <f t="shared" si="6"/>
        <v>1.2347673252331808E-3</v>
      </c>
      <c r="G62" s="216">
        <f t="shared" si="13"/>
        <v>68739562.703653365</v>
      </c>
      <c r="H62" s="216">
        <f t="shared" si="7"/>
        <v>1.4547663102122879E-8</v>
      </c>
      <c r="I62" s="217">
        <f t="shared" si="8"/>
        <v>1.7031708692479784E-31</v>
      </c>
      <c r="J62" s="217">
        <f t="shared" si="9"/>
        <v>1.4547663102122879E-8</v>
      </c>
      <c r="K62" s="195">
        <f t="shared" si="2"/>
        <v>1.4479248462445826E-8</v>
      </c>
      <c r="M62" s="218">
        <f t="shared" si="10"/>
        <v>1.4479248462445826E-8</v>
      </c>
      <c r="N62" s="218">
        <f>Calculations!F72</f>
        <v>0.94499999999999995</v>
      </c>
      <c r="O62" s="219">
        <f>Spectra!$C$10*$A62</f>
        <v>2768764354506.8252</v>
      </c>
      <c r="P62" s="219">
        <f t="shared" si="11"/>
        <v>37884.697536610031</v>
      </c>
      <c r="Q62" s="218">
        <f t="shared" si="14"/>
        <v>2.6093782696078757E-9</v>
      </c>
    </row>
    <row r="63" spans="1:17" x14ac:dyDescent="0.25">
      <c r="A63" s="214">
        <v>555</v>
      </c>
      <c r="C63" s="215">
        <f t="shared" si="12"/>
        <v>0.64864864864864868</v>
      </c>
      <c r="D63" s="216">
        <f t="shared" si="4"/>
        <v>103679692.08031087</v>
      </c>
      <c r="E63" s="216">
        <f t="shared" si="5"/>
        <v>2108.7230165605301</v>
      </c>
      <c r="F63" s="217">
        <f t="shared" si="6"/>
        <v>1.130907201539684E-3</v>
      </c>
      <c r="G63" s="216">
        <f t="shared" si="13"/>
        <v>103681801.47845833</v>
      </c>
      <c r="H63" s="216">
        <f t="shared" si="7"/>
        <v>9.6448941447816863E-9</v>
      </c>
      <c r="I63" s="217">
        <f t="shared" si="8"/>
        <v>9.9976526193829036E-33</v>
      </c>
      <c r="J63" s="217">
        <f t="shared" si="9"/>
        <v>9.6448941447816863E-9</v>
      </c>
      <c r="K63" s="195">
        <f t="shared" si="2"/>
        <v>9.5995362097644628E-9</v>
      </c>
      <c r="M63" s="218">
        <f t="shared" si="10"/>
        <v>9.5995362097644628E-9</v>
      </c>
      <c r="N63" s="218">
        <f>Calculations!F73</f>
        <v>0.94763131253477395</v>
      </c>
      <c r="O63" s="219">
        <f>Spectra!$C$10*$A63</f>
        <v>2793934939547.7959</v>
      </c>
      <c r="P63" s="219">
        <f t="shared" si="11"/>
        <v>25415.926305032353</v>
      </c>
      <c r="Q63" s="218">
        <f t="shared" si="14"/>
        <v>1.7505687022634467E-9</v>
      </c>
    </row>
    <row r="64" spans="1:17" x14ac:dyDescent="0.25">
      <c r="A64" s="214">
        <v>560</v>
      </c>
      <c r="C64" s="215">
        <f t="shared" si="12"/>
        <v>0.6428571428571429</v>
      </c>
      <c r="D64" s="216">
        <f t="shared" si="4"/>
        <v>155240296.48732084</v>
      </c>
      <c r="E64" s="216">
        <f t="shared" si="5"/>
        <v>2479.9656791230973</v>
      </c>
      <c r="F64" s="217">
        <f t="shared" si="6"/>
        <v>1.037409465922317E-3</v>
      </c>
      <c r="G64" s="216">
        <f t="shared" si="13"/>
        <v>155242777.12803736</v>
      </c>
      <c r="H64" s="216">
        <f t="shared" si="7"/>
        <v>6.4415235188381378E-9</v>
      </c>
      <c r="I64" s="217">
        <f t="shared" si="8"/>
        <v>5.5452420538561348E-34</v>
      </c>
      <c r="J64" s="217">
        <f t="shared" si="9"/>
        <v>6.4415235188381378E-9</v>
      </c>
      <c r="K64" s="195">
        <f t="shared" si="2"/>
        <v>6.4112303708996034E-9</v>
      </c>
      <c r="M64" s="218">
        <f t="shared" si="10"/>
        <v>6.4112303708996034E-9</v>
      </c>
      <c r="N64" s="218">
        <f>Calculations!F74</f>
        <v>0.95</v>
      </c>
      <c r="O64" s="219">
        <f>Spectra!$C$10*$A64</f>
        <v>2819105524588.7671</v>
      </c>
      <c r="P64" s="219">
        <f t="shared" si="11"/>
        <v>17170.238210113643</v>
      </c>
      <c r="Q64" s="218">
        <f t="shared" si="14"/>
        <v>1.1826317585395839E-9</v>
      </c>
    </row>
    <row r="65" spans="1:17" x14ac:dyDescent="0.25">
      <c r="A65" s="214">
        <v>565</v>
      </c>
      <c r="C65" s="215">
        <f t="shared" si="12"/>
        <v>0.63716814159292035</v>
      </c>
      <c r="D65" s="216">
        <f t="shared" si="4"/>
        <v>230787553.25596347</v>
      </c>
      <c r="E65" s="216">
        <f t="shared" si="5"/>
        <v>2908.2070475044079</v>
      </c>
      <c r="F65" s="217">
        <f t="shared" si="6"/>
        <v>9.5309622359196803E-4</v>
      </c>
      <c r="G65" s="216">
        <f t="shared" si="13"/>
        <v>230790462.13796407</v>
      </c>
      <c r="H65" s="216">
        <f t="shared" si="7"/>
        <v>4.3329346920853718E-9</v>
      </c>
      <c r="I65" s="217">
        <f t="shared" si="8"/>
        <v>2.9062007943192726E-35</v>
      </c>
      <c r="J65" s="217">
        <f t="shared" si="9"/>
        <v>4.3329346920853718E-9</v>
      </c>
      <c r="K65" s="195">
        <f t="shared" si="2"/>
        <v>4.3125577996853843E-9</v>
      </c>
      <c r="M65" s="218">
        <f t="shared" si="10"/>
        <v>4.3125577996853843E-9</v>
      </c>
      <c r="N65" s="218">
        <f>Calculations!F75</f>
        <v>0.95237214017309002</v>
      </c>
      <c r="O65" s="219">
        <f>Spectra!$C$10*$A65</f>
        <v>2844276109629.7383</v>
      </c>
      <c r="P65" s="219">
        <f t="shared" si="11"/>
        <v>11681.896785715373</v>
      </c>
      <c r="Q65" s="218">
        <f t="shared" si="14"/>
        <v>8.0461214164349362E-10</v>
      </c>
    </row>
    <row r="66" spans="1:17" x14ac:dyDescent="0.25">
      <c r="A66" s="214">
        <v>570</v>
      </c>
      <c r="C66" s="215">
        <f t="shared" si="12"/>
        <v>0.63157894736842102</v>
      </c>
      <c r="D66" s="216">
        <f t="shared" si="4"/>
        <v>340721164.00783116</v>
      </c>
      <c r="E66" s="216">
        <f t="shared" si="5"/>
        <v>3400.8799083108479</v>
      </c>
      <c r="F66" s="217">
        <f t="shared" si="6"/>
        <v>8.7693850812751821E-4</v>
      </c>
      <c r="G66" s="216">
        <f t="shared" si="13"/>
        <v>340724565.56261647</v>
      </c>
      <c r="H66" s="216">
        <f t="shared" si="7"/>
        <v>2.9349219312929918E-9</v>
      </c>
      <c r="I66" s="217">
        <f t="shared" si="8"/>
        <v>1.4391742154397333E-36</v>
      </c>
      <c r="J66" s="217">
        <f t="shared" si="9"/>
        <v>2.9349219312929918E-9</v>
      </c>
      <c r="K66" s="195">
        <f t="shared" si="2"/>
        <v>2.9211196026990343E-9</v>
      </c>
      <c r="M66" s="218">
        <f t="shared" si="10"/>
        <v>2.9211196026990343E-9</v>
      </c>
      <c r="N66" s="218">
        <f>Calculations!F76</f>
        <v>0.95499999999999996</v>
      </c>
      <c r="O66" s="219">
        <f>Spectra!$C$10*$A66</f>
        <v>2869446694670.7095</v>
      </c>
      <c r="P66" s="219">
        <f t="shared" si="11"/>
        <v>8004.8071242109454</v>
      </c>
      <c r="Q66" s="218">
        <f t="shared" si="14"/>
        <v>5.5134582352501473E-10</v>
      </c>
    </row>
    <row r="67" spans="1:17" x14ac:dyDescent="0.25">
      <c r="A67" s="214">
        <v>575</v>
      </c>
      <c r="C67" s="215">
        <f t="shared" si="12"/>
        <v>0.62608695652173918</v>
      </c>
      <c r="D67" s="216">
        <f t="shared" si="4"/>
        <v>499624194.06018311</v>
      </c>
      <c r="E67" s="216">
        <f t="shared" si="5"/>
        <v>3966.2058737068937</v>
      </c>
      <c r="F67" s="217">
        <f t="shared" si="6"/>
        <v>8.0803567529416501E-4</v>
      </c>
      <c r="G67" s="216">
        <f t="shared" si="13"/>
        <v>499628160.94086492</v>
      </c>
      <c r="H67" s="216">
        <f t="shared" si="7"/>
        <v>2.0014884631740327E-9</v>
      </c>
      <c r="I67" s="217">
        <f t="shared" si="8"/>
        <v>6.7341651860791011E-38</v>
      </c>
      <c r="J67" s="217">
        <f t="shared" si="9"/>
        <v>2.0014884631740327E-9</v>
      </c>
      <c r="K67" s="195">
        <f t="shared" si="2"/>
        <v>1.9920758784128524E-9</v>
      </c>
      <c r="M67" s="218">
        <f t="shared" si="10"/>
        <v>1.9920758784128524E-9</v>
      </c>
      <c r="N67" s="218">
        <f>Calculations!F77</f>
        <v>0.95800512677286409</v>
      </c>
      <c r="O67" s="219">
        <f>Spectra!$C$10*$A67</f>
        <v>2894617279711.6807</v>
      </c>
      <c r="P67" s="219">
        <f t="shared" si="11"/>
        <v>5524.1423377206593</v>
      </c>
      <c r="Q67" s="218">
        <f t="shared" si="14"/>
        <v>3.804854706927396E-10</v>
      </c>
    </row>
    <row r="68" spans="1:17" x14ac:dyDescent="0.25">
      <c r="A68" s="214">
        <v>580</v>
      </c>
      <c r="C68" s="215">
        <f t="shared" si="12"/>
        <v>0.62068965517241381</v>
      </c>
      <c r="D68" s="216">
        <f t="shared" si="4"/>
        <v>727815882.81489742</v>
      </c>
      <c r="E68" s="216">
        <f t="shared" si="5"/>
        <v>4613.2582042841141</v>
      </c>
      <c r="F68" s="217">
        <f t="shared" si="6"/>
        <v>7.4559788001009428E-4</v>
      </c>
      <c r="G68" s="216">
        <f t="shared" si="13"/>
        <v>727820496.74784744</v>
      </c>
      <c r="H68" s="216">
        <f t="shared" si="7"/>
        <v>1.3739651527654748E-9</v>
      </c>
      <c r="I68" s="217">
        <f t="shared" si="8"/>
        <v>2.9773973970773427E-39</v>
      </c>
      <c r="J68" s="217">
        <f t="shared" si="9"/>
        <v>1.3739651527654748E-9</v>
      </c>
      <c r="K68" s="195">
        <f t="shared" si="2"/>
        <v>1.367503679868047E-9</v>
      </c>
      <c r="M68" s="218">
        <f t="shared" si="10"/>
        <v>1.367503679868047E-9</v>
      </c>
      <c r="N68" s="218">
        <f>Calculations!F78</f>
        <v>0.96099999999999997</v>
      </c>
      <c r="O68" s="219">
        <f>Spectra!$C$10*$A68</f>
        <v>2919787864752.6519</v>
      </c>
      <c r="P68" s="219">
        <f t="shared" si="11"/>
        <v>3837.1006441534696</v>
      </c>
      <c r="Q68" s="218">
        <f t="shared" si="14"/>
        <v>2.6428736904859479E-10</v>
      </c>
    </row>
    <row r="69" spans="1:17" x14ac:dyDescent="0.25">
      <c r="A69" s="214">
        <v>585</v>
      </c>
      <c r="C69" s="215">
        <f t="shared" si="12"/>
        <v>0.61538461538461542</v>
      </c>
      <c r="D69" s="216">
        <f t="shared" si="4"/>
        <v>1053432734.0171162</v>
      </c>
      <c r="E69" s="216">
        <f t="shared" si="5"/>
        <v>5352.0276561177707</v>
      </c>
      <c r="F69" s="217">
        <f t="shared" si="6"/>
        <v>6.8893114214998909E-4</v>
      </c>
      <c r="G69" s="216">
        <f t="shared" si="13"/>
        <v>1053438086.7194612</v>
      </c>
      <c r="H69" s="216">
        <f t="shared" si="7"/>
        <v>9.4927268399239851E-10</v>
      </c>
      <c r="I69" s="217">
        <f t="shared" si="8"/>
        <v>1.2438628207220567E-40</v>
      </c>
      <c r="J69" s="217">
        <f t="shared" si="9"/>
        <v>9.4927268399239851E-10</v>
      </c>
      <c r="K69" s="195">
        <f t="shared" si="2"/>
        <v>9.4480845161536947E-10</v>
      </c>
      <c r="M69" s="218">
        <f t="shared" si="10"/>
        <v>9.4480845161536947E-10</v>
      </c>
      <c r="N69" s="218">
        <f>Calculations!F79</f>
        <v>0.96360735273545206</v>
      </c>
      <c r="O69" s="219">
        <f>Spectra!$C$10*$A69</f>
        <v>2944958449793.623</v>
      </c>
      <c r="P69" s="219">
        <f t="shared" si="11"/>
        <v>2681.161943989327</v>
      </c>
      <c r="Q69" s="218">
        <f t="shared" si="14"/>
        <v>1.8466996356997664E-10</v>
      </c>
    </row>
    <row r="70" spans="1:17" x14ac:dyDescent="0.25">
      <c r="A70" s="214">
        <v>590</v>
      </c>
      <c r="C70" s="215">
        <f t="shared" si="12"/>
        <v>0.61016949152542377</v>
      </c>
      <c r="D70" s="216">
        <f t="shared" si="4"/>
        <v>1515201199.6632702</v>
      </c>
      <c r="E70" s="216">
        <f t="shared" si="5"/>
        <v>6193.491349506693</v>
      </c>
      <c r="F70" s="217">
        <f t="shared" si="6"/>
        <v>6.3742459118141604E-4</v>
      </c>
      <c r="G70" s="216">
        <f t="shared" si="13"/>
        <v>1515207393.8292572</v>
      </c>
      <c r="H70" s="216">
        <f t="shared" si="7"/>
        <v>6.5997566014562756E-10</v>
      </c>
      <c r="I70" s="217">
        <f t="shared" si="8"/>
        <v>4.9101053775717543E-42</v>
      </c>
      <c r="J70" s="217">
        <f t="shared" si="9"/>
        <v>6.5997566014562756E-10</v>
      </c>
      <c r="K70" s="195">
        <f t="shared" si="2"/>
        <v>6.5687193161771717E-10</v>
      </c>
      <c r="M70" s="218">
        <f t="shared" si="10"/>
        <v>6.5687193161771717E-10</v>
      </c>
      <c r="N70" s="218">
        <f>Calculations!F80</f>
        <v>0.96599999999999997</v>
      </c>
      <c r="O70" s="219">
        <f>Spectra!$C$10*$A70</f>
        <v>2970129034834.5942</v>
      </c>
      <c r="P70" s="219">
        <f t="shared" si="11"/>
        <v>1884.6605867926332</v>
      </c>
      <c r="Q70" s="218">
        <f t="shared" si="14"/>
        <v>1.2980946663255781E-10</v>
      </c>
    </row>
    <row r="71" spans="1:17" x14ac:dyDescent="0.25">
      <c r="A71" s="214">
        <v>595</v>
      </c>
      <c r="C71" s="215">
        <f t="shared" si="12"/>
        <v>0.60504201680672265</v>
      </c>
      <c r="D71" s="216">
        <f t="shared" si="4"/>
        <v>2166110630.2278099</v>
      </c>
      <c r="E71" s="216">
        <f t="shared" si="5"/>
        <v>7149.6846470791252</v>
      </c>
      <c r="F71" s="217">
        <f t="shared" si="6"/>
        <v>5.9053954873144598E-4</v>
      </c>
      <c r="G71" s="216">
        <f t="shared" si="13"/>
        <v>2166117780.5870471</v>
      </c>
      <c r="H71" s="216">
        <f t="shared" si="7"/>
        <v>4.6165541364467566E-10</v>
      </c>
      <c r="I71" s="217">
        <f t="shared" si="8"/>
        <v>1.8314361489861676E-43</v>
      </c>
      <c r="J71" s="217">
        <f t="shared" si="9"/>
        <v>4.6165541364467566E-10</v>
      </c>
      <c r="K71" s="195">
        <f t="shared" si="2"/>
        <v>4.5948434406753839E-10</v>
      </c>
      <c r="M71" s="218">
        <f t="shared" si="10"/>
        <v>4.5948434406753839E-10</v>
      </c>
      <c r="N71" s="218">
        <f>Calculations!F81</f>
        <v>0.96844046228532799</v>
      </c>
      <c r="O71" s="219">
        <f>Spectra!$C$10*$A71</f>
        <v>2995299619875.5654</v>
      </c>
      <c r="P71" s="219">
        <f t="shared" si="11"/>
        <v>1332.8581014121801</v>
      </c>
      <c r="Q71" s="218">
        <f t="shared" si="14"/>
        <v>9.1803054859678911E-11</v>
      </c>
    </row>
    <row r="72" spans="1:17" x14ac:dyDescent="0.25">
      <c r="A72" s="214">
        <v>600</v>
      </c>
      <c r="C72" s="215">
        <f t="shared" si="12"/>
        <v>0.6</v>
      </c>
      <c r="D72" s="216">
        <f t="shared" si="4"/>
        <v>3078251664.819561</v>
      </c>
      <c r="E72" s="216">
        <f t="shared" si="5"/>
        <v>8233.7760190624449</v>
      </c>
      <c r="F72" s="217">
        <f t="shared" si="6"/>
        <v>5.4780016496193927E-4</v>
      </c>
      <c r="G72" s="216">
        <f t="shared" si="13"/>
        <v>3078259899.2701278</v>
      </c>
      <c r="H72" s="216">
        <f t="shared" si="7"/>
        <v>3.2485885946053663E-10</v>
      </c>
      <c r="I72" s="217">
        <f t="shared" si="8"/>
        <v>6.4546900822740594E-45</v>
      </c>
      <c r="J72" s="217">
        <f t="shared" si="9"/>
        <v>3.2485885946053663E-10</v>
      </c>
      <c r="K72" s="195">
        <f t="shared" si="2"/>
        <v>3.2333111568066812E-10</v>
      </c>
      <c r="M72" s="218">
        <f t="shared" si="10"/>
        <v>3.2333111568066812E-10</v>
      </c>
      <c r="N72" s="218">
        <f>Calculations!F82</f>
        <v>0.97099999999999997</v>
      </c>
      <c r="O72" s="219">
        <f>Spectra!$C$10*$A72</f>
        <v>3020470204916.5361</v>
      </c>
      <c r="P72" s="219">
        <f t="shared" si="11"/>
        <v>948.29025320003939</v>
      </c>
      <c r="Q72" s="218">
        <f t="shared" si="14"/>
        <v>6.5315236517064452E-11</v>
      </c>
    </row>
    <row r="73" spans="1:17" x14ac:dyDescent="0.25">
      <c r="A73" s="214">
        <v>605</v>
      </c>
      <c r="C73" s="215">
        <f t="shared" si="12"/>
        <v>0.5950413223140496</v>
      </c>
      <c r="D73" s="216">
        <f t="shared" si="4"/>
        <v>4349155243.0180311</v>
      </c>
      <c r="E73" s="216">
        <f t="shared" si="5"/>
        <v>9460.1448636092719</v>
      </c>
      <c r="F73" s="217">
        <f t="shared" si="6"/>
        <v>5.0878537140522395E-4</v>
      </c>
      <c r="G73" s="216">
        <f t="shared" si="13"/>
        <v>4349164703.8374043</v>
      </c>
      <c r="H73" s="216">
        <f t="shared" si="7"/>
        <v>2.2992920896227927E-10</v>
      </c>
      <c r="I73" s="217">
        <f t="shared" si="8"/>
        <v>2.1495207942640553E-46</v>
      </c>
      <c r="J73" s="217">
        <f t="shared" si="9"/>
        <v>2.2992920896227927E-10</v>
      </c>
      <c r="K73" s="195">
        <f t="shared" si="2"/>
        <v>2.2884789962263087E-10</v>
      </c>
      <c r="M73" s="218">
        <f t="shared" si="10"/>
        <v>2.2884789962263087E-10</v>
      </c>
      <c r="N73" s="218">
        <f>Calculations!F83</f>
        <v>0.97363079812323805</v>
      </c>
      <c r="O73" s="219">
        <f>Spectra!$C$10*$A73</f>
        <v>3045640789957.5073</v>
      </c>
      <c r="P73" s="219">
        <f t="shared" si="11"/>
        <v>678.60946738286498</v>
      </c>
      <c r="Q73" s="218">
        <f t="shared" si="14"/>
        <v>4.6740476046505375E-11</v>
      </c>
    </row>
    <row r="74" spans="1:17" x14ac:dyDescent="0.25">
      <c r="A74" s="214">
        <v>610</v>
      </c>
      <c r="C74" s="215">
        <f t="shared" si="12"/>
        <v>0.5901639344262295</v>
      </c>
      <c r="D74" s="216">
        <f t="shared" si="4"/>
        <v>6110053718.3303947</v>
      </c>
      <c r="E74" s="216">
        <f t="shared" si="5"/>
        <v>10844.462240199007</v>
      </c>
      <c r="F74" s="217">
        <f t="shared" si="6"/>
        <v>4.7312195153456952E-4</v>
      </c>
      <c r="G74" s="216">
        <f t="shared" si="13"/>
        <v>6110064563.4671078</v>
      </c>
      <c r="H74" s="216">
        <f t="shared" si="7"/>
        <v>1.6366439169548774E-10</v>
      </c>
      <c r="I74" s="217">
        <f t="shared" si="8"/>
        <v>6.7637967739494735E-48</v>
      </c>
      <c r="J74" s="217">
        <f t="shared" si="9"/>
        <v>1.6366439169548774E-10</v>
      </c>
      <c r="K74" s="195">
        <f t="shared" si="2"/>
        <v>1.6289471203579195E-10</v>
      </c>
      <c r="M74" s="218">
        <f t="shared" si="10"/>
        <v>1.6289471203579195E-10</v>
      </c>
      <c r="N74" s="218">
        <f>Calculations!F84</f>
        <v>0.97599999999999998</v>
      </c>
      <c r="O74" s="219">
        <f>Spectra!$C$10*$A74</f>
        <v>3070811374998.4785</v>
      </c>
      <c r="P74" s="219">
        <f t="shared" si="11"/>
        <v>488.21368021509278</v>
      </c>
      <c r="Q74" s="218">
        <f t="shared" si="14"/>
        <v>3.3626615781938876E-11</v>
      </c>
    </row>
    <row r="75" spans="1:17" x14ac:dyDescent="0.25">
      <c r="A75" s="214">
        <v>615</v>
      </c>
      <c r="C75" s="215">
        <f t="shared" si="12"/>
        <v>0.58536585365853655</v>
      </c>
      <c r="D75" s="216">
        <f t="shared" si="4"/>
        <v>8536591399.042017</v>
      </c>
      <c r="E75" s="216">
        <f t="shared" si="5"/>
        <v>12403.774464343702</v>
      </c>
      <c r="F75" s="217">
        <f t="shared" si="6"/>
        <v>4.4047856231182038E-4</v>
      </c>
      <c r="G75" s="216">
        <f t="shared" si="13"/>
        <v>8536603803.490922</v>
      </c>
      <c r="H75" s="216">
        <f t="shared" si="7"/>
        <v>1.1714260413386695E-10</v>
      </c>
      <c r="I75" s="217">
        <f t="shared" si="8"/>
        <v>2.0110464096222371E-49</v>
      </c>
      <c r="J75" s="217">
        <f t="shared" si="9"/>
        <v>1.1714260413386695E-10</v>
      </c>
      <c r="K75" s="195">
        <f t="shared" si="2"/>
        <v>1.1659170678379837E-10</v>
      </c>
      <c r="M75" s="218">
        <f t="shared" si="10"/>
        <v>1.1659170678379837E-10</v>
      </c>
      <c r="N75" s="218">
        <f>Calculations!F85</f>
        <v>0.97778634522172103</v>
      </c>
      <c r="O75" s="219">
        <f>Spectra!$C$10*$A75</f>
        <v>3095981960039.4497</v>
      </c>
      <c r="P75" s="219">
        <f t="shared" si="11"/>
        <v>352.94745076077703</v>
      </c>
      <c r="Q75" s="218">
        <f t="shared" si="14"/>
        <v>2.4309905270820255E-11</v>
      </c>
    </row>
    <row r="76" spans="1:17" x14ac:dyDescent="0.25">
      <c r="A76" s="214">
        <v>620</v>
      </c>
      <c r="C76" s="215">
        <f t="shared" ref="C76:C108" si="15">$C$4/A76</f>
        <v>0.58064516129032262</v>
      </c>
      <c r="D76" s="216">
        <f t="shared" si="4"/>
        <v>11862641029.976109</v>
      </c>
      <c r="E76" s="216">
        <f t="shared" si="5"/>
        <v>14156.589502167915</v>
      </c>
      <c r="F76" s="217">
        <f t="shared" si="6"/>
        <v>4.105605664758091E-4</v>
      </c>
      <c r="G76" s="216">
        <f t="shared" ref="G76:G107" si="16">D76+E76+F76+$G$4</f>
        <v>11862655187.240021</v>
      </c>
      <c r="H76" s="216">
        <f t="shared" si="7"/>
        <v>8.4298159578611274E-11</v>
      </c>
      <c r="I76" s="217">
        <f t="shared" si="8"/>
        <v>5.6498416945546803E-51</v>
      </c>
      <c r="J76" s="217">
        <f t="shared" si="9"/>
        <v>8.4298159578611274E-11</v>
      </c>
      <c r="K76" s="195">
        <f t="shared" ref="K76:K107" si="17">IF(J76="","",J76/MAX(J$12:J$108))</f>
        <v>8.3901722833236842E-11</v>
      </c>
      <c r="M76" s="218">
        <f t="shared" si="10"/>
        <v>8.3901722833236842E-11</v>
      </c>
      <c r="N76" s="218">
        <f>Calculations!F86</f>
        <v>0.97900000000000009</v>
      </c>
      <c r="O76" s="219">
        <f>Spectra!$C$10*$A76</f>
        <v>3121152545080.4209</v>
      </c>
      <c r="P76" s="219">
        <f t="shared" si="11"/>
        <v>256.37080416667987</v>
      </c>
      <c r="Q76" s="218">
        <f t="shared" ref="Q76:Q107" si="18">P76/SUM(P$12:P$108)</f>
        <v>1.7658010987364237E-11</v>
      </c>
    </row>
    <row r="77" spans="1:17" x14ac:dyDescent="0.25">
      <c r="A77" s="214">
        <v>625</v>
      </c>
      <c r="C77" s="215">
        <f t="shared" si="15"/>
        <v>0.57599999999999996</v>
      </c>
      <c r="D77" s="216">
        <f t="shared" ref="D77:D108" si="19">EXP($D$7*($D$8-C77))</f>
        <v>16398039656.148577</v>
      </c>
      <c r="E77" s="216">
        <f t="shared" ref="E77:E108" si="20">EXP($E$4*($E$5-C77))</f>
        <v>16122.966093951314</v>
      </c>
      <c r="F77" s="217">
        <f t="shared" ref="F77:F108" si="21">EXP($F$7*($F$8-C77))</f>
        <v>3.8310555738762121E-4</v>
      </c>
      <c r="G77" s="216">
        <f t="shared" si="16"/>
        <v>16398055779.789053</v>
      </c>
      <c r="H77" s="216">
        <f t="shared" ref="H77:H108" si="22">1/G77</f>
        <v>6.0982839272477711E-11</v>
      </c>
      <c r="I77" s="217">
        <f t="shared" ref="I77:I108" si="23">$I$4*(EXP(-(((A77-$C$5)/$I$5)^2)))</f>
        <v>1.499799169939893E-52</v>
      </c>
      <c r="J77" s="217">
        <f t="shared" ref="J77:J108" si="24">IF(ISERROR(H77+I77),"",H77+I77)</f>
        <v>6.0982839272477711E-11</v>
      </c>
      <c r="K77" s="195">
        <f t="shared" si="17"/>
        <v>6.0696049638567272E-11</v>
      </c>
      <c r="M77" s="218">
        <f t="shared" ref="M77:M108" si="25">K77</f>
        <v>6.0696049638567272E-11</v>
      </c>
      <c r="N77" s="218">
        <f>Calculations!F87</f>
        <v>0.97984882098987991</v>
      </c>
      <c r="O77" s="219">
        <f>Spectra!$C$10*$A77</f>
        <v>3146323130121.3921</v>
      </c>
      <c r="P77" s="219">
        <f t="shared" ref="P77:P108" si="26">PRODUCT(M77:O77)</f>
        <v>187.12112662455382</v>
      </c>
      <c r="Q77" s="218">
        <f t="shared" si="18"/>
        <v>1.2888311992640642E-11</v>
      </c>
    </row>
    <row r="78" spans="1:17" x14ac:dyDescent="0.25">
      <c r="A78" s="214">
        <v>630</v>
      </c>
      <c r="C78" s="215">
        <f t="shared" si="15"/>
        <v>0.5714285714285714</v>
      </c>
      <c r="D78" s="216">
        <f t="shared" si="19"/>
        <v>22551247049.56422</v>
      </c>
      <c r="E78" s="216">
        <f t="shared" si="20"/>
        <v>18324.60552646326</v>
      </c>
      <c r="F78" s="217">
        <f t="shared" si="21"/>
        <v>3.5787947662614585E-4</v>
      </c>
      <c r="G78" s="216">
        <f t="shared" si="16"/>
        <v>22551265374.844105</v>
      </c>
      <c r="H78" s="216">
        <f t="shared" si="22"/>
        <v>4.4343409710192945E-11</v>
      </c>
      <c r="I78" s="217">
        <f t="shared" si="23"/>
        <v>3.7619462132678449E-54</v>
      </c>
      <c r="J78" s="217">
        <f t="shared" si="24"/>
        <v>4.4343409710192945E-11</v>
      </c>
      <c r="K78" s="195">
        <f t="shared" si="17"/>
        <v>4.4134871859400126E-11</v>
      </c>
      <c r="M78" s="218">
        <f t="shared" si="25"/>
        <v>4.4134871859400126E-11</v>
      </c>
      <c r="N78" s="218">
        <f>Calculations!F88</f>
        <v>0.98099999999999998</v>
      </c>
      <c r="O78" s="219">
        <f>Spectra!$C$10*$A78</f>
        <v>3171493715162.3633</v>
      </c>
      <c r="P78" s="219">
        <f t="shared" si="26"/>
        <v>137.31397281587365</v>
      </c>
      <c r="Q78" s="218">
        <f t="shared" si="18"/>
        <v>9.4577526040169301E-12</v>
      </c>
    </row>
    <row r="79" spans="1:17" x14ac:dyDescent="0.25">
      <c r="A79" s="214">
        <v>635</v>
      </c>
      <c r="C79" s="215">
        <f t="shared" si="15"/>
        <v>0.56692913385826771</v>
      </c>
      <c r="D79" s="216">
        <f t="shared" si="19"/>
        <v>30858158258.18079</v>
      </c>
      <c r="E79" s="216">
        <f t="shared" si="20"/>
        <v>20784.945964926796</v>
      </c>
      <c r="F79" s="217">
        <f t="shared" si="21"/>
        <v>3.3467323987534226E-4</v>
      </c>
      <c r="G79" s="216">
        <f t="shared" si="16"/>
        <v>30858179043.80109</v>
      </c>
      <c r="H79" s="216">
        <f t="shared" si="22"/>
        <v>3.2406319199216772E-11</v>
      </c>
      <c r="I79" s="217">
        <f t="shared" si="23"/>
        <v>8.9160952275862074E-56</v>
      </c>
      <c r="J79" s="217">
        <f t="shared" si="24"/>
        <v>3.2406319199216772E-11</v>
      </c>
      <c r="K79" s="195">
        <f t="shared" si="17"/>
        <v>3.2253919007123349E-11</v>
      </c>
      <c r="M79" s="218">
        <f t="shared" si="25"/>
        <v>3.2253919007123349E-11</v>
      </c>
      <c r="N79" s="218">
        <f>Calculations!F89</f>
        <v>0.98294337081876093</v>
      </c>
      <c r="O79" s="219">
        <f>Spectra!$C$10*$A79</f>
        <v>3196664300203.3345</v>
      </c>
      <c r="P79" s="219">
        <f t="shared" si="26"/>
        <v>101.34632850840048</v>
      </c>
      <c r="Q79" s="218">
        <f t="shared" si="18"/>
        <v>6.9804149039017182E-12</v>
      </c>
    </row>
    <row r="80" spans="1:17" x14ac:dyDescent="0.25">
      <c r="A80" s="214">
        <v>640</v>
      </c>
      <c r="C80" s="215">
        <f t="shared" si="15"/>
        <v>0.5625</v>
      </c>
      <c r="D80" s="216">
        <f t="shared" si="19"/>
        <v>42018575508.620605</v>
      </c>
      <c r="E80" s="216">
        <f t="shared" si="20"/>
        <v>23529.259246755439</v>
      </c>
      <c r="F80" s="217">
        <f t="shared" si="21"/>
        <v>3.1329979948998334E-4</v>
      </c>
      <c r="G80" s="216">
        <f t="shared" si="16"/>
        <v>42018599038.554169</v>
      </c>
      <c r="H80" s="216">
        <f t="shared" si="22"/>
        <v>2.3798984803906716E-11</v>
      </c>
      <c r="I80" s="217">
        <f t="shared" si="23"/>
        <v>1.996730528613132E-57</v>
      </c>
      <c r="J80" s="217">
        <f t="shared" si="24"/>
        <v>2.3798984803906716E-11</v>
      </c>
      <c r="K80" s="195">
        <f t="shared" si="17"/>
        <v>2.36870631187117E-11</v>
      </c>
      <c r="M80" s="218">
        <f t="shared" si="25"/>
        <v>2.36870631187117E-11</v>
      </c>
      <c r="N80" s="218">
        <f>Calculations!F90</f>
        <v>0.98499999999999999</v>
      </c>
      <c r="O80" s="219">
        <f>Spectra!$C$10*$A80</f>
        <v>3221834885244.3057</v>
      </c>
      <c r="P80" s="219">
        <f t="shared" si="26"/>
        <v>75.171069190576389</v>
      </c>
      <c r="Q80" s="218">
        <f t="shared" si="18"/>
        <v>5.1775457428300706E-12</v>
      </c>
    </row>
    <row r="81" spans="1:17" x14ac:dyDescent="0.25">
      <c r="A81" s="214">
        <v>645</v>
      </c>
      <c r="C81" s="215">
        <f t="shared" si="15"/>
        <v>0.55813953488372092</v>
      </c>
      <c r="D81" s="216">
        <f t="shared" si="19"/>
        <v>56942171236.398117</v>
      </c>
      <c r="E81" s="216">
        <f t="shared" si="20"/>
        <v>26584.750030857645</v>
      </c>
      <c r="F81" s="217">
        <f t="shared" si="21"/>
        <v>2.9359158289971678E-4</v>
      </c>
      <c r="G81" s="216">
        <f t="shared" si="16"/>
        <v>56942197821.822441</v>
      </c>
      <c r="H81" s="216">
        <f t="shared" si="22"/>
        <v>1.7561668468243802E-11</v>
      </c>
      <c r="I81" s="217">
        <f t="shared" si="23"/>
        <v>4.2251960119282996E-59</v>
      </c>
      <c r="J81" s="217">
        <f t="shared" si="24"/>
        <v>1.7561668468243802E-11</v>
      </c>
      <c r="K81" s="195">
        <f t="shared" si="17"/>
        <v>1.7479079586995415E-11</v>
      </c>
      <c r="M81" s="218">
        <f t="shared" si="25"/>
        <v>1.7479079586995415E-11</v>
      </c>
      <c r="N81" s="218">
        <f>Calculations!F91</f>
        <v>0.98650269573507798</v>
      </c>
      <c r="O81" s="219">
        <f>Spectra!$C$10*$A81</f>
        <v>3247005470285.2764</v>
      </c>
      <c r="P81" s="219">
        <f t="shared" si="26"/>
        <v>55.98863202510649</v>
      </c>
      <c r="Q81" s="218">
        <f t="shared" si="18"/>
        <v>3.8563200777887816E-12</v>
      </c>
    </row>
    <row r="82" spans="1:17" x14ac:dyDescent="0.25">
      <c r="A82" s="214">
        <v>650</v>
      </c>
      <c r="C82" s="215">
        <f t="shared" si="15"/>
        <v>0.55384615384615388</v>
      </c>
      <c r="D82" s="216">
        <f t="shared" si="19"/>
        <v>76806162010.512695</v>
      </c>
      <c r="E82" s="216">
        <f t="shared" si="20"/>
        <v>29980.657188323079</v>
      </c>
      <c r="F82" s="217">
        <f t="shared" si="21"/>
        <v>2.7539825506490712E-4</v>
      </c>
      <c r="G82" s="216">
        <f t="shared" si="16"/>
        <v>76806191991.844147</v>
      </c>
      <c r="H82" s="216">
        <f t="shared" si="22"/>
        <v>1.301978361466205E-11</v>
      </c>
      <c r="I82" s="217">
        <f t="shared" si="23"/>
        <v>8.448058406450631E-61</v>
      </c>
      <c r="J82" s="217">
        <f t="shared" si="24"/>
        <v>1.301978361466205E-11</v>
      </c>
      <c r="K82" s="195">
        <f t="shared" si="17"/>
        <v>1.2958554275048025E-11</v>
      </c>
      <c r="M82" s="218">
        <f t="shared" si="25"/>
        <v>1.2958554275048025E-11</v>
      </c>
      <c r="N82" s="218">
        <f>Calculations!F92</f>
        <v>0.98799999999999999</v>
      </c>
      <c r="O82" s="219">
        <f>Spectra!$C$10*$A82</f>
        <v>3272176055326.2476</v>
      </c>
      <c r="P82" s="219">
        <f t="shared" si="26"/>
        <v>41.893838958332232</v>
      </c>
      <c r="Q82" s="218">
        <f t="shared" si="18"/>
        <v>2.8855152638525139E-12</v>
      </c>
    </row>
    <row r="83" spans="1:17" x14ac:dyDescent="0.25">
      <c r="A83" s="214">
        <v>655</v>
      </c>
      <c r="C83" s="215">
        <f t="shared" si="15"/>
        <v>0.54961832061068705</v>
      </c>
      <c r="D83" s="216">
        <f t="shared" si="19"/>
        <v>103127372243.01877</v>
      </c>
      <c r="E83" s="216">
        <f t="shared" si="20"/>
        <v>33748.357312730863</v>
      </c>
      <c r="F83" s="217">
        <f t="shared" si="21"/>
        <v>2.5858476082151626E-4</v>
      </c>
      <c r="G83" s="216">
        <f t="shared" si="16"/>
        <v>103127405992.05034</v>
      </c>
      <c r="H83" s="216">
        <f t="shared" si="22"/>
        <v>9.696743463876963E-12</v>
      </c>
      <c r="I83" s="217">
        <f t="shared" si="23"/>
        <v>1.5960614115703639E-62</v>
      </c>
      <c r="J83" s="217">
        <f t="shared" si="24"/>
        <v>9.696743463876963E-12</v>
      </c>
      <c r="K83" s="195">
        <f t="shared" si="17"/>
        <v>9.6511416922752302E-12</v>
      </c>
      <c r="M83" s="218">
        <f t="shared" si="25"/>
        <v>9.6511416922752302E-12</v>
      </c>
      <c r="N83" s="218">
        <f>Calculations!F93</f>
        <v>0.99004584624092695</v>
      </c>
      <c r="O83" s="219">
        <f>Spectra!$C$10*$A83</f>
        <v>3297346640367.2188</v>
      </c>
      <c r="P83" s="219">
        <f t="shared" si="26"/>
        <v>31.506387010628082</v>
      </c>
      <c r="Q83" s="218">
        <f t="shared" si="18"/>
        <v>2.170060392852359E-12</v>
      </c>
    </row>
    <row r="84" spans="1:17" x14ac:dyDescent="0.25">
      <c r="A84" s="214">
        <v>660</v>
      </c>
      <c r="C84" s="215">
        <f t="shared" si="15"/>
        <v>0.54545454545454541</v>
      </c>
      <c r="D84" s="216">
        <f t="shared" si="19"/>
        <v>137851907701.73288</v>
      </c>
      <c r="E84" s="216">
        <f t="shared" si="20"/>
        <v>37921.470221171716</v>
      </c>
      <c r="F84" s="217">
        <f t="shared" si="21"/>
        <v>2.4302960938463267E-4</v>
      </c>
      <c r="G84" s="216">
        <f t="shared" si="16"/>
        <v>137851945623.87735</v>
      </c>
      <c r="H84" s="216">
        <f t="shared" si="22"/>
        <v>7.25415949317432E-12</v>
      </c>
      <c r="I84" s="217">
        <f t="shared" si="23"/>
        <v>2.849213090258719E-64</v>
      </c>
      <c r="J84" s="217">
        <f t="shared" si="24"/>
        <v>7.25415949317432E-12</v>
      </c>
      <c r="K84" s="195">
        <f t="shared" si="17"/>
        <v>7.220044686940392E-12</v>
      </c>
      <c r="M84" s="218">
        <f t="shared" si="25"/>
        <v>7.220044686940392E-12</v>
      </c>
      <c r="N84" s="218">
        <f>Calculations!F94</f>
        <v>0.99199999999999999</v>
      </c>
      <c r="O84" s="219">
        <f>Spectra!$C$10*$A84</f>
        <v>3322517225408.1899</v>
      </c>
      <c r="P84" s="219">
        <f t="shared" si="26"/>
        <v>23.796813057851722</v>
      </c>
      <c r="Q84" s="218">
        <f t="shared" si="18"/>
        <v>1.6390492973864602E-12</v>
      </c>
    </row>
    <row r="85" spans="1:17" x14ac:dyDescent="0.25">
      <c r="A85" s="214">
        <v>665</v>
      </c>
      <c r="C85" s="215">
        <f t="shared" si="15"/>
        <v>0.54135338345864659</v>
      </c>
      <c r="D85" s="216">
        <f t="shared" si="19"/>
        <v>183466294138.91934</v>
      </c>
      <c r="E85" s="216">
        <f t="shared" si="20"/>
        <v>42535.966310383577</v>
      </c>
      <c r="F85" s="217">
        <f t="shared" si="21"/>
        <v>2.2862336871776523E-4</v>
      </c>
      <c r="G85" s="216">
        <f t="shared" si="16"/>
        <v>183466336675.55988</v>
      </c>
      <c r="H85" s="216">
        <f t="shared" si="22"/>
        <v>5.4505911990186544E-12</v>
      </c>
      <c r="I85" s="217">
        <f t="shared" si="23"/>
        <v>4.8059904963969126E-66</v>
      </c>
      <c r="J85" s="217">
        <f t="shared" si="24"/>
        <v>5.4505911990186544E-12</v>
      </c>
      <c r="K85" s="195">
        <f t="shared" si="17"/>
        <v>5.4249582000764836E-12</v>
      </c>
      <c r="M85" s="218">
        <f t="shared" si="25"/>
        <v>5.4249582000764836E-12</v>
      </c>
      <c r="N85" s="218">
        <f>Calculations!F95</f>
        <v>0.993188919301215</v>
      </c>
      <c r="O85" s="219">
        <f>Spectra!$C$10*$A85</f>
        <v>3347687810449.1611</v>
      </c>
      <c r="P85" s="219">
        <f t="shared" si="26"/>
        <v>18.037369949503017</v>
      </c>
      <c r="Q85" s="218">
        <f t="shared" si="18"/>
        <v>1.2423570530457199E-12</v>
      </c>
    </row>
    <row r="86" spans="1:17" x14ac:dyDescent="0.25">
      <c r="A86" s="214">
        <v>670</v>
      </c>
      <c r="C86" s="215">
        <f t="shared" si="15"/>
        <v>0.53731343283582089</v>
      </c>
      <c r="D86" s="216">
        <f t="shared" si="19"/>
        <v>243134679362.24844</v>
      </c>
      <c r="E86" s="216">
        <f t="shared" si="20"/>
        <v>47630.275626182025</v>
      </c>
      <c r="F86" s="217">
        <f t="shared" si="21"/>
        <v>2.1526734208022642E-4</v>
      </c>
      <c r="G86" s="216">
        <f t="shared" si="16"/>
        <v>243134726993.1983</v>
      </c>
      <c r="H86" s="216">
        <f t="shared" si="22"/>
        <v>4.1129459882872884E-12</v>
      </c>
      <c r="I86" s="217">
        <f t="shared" si="23"/>
        <v>7.6599075454276914E-68</v>
      </c>
      <c r="J86" s="217">
        <f t="shared" si="24"/>
        <v>4.1129459882872884E-12</v>
      </c>
      <c r="K86" s="195">
        <f t="shared" si="17"/>
        <v>4.0936036570946731E-12</v>
      </c>
      <c r="M86" s="218">
        <f t="shared" si="25"/>
        <v>4.0936036570946731E-12</v>
      </c>
      <c r="N86" s="218">
        <f>Calculations!F96</f>
        <v>0.99400000000000011</v>
      </c>
      <c r="O86" s="219">
        <f>Spectra!$C$10*$A86</f>
        <v>3372858395490.1323</v>
      </c>
      <c r="P86" s="219">
        <f t="shared" si="26"/>
        <v>13.724302589865033</v>
      </c>
      <c r="Q86" s="218">
        <f t="shared" si="18"/>
        <v>9.452866004515394E-13</v>
      </c>
    </row>
    <row r="87" spans="1:17" x14ac:dyDescent="0.25">
      <c r="A87" s="214">
        <v>675</v>
      </c>
      <c r="C87" s="215">
        <f t="shared" si="15"/>
        <v>0.53333333333333333</v>
      </c>
      <c r="D87" s="216">
        <f t="shared" si="19"/>
        <v>320867562845.17786</v>
      </c>
      <c r="E87" s="216">
        <f t="shared" si="20"/>
        <v>53245.39849863523</v>
      </c>
      <c r="F87" s="217">
        <f t="shared" si="21"/>
        <v>2.0287240297239842E-4</v>
      </c>
      <c r="G87" s="216">
        <f t="shared" si="16"/>
        <v>320867616091.25055</v>
      </c>
      <c r="H87" s="216">
        <f t="shared" si="22"/>
        <v>3.1165500968337454E-12</v>
      </c>
      <c r="I87" s="217">
        <f t="shared" si="23"/>
        <v>1.1535775384821638E-69</v>
      </c>
      <c r="J87" s="217">
        <f t="shared" si="24"/>
        <v>3.1165500968337454E-12</v>
      </c>
      <c r="K87" s="195">
        <f t="shared" si="17"/>
        <v>3.1018936086807273E-12</v>
      </c>
      <c r="M87" s="218">
        <f t="shared" si="25"/>
        <v>3.1018936086807273E-12</v>
      </c>
      <c r="N87" s="218">
        <f>Calculations!F97</f>
        <v>0.99494847655421392</v>
      </c>
      <c r="O87" s="219">
        <f>Spectra!$C$10*$A87</f>
        <v>3398028980531.1035</v>
      </c>
      <c r="P87" s="219">
        <f t="shared" si="26"/>
        <v>10.487079681105614</v>
      </c>
      <c r="Q87" s="218">
        <f t="shared" si="18"/>
        <v>7.2231691450299254E-13</v>
      </c>
    </row>
    <row r="88" spans="1:17" x14ac:dyDescent="0.25">
      <c r="A88" s="214">
        <v>680</v>
      </c>
      <c r="C88" s="215">
        <f t="shared" si="15"/>
        <v>0.52941176470588236</v>
      </c>
      <c r="D88" s="216">
        <f t="shared" si="19"/>
        <v>421728522125.87775</v>
      </c>
      <c r="E88" s="216">
        <f t="shared" si="20"/>
        <v>59425.017590212716</v>
      </c>
      <c r="F88" s="217">
        <f t="shared" si="21"/>
        <v>1.9135796802011723E-4</v>
      </c>
      <c r="G88" s="216">
        <f t="shared" si="16"/>
        <v>421728581551.56952</v>
      </c>
      <c r="H88" s="216">
        <f t="shared" si="22"/>
        <v>2.3711933308407239E-12</v>
      </c>
      <c r="I88" s="217">
        <f t="shared" si="23"/>
        <v>1.6415446426575185E-71</v>
      </c>
      <c r="J88" s="217">
        <f t="shared" si="24"/>
        <v>2.3711933308407239E-12</v>
      </c>
      <c r="K88" s="195">
        <f t="shared" si="17"/>
        <v>2.3600421008324879E-12</v>
      </c>
      <c r="M88" s="218">
        <f t="shared" si="25"/>
        <v>2.3600421008324879E-12</v>
      </c>
      <c r="N88" s="218">
        <f>Calculations!F98</f>
        <v>0.996</v>
      </c>
      <c r="O88" s="219">
        <f>Spectra!$C$10*$A88</f>
        <v>3423199565572.0747</v>
      </c>
      <c r="P88" s="219">
        <f t="shared" si="26"/>
        <v>8.0465795139243728</v>
      </c>
      <c r="Q88" s="218">
        <f t="shared" si="18"/>
        <v>5.5422297374859704E-13</v>
      </c>
    </row>
    <row r="89" spans="1:17" x14ac:dyDescent="0.25">
      <c r="A89" s="214">
        <v>685</v>
      </c>
      <c r="C89" s="215">
        <f t="shared" si="15"/>
        <v>0.52554744525547448</v>
      </c>
      <c r="D89" s="216">
        <f t="shared" si="19"/>
        <v>552086568082.32861</v>
      </c>
      <c r="E89" s="216">
        <f t="shared" si="20"/>
        <v>66215.61119942824</v>
      </c>
      <c r="F89" s="217">
        <f t="shared" si="21"/>
        <v>1.8065109016772416E-4</v>
      </c>
      <c r="G89" s="216">
        <f t="shared" si="16"/>
        <v>552086634298.61389</v>
      </c>
      <c r="H89" s="216">
        <f t="shared" si="22"/>
        <v>1.8113099247012701E-12</v>
      </c>
      <c r="I89" s="217">
        <f t="shared" si="23"/>
        <v>2.2071977681928774E-73</v>
      </c>
      <c r="J89" s="217">
        <f t="shared" si="24"/>
        <v>1.8113099247012701E-12</v>
      </c>
      <c r="K89" s="195">
        <f t="shared" si="17"/>
        <v>1.8027917101281113E-12</v>
      </c>
      <c r="M89" s="218">
        <f t="shared" si="25"/>
        <v>1.8027917101281113E-12</v>
      </c>
      <c r="N89" s="218">
        <f>Calculations!F99</f>
        <v>0.99701717448192895</v>
      </c>
      <c r="O89" s="219">
        <f>Spectra!$C$10*$A89</f>
        <v>3448370150613.0454</v>
      </c>
      <c r="P89" s="219">
        <f t="shared" si="26"/>
        <v>6.1981498100991539</v>
      </c>
      <c r="Q89" s="218">
        <f t="shared" si="18"/>
        <v>4.2690897586334862E-13</v>
      </c>
    </row>
    <row r="90" spans="1:17" x14ac:dyDescent="0.25">
      <c r="A90" s="214">
        <v>690</v>
      </c>
      <c r="C90" s="215">
        <f t="shared" si="15"/>
        <v>0.52173913043478259</v>
      </c>
      <c r="D90" s="216">
        <f t="shared" si="19"/>
        <v>719923101777.52368</v>
      </c>
      <c r="E90" s="216">
        <f t="shared" si="20"/>
        <v>73666.567658313914</v>
      </c>
      <c r="F90" s="217">
        <f t="shared" si="21"/>
        <v>1.7068565696193246E-4</v>
      </c>
      <c r="G90" s="216">
        <f t="shared" si="16"/>
        <v>719923175444.76538</v>
      </c>
      <c r="H90" s="216">
        <f t="shared" si="22"/>
        <v>1.389037100218651E-12</v>
      </c>
      <c r="I90" s="217">
        <f t="shared" si="23"/>
        <v>2.8042223215884346E-75</v>
      </c>
      <c r="J90" s="217">
        <f t="shared" si="24"/>
        <v>1.389037100218651E-12</v>
      </c>
      <c r="K90" s="195">
        <f t="shared" si="17"/>
        <v>1.3825047470810773E-12</v>
      </c>
      <c r="M90" s="218">
        <f t="shared" si="25"/>
        <v>1.3825047470810773E-12</v>
      </c>
      <c r="N90" s="218">
        <f>Calculations!F100</f>
        <v>0.998</v>
      </c>
      <c r="O90" s="219">
        <f>Spectra!$C$10*$A90</f>
        <v>3473540735654.0166</v>
      </c>
      <c r="P90" s="219">
        <f t="shared" si="26"/>
        <v>4.792582183108733</v>
      </c>
      <c r="Q90" s="218">
        <f t="shared" si="18"/>
        <v>3.3009791860760946E-13</v>
      </c>
    </row>
    <row r="91" spans="1:17" x14ac:dyDescent="0.25">
      <c r="A91" s="214">
        <v>695</v>
      </c>
      <c r="C91" s="215">
        <f t="shared" si="15"/>
        <v>0.51798561151079137</v>
      </c>
      <c r="D91" s="216">
        <f t="shared" si="19"/>
        <v>935203985890.56348</v>
      </c>
      <c r="E91" s="216">
        <f t="shared" si="20"/>
        <v>81830.300658408349</v>
      </c>
      <c r="F91" s="217">
        <f t="shared" si="21"/>
        <v>1.614016807701207E-4</v>
      </c>
      <c r="G91" s="216">
        <f t="shared" si="16"/>
        <v>935204067721.53821</v>
      </c>
      <c r="H91" s="216">
        <f t="shared" si="22"/>
        <v>1.0692853405100405E-12</v>
      </c>
      <c r="I91" s="217">
        <f t="shared" si="23"/>
        <v>3.3664043473645984E-77</v>
      </c>
      <c r="J91" s="217">
        <f t="shared" si="24"/>
        <v>1.0692853405100405E-12</v>
      </c>
      <c r="K91" s="195">
        <f t="shared" si="17"/>
        <v>1.0642567135223648E-12</v>
      </c>
      <c r="M91" s="218">
        <f t="shared" si="25"/>
        <v>1.0642567135223648E-12</v>
      </c>
      <c r="N91" s="218">
        <f>Calculations!F101</f>
        <v>0.99898282551807105</v>
      </c>
      <c r="O91" s="219">
        <f>Spectra!$C$10*$A91</f>
        <v>3498711320694.9878</v>
      </c>
      <c r="P91" s="219">
        <f t="shared" si="26"/>
        <v>3.7197395350672391</v>
      </c>
      <c r="Q91" s="218">
        <f t="shared" si="18"/>
        <v>2.5620390665719646E-13</v>
      </c>
    </row>
    <row r="92" spans="1:17" x14ac:dyDescent="0.25">
      <c r="A92" s="214">
        <v>700</v>
      </c>
      <c r="C92" s="215">
        <f t="shared" si="15"/>
        <v>0.51428571428571423</v>
      </c>
      <c r="D92" s="216">
        <f t="shared" si="19"/>
        <v>1210329007686.3577</v>
      </c>
      <c r="E92" s="216">
        <f t="shared" si="20"/>
        <v>90762.365336822419</v>
      </c>
      <c r="F92" s="217">
        <f t="shared" si="21"/>
        <v>1.5274466954108277E-4</v>
      </c>
      <c r="G92" s="216">
        <f t="shared" si="16"/>
        <v>1210329098449.3972</v>
      </c>
      <c r="H92" s="216">
        <f t="shared" si="22"/>
        <v>8.2622156344182871E-13</v>
      </c>
      <c r="I92" s="217">
        <f t="shared" si="23"/>
        <v>3.8185876126528228E-79</v>
      </c>
      <c r="J92" s="217">
        <f t="shared" si="24"/>
        <v>8.2622156344182871E-13</v>
      </c>
      <c r="K92" s="195">
        <f t="shared" si="17"/>
        <v>8.223360149410503E-13</v>
      </c>
      <c r="M92" s="218">
        <f t="shared" si="25"/>
        <v>8.223360149410503E-13</v>
      </c>
      <c r="N92" s="218">
        <f>Calculations!F102</f>
        <v>1</v>
      </c>
      <c r="O92" s="219">
        <f>Spectra!$C$10*$A92</f>
        <v>3523881905735.959</v>
      </c>
      <c r="P92" s="219">
        <f t="shared" si="26"/>
        <v>2.8978150034857824</v>
      </c>
      <c r="Q92" s="218">
        <f t="shared" si="18"/>
        <v>1.9959234179268264E-13</v>
      </c>
    </row>
    <row r="93" spans="1:17" x14ac:dyDescent="0.25">
      <c r="A93" s="214">
        <v>705</v>
      </c>
      <c r="C93" s="215">
        <f t="shared" si="15"/>
        <v>0.51063829787234039</v>
      </c>
      <c r="D93" s="216">
        <f t="shared" si="19"/>
        <v>1560673023960.0042</v>
      </c>
      <c r="E93" s="216">
        <f t="shared" si="20"/>
        <v>100521.57495134916</v>
      </c>
      <c r="F93" s="217">
        <f t="shared" si="21"/>
        <v>1.4466506822888225E-4</v>
      </c>
      <c r="G93" s="216">
        <f t="shared" si="16"/>
        <v>1560673124482.2534</v>
      </c>
      <c r="H93" s="216">
        <f t="shared" si="22"/>
        <v>6.4074916413502395E-13</v>
      </c>
      <c r="I93" s="217">
        <f t="shared" si="23"/>
        <v>4.0928128202888555E-81</v>
      </c>
      <c r="J93" s="217">
        <f t="shared" si="24"/>
        <v>6.4074916413502395E-13</v>
      </c>
      <c r="K93" s="195">
        <f t="shared" si="17"/>
        <v>6.3773585382669866E-13</v>
      </c>
      <c r="M93" s="218">
        <f t="shared" si="25"/>
        <v>6.3773585382669866E-13</v>
      </c>
      <c r="N93" s="218">
        <f>Calculations!F103</f>
        <v>1</v>
      </c>
      <c r="O93" s="219">
        <f>Spectra!$C$10*$A93</f>
        <v>3549052490776.9302</v>
      </c>
      <c r="P93" s="219">
        <f t="shared" si="26"/>
        <v>2.2633580204813972</v>
      </c>
      <c r="Q93" s="218">
        <f t="shared" si="18"/>
        <v>1.5589294937037862E-13</v>
      </c>
    </row>
    <row r="94" spans="1:17" x14ac:dyDescent="0.25">
      <c r="A94" s="214">
        <v>710</v>
      </c>
      <c r="C94" s="215">
        <f t="shared" si="15"/>
        <v>0.50704225352112675</v>
      </c>
      <c r="D94" s="216">
        <f t="shared" si="19"/>
        <v>2005235369457.1118</v>
      </c>
      <c r="E94" s="216">
        <f t="shared" si="20"/>
        <v>111170.11797153123</v>
      </c>
      <c r="F94" s="217">
        <f t="shared" si="21"/>
        <v>1.3711776229933254E-4</v>
      </c>
      <c r="G94" s="216">
        <f t="shared" si="16"/>
        <v>2005235480627.9041</v>
      </c>
      <c r="H94" s="216">
        <f t="shared" si="22"/>
        <v>4.9869454717950018E-13</v>
      </c>
      <c r="I94" s="217">
        <f t="shared" si="23"/>
        <v>4.1449915578856993E-83</v>
      </c>
      <c r="J94" s="217">
        <f t="shared" si="24"/>
        <v>4.9869454717950018E-13</v>
      </c>
      <c r="K94" s="195">
        <f t="shared" si="17"/>
        <v>4.9634929024615683E-13</v>
      </c>
      <c r="M94" s="218">
        <f t="shared" si="25"/>
        <v>4.9634929024615683E-13</v>
      </c>
      <c r="N94" s="218">
        <f>Calculations!F104</f>
        <v>1</v>
      </c>
      <c r="O94" s="219">
        <f>Spectra!$C$10*$A94</f>
        <v>3574223075817.9014</v>
      </c>
      <c r="P94" s="219">
        <f t="shared" si="26"/>
        <v>1.7740630868636509</v>
      </c>
      <c r="Q94" s="218">
        <f t="shared" si="18"/>
        <v>1.2219186027028543E-13</v>
      </c>
    </row>
    <row r="95" spans="1:17" x14ac:dyDescent="0.25">
      <c r="A95" s="214">
        <v>715</v>
      </c>
      <c r="C95" s="215">
        <f t="shared" si="15"/>
        <v>0.50349650349650354</v>
      </c>
      <c r="D95" s="216">
        <f t="shared" si="19"/>
        <v>2567416709121.5513</v>
      </c>
      <c r="E95" s="216">
        <f t="shared" si="20"/>
        <v>122773.67541105374</v>
      </c>
      <c r="F95" s="217">
        <f t="shared" si="21"/>
        <v>1.3006163585569684E-4</v>
      </c>
      <c r="G95" s="216">
        <f t="shared" si="16"/>
        <v>2567416831895.9004</v>
      </c>
      <c r="H95" s="216">
        <f t="shared" si="22"/>
        <v>3.8949655060941288E-13</v>
      </c>
      <c r="I95" s="217">
        <f t="shared" si="23"/>
        <v>3.9665055009396657E-85</v>
      </c>
      <c r="J95" s="217">
        <f t="shared" si="24"/>
        <v>3.8949655060941288E-13</v>
      </c>
      <c r="K95" s="195">
        <f t="shared" si="17"/>
        <v>3.8766482918595556E-13</v>
      </c>
      <c r="M95" s="218">
        <f t="shared" si="25"/>
        <v>3.8766482918595556E-13</v>
      </c>
      <c r="N95" s="218">
        <f>Calculations!F105</f>
        <v>1</v>
      </c>
      <c r="O95" s="219">
        <f>Spectra!$C$10*$A95</f>
        <v>3599393660858.8726</v>
      </c>
      <c r="P95" s="219">
        <f t="shared" si="26"/>
        <v>1.3953583287098661</v>
      </c>
      <c r="Q95" s="218">
        <f t="shared" si="18"/>
        <v>9.6107873046455645E-14</v>
      </c>
    </row>
    <row r="96" spans="1:17" x14ac:dyDescent="0.25">
      <c r="A96" s="214">
        <v>720</v>
      </c>
      <c r="C96" s="215">
        <f t="shared" si="15"/>
        <v>0.5</v>
      </c>
      <c r="D96" s="216">
        <f t="shared" si="19"/>
        <v>3275945453582.728</v>
      </c>
      <c r="E96" s="216">
        <f t="shared" si="20"/>
        <v>135401.53822581141</v>
      </c>
      <c r="F96" s="217">
        <f t="shared" si="21"/>
        <v>1.2345917788241493E-4</v>
      </c>
      <c r="G96" s="216">
        <f t="shared" si="16"/>
        <v>3275945588984.9399</v>
      </c>
      <c r="H96" s="216">
        <f t="shared" si="22"/>
        <v>3.0525537523040869E-13</v>
      </c>
      <c r="I96" s="217">
        <f t="shared" si="23"/>
        <v>3.5865353429049331E-87</v>
      </c>
      <c r="J96" s="217">
        <f t="shared" si="24"/>
        <v>3.0525537523040869E-13</v>
      </c>
      <c r="K96" s="195">
        <f t="shared" si="17"/>
        <v>3.0381982256746418E-13</v>
      </c>
      <c r="M96" s="218">
        <f t="shared" si="25"/>
        <v>3.0381982256746418E-13</v>
      </c>
      <c r="N96" s="218">
        <f>Calculations!F106</f>
        <v>1</v>
      </c>
      <c r="O96" s="219">
        <f>Spectra!$C$10*$A96</f>
        <v>3624564245899.8438</v>
      </c>
      <c r="P96" s="219">
        <f t="shared" si="26"/>
        <v>1.1012144660736651</v>
      </c>
      <c r="Q96" s="218">
        <f t="shared" si="18"/>
        <v>7.5848173135700958E-14</v>
      </c>
    </row>
    <row r="97" spans="1:17" x14ac:dyDescent="0.25">
      <c r="A97" s="214">
        <v>725</v>
      </c>
      <c r="C97" s="215">
        <f t="shared" si="15"/>
        <v>0.49655172413793103</v>
      </c>
      <c r="D97" s="216">
        <f t="shared" si="19"/>
        <v>4165979171256.5088</v>
      </c>
      <c r="E97" s="216">
        <f t="shared" si="20"/>
        <v>149126.72460148405</v>
      </c>
      <c r="F97" s="217">
        <f t="shared" si="21"/>
        <v>1.1727613093576544E-4</v>
      </c>
      <c r="G97" s="216">
        <f t="shared" si="16"/>
        <v>4165979320383.9072</v>
      </c>
      <c r="H97" s="216">
        <f t="shared" si="22"/>
        <v>2.4003959767804296E-13</v>
      </c>
      <c r="I97" s="217">
        <f t="shared" si="23"/>
        <v>3.0642543564842977E-89</v>
      </c>
      <c r="J97" s="217">
        <f t="shared" si="24"/>
        <v>2.4003959767804296E-13</v>
      </c>
      <c r="K97" s="195">
        <f t="shared" si="17"/>
        <v>2.3891074127904017E-13</v>
      </c>
      <c r="M97" s="218">
        <f t="shared" si="25"/>
        <v>2.3891074127904017E-13</v>
      </c>
      <c r="N97" s="218">
        <f>Calculations!F107</f>
        <v>1</v>
      </c>
      <c r="O97" s="219">
        <f>Spectra!$C$10*$A97</f>
        <v>3649734830940.8149</v>
      </c>
      <c r="P97" s="219">
        <f t="shared" si="26"/>
        <v>0.87196085393200251</v>
      </c>
      <c r="Q97" s="218">
        <f t="shared" si="18"/>
        <v>6.0057908658243143E-14</v>
      </c>
    </row>
    <row r="98" spans="1:17" x14ac:dyDescent="0.25">
      <c r="A98" s="214">
        <v>730</v>
      </c>
      <c r="C98" s="215">
        <f t="shared" si="15"/>
        <v>0.49315068493150682</v>
      </c>
      <c r="D98" s="216">
        <f t="shared" si="19"/>
        <v>5280410156284.6055</v>
      </c>
      <c r="E98" s="216">
        <f t="shared" si="20"/>
        <v>164026.09695443677</v>
      </c>
      <c r="F98" s="217">
        <f t="shared" si="21"/>
        <v>1.114811773275425E-4</v>
      </c>
      <c r="G98" s="216">
        <f t="shared" si="16"/>
        <v>5280410320311.376</v>
      </c>
      <c r="H98" s="216">
        <f t="shared" si="22"/>
        <v>1.8937922232169106E-13</v>
      </c>
      <c r="I98" s="217">
        <f t="shared" si="23"/>
        <v>2.4737576652657366E-91</v>
      </c>
      <c r="J98" s="217">
        <f t="shared" si="24"/>
        <v>1.8937922232169106E-13</v>
      </c>
      <c r="K98" s="195">
        <f t="shared" si="17"/>
        <v>1.8848861115160091E-13</v>
      </c>
      <c r="M98" s="218">
        <f t="shared" si="25"/>
        <v>1.8848861115160091E-13</v>
      </c>
      <c r="N98" s="218">
        <f>Calculations!F108</f>
        <v>1</v>
      </c>
      <c r="O98" s="219">
        <f>Spectra!$C$10*$A98</f>
        <v>3674905415981.7856</v>
      </c>
      <c r="P98" s="219">
        <f t="shared" si="26"/>
        <v>0.69267781797190298</v>
      </c>
      <c r="Q98" s="218">
        <f t="shared" si="18"/>
        <v>4.770945958612019E-14</v>
      </c>
    </row>
    <row r="99" spans="1:17" x14ac:dyDescent="0.25">
      <c r="A99" s="214">
        <v>735</v>
      </c>
      <c r="C99" s="215">
        <f t="shared" si="15"/>
        <v>0.48979591836734693</v>
      </c>
      <c r="D99" s="216">
        <f t="shared" si="19"/>
        <v>6671408488577.8896</v>
      </c>
      <c r="E99" s="216">
        <f t="shared" si="20"/>
        <v>180180.47847022102</v>
      </c>
      <c r="F99" s="217">
        <f t="shared" si="21"/>
        <v>1.0604565846836911E-4</v>
      </c>
      <c r="G99" s="216">
        <f t="shared" si="16"/>
        <v>6671408668759.042</v>
      </c>
      <c r="H99" s="216">
        <f t="shared" si="22"/>
        <v>1.4989338079119823E-13</v>
      </c>
      <c r="I99" s="217">
        <f t="shared" si="23"/>
        <v>1.8870010292436805E-93</v>
      </c>
      <c r="J99" s="217">
        <f t="shared" si="24"/>
        <v>1.4989338079119823E-13</v>
      </c>
      <c r="K99" s="195">
        <f t="shared" si="17"/>
        <v>1.4918846333711528E-13</v>
      </c>
      <c r="M99" s="218">
        <f t="shared" si="25"/>
        <v>1.4918846333711528E-13</v>
      </c>
      <c r="N99" s="218">
        <f>Calculations!F109</f>
        <v>1</v>
      </c>
      <c r="O99" s="219">
        <f>Spectra!$C$10*$A99</f>
        <v>3700076001022.7568</v>
      </c>
      <c r="P99" s="219">
        <f t="shared" si="26"/>
        <v>0.55200865282312361</v>
      </c>
      <c r="Q99" s="218">
        <f t="shared" si="18"/>
        <v>3.8020611934943949E-14</v>
      </c>
    </row>
    <row r="100" spans="1:17" x14ac:dyDescent="0.25">
      <c r="A100" s="214">
        <v>740</v>
      </c>
      <c r="C100" s="215">
        <f t="shared" si="15"/>
        <v>0.48648648648648651</v>
      </c>
      <c r="D100" s="216">
        <f t="shared" si="19"/>
        <v>8402240592079.6221</v>
      </c>
      <c r="E100" s="216">
        <f t="shared" si="20"/>
        <v>197674.76900488875</v>
      </c>
      <c r="F100" s="217">
        <f t="shared" si="21"/>
        <v>1.0094332357495443E-4</v>
      </c>
      <c r="G100" s="216">
        <f t="shared" si="16"/>
        <v>8402240789755.0645</v>
      </c>
      <c r="H100" s="216">
        <f t="shared" si="22"/>
        <v>1.1901587029251887E-13</v>
      </c>
      <c r="I100" s="217">
        <f t="shared" si="23"/>
        <v>1.3600966300237126E-95</v>
      </c>
      <c r="J100" s="217">
        <f t="shared" si="24"/>
        <v>1.1901587029251887E-13</v>
      </c>
      <c r="K100" s="195">
        <f t="shared" si="17"/>
        <v>1.1845616336057009E-13</v>
      </c>
      <c r="M100" s="218">
        <f t="shared" si="25"/>
        <v>1.1845616336057009E-13</v>
      </c>
      <c r="N100" s="218">
        <f>Calculations!F110</f>
        <v>1</v>
      </c>
      <c r="O100" s="219">
        <f>Spectra!$C$10*$A100</f>
        <v>3725246586063.728</v>
      </c>
      <c r="P100" s="219">
        <f t="shared" si="26"/>
        <v>0.441278418157171</v>
      </c>
      <c r="Q100" s="218">
        <f t="shared" si="18"/>
        <v>3.0393863223364503E-14</v>
      </c>
    </row>
    <row r="101" spans="1:17" x14ac:dyDescent="0.25">
      <c r="A101" s="214">
        <v>745</v>
      </c>
      <c r="C101" s="215">
        <f t="shared" si="15"/>
        <v>0.48322147651006714</v>
      </c>
      <c r="D101" s="216">
        <f t="shared" si="19"/>
        <v>10549406503950.988</v>
      </c>
      <c r="E101" s="216">
        <f t="shared" si="20"/>
        <v>216598.06017571219</v>
      </c>
      <c r="F101" s="217">
        <f t="shared" si="21"/>
        <v>9.6150104412176448E-5</v>
      </c>
      <c r="G101" s="216">
        <f t="shared" si="16"/>
        <v>10549406720549.723</v>
      </c>
      <c r="H101" s="216">
        <f t="shared" si="22"/>
        <v>9.4792060491141127E-14</v>
      </c>
      <c r="I101" s="217">
        <f t="shared" si="23"/>
        <v>9.2629652633852507E-98</v>
      </c>
      <c r="J101" s="217">
        <f t="shared" si="24"/>
        <v>9.4792060491141127E-14</v>
      </c>
      <c r="K101" s="195">
        <f t="shared" si="17"/>
        <v>9.4346273108162731E-14</v>
      </c>
      <c r="M101" s="218">
        <f t="shared" si="25"/>
        <v>9.4346273108162731E-14</v>
      </c>
      <c r="N101" s="218">
        <f>Calculations!F111</f>
        <v>1</v>
      </c>
      <c r="O101" s="219">
        <f>Spectra!$C$10*$A101</f>
        <v>3750417171104.6992</v>
      </c>
      <c r="P101" s="219">
        <f t="shared" si="26"/>
        <v>0.35383788269458705</v>
      </c>
      <c r="Q101" s="218">
        <f t="shared" si="18"/>
        <v>2.4371235409101113E-14</v>
      </c>
    </row>
    <row r="102" spans="1:17" x14ac:dyDescent="0.25">
      <c r="A102" s="214">
        <v>750</v>
      </c>
      <c r="C102" s="215">
        <f t="shared" si="15"/>
        <v>0.48</v>
      </c>
      <c r="D102" s="216">
        <f t="shared" si="19"/>
        <v>13205144856905.658</v>
      </c>
      <c r="E102" s="216">
        <f t="shared" si="20"/>
        <v>237043.74946971951</v>
      </c>
      <c r="F102" s="217">
        <f t="shared" si="21"/>
        <v>9.1643913146275232E-5</v>
      </c>
      <c r="G102" s="216">
        <f t="shared" si="16"/>
        <v>13205145093950.082</v>
      </c>
      <c r="H102" s="216">
        <f t="shared" si="22"/>
        <v>7.5728058486699138E-14</v>
      </c>
      <c r="I102" s="217">
        <f t="shared" si="23"/>
        <v>5.9609152837051988E-100</v>
      </c>
      <c r="J102" s="217">
        <f t="shared" si="24"/>
        <v>7.5728058486699138E-14</v>
      </c>
      <c r="K102" s="195">
        <f t="shared" si="17"/>
        <v>7.5371925147726346E-14</v>
      </c>
      <c r="M102" s="218">
        <f t="shared" si="25"/>
        <v>7.5371925147726346E-14</v>
      </c>
      <c r="N102" s="218">
        <f>Calculations!F112</f>
        <v>1</v>
      </c>
      <c r="O102" s="219">
        <f>Spectra!$C$10*$A102</f>
        <v>3775587756145.6704</v>
      </c>
      <c r="P102" s="219">
        <f t="shared" si="26"/>
        <v>0.28457331774488354</v>
      </c>
      <c r="Q102" s="218">
        <f t="shared" si="18"/>
        <v>1.9600511016780352E-14</v>
      </c>
    </row>
    <row r="103" spans="1:17" x14ac:dyDescent="0.25">
      <c r="A103" s="214">
        <v>755</v>
      </c>
      <c r="C103" s="215">
        <f t="shared" si="15"/>
        <v>0.47682119205298013</v>
      </c>
      <c r="D103" s="216">
        <f t="shared" si="19"/>
        <v>16480360997820.568</v>
      </c>
      <c r="E103" s="216">
        <f t="shared" si="20"/>
        <v>259109.65320070158</v>
      </c>
      <c r="F103" s="217">
        <f t="shared" si="21"/>
        <v>8.7404460738207303E-5</v>
      </c>
      <c r="G103" s="216">
        <f t="shared" si="16"/>
        <v>16480361256930.895</v>
      </c>
      <c r="H103" s="216">
        <f t="shared" si="22"/>
        <v>6.0678281526107039E-14</v>
      </c>
      <c r="I103" s="217">
        <f t="shared" si="23"/>
        <v>3.6245868237787516E-102</v>
      </c>
      <c r="J103" s="217">
        <f t="shared" si="24"/>
        <v>6.0678281526107039E-14</v>
      </c>
      <c r="K103" s="195">
        <f t="shared" si="17"/>
        <v>6.0392924164055842E-14</v>
      </c>
      <c r="M103" s="218">
        <f t="shared" si="25"/>
        <v>6.0392924164055842E-14</v>
      </c>
      <c r="N103" s="218">
        <f>Calculations!F113</f>
        <v>1</v>
      </c>
      <c r="O103" s="219">
        <f>Spectra!$C$10*$A103</f>
        <v>3800758341186.6416</v>
      </c>
      <c r="P103" s="219">
        <f t="shared" si="26"/>
        <v>0.22953891026518752</v>
      </c>
      <c r="Q103" s="218">
        <f t="shared" si="18"/>
        <v>1.5809914910806691E-14</v>
      </c>
    </row>
    <row r="104" spans="1:17" x14ac:dyDescent="0.25">
      <c r="A104" s="214">
        <v>760</v>
      </c>
      <c r="C104" s="215">
        <f t="shared" si="15"/>
        <v>0.47368421052631576</v>
      </c>
      <c r="D104" s="216">
        <f t="shared" si="19"/>
        <v>20508040768632.453</v>
      </c>
      <c r="E104" s="216">
        <f t="shared" si="20"/>
        <v>282898.11814796261</v>
      </c>
      <c r="F104" s="217">
        <f t="shared" si="21"/>
        <v>8.3413093613562224E-5</v>
      </c>
      <c r="G104" s="216">
        <f t="shared" si="16"/>
        <v>20508041051531.246</v>
      </c>
      <c r="H104" s="216">
        <f t="shared" si="22"/>
        <v>4.8761361335647138E-14</v>
      </c>
      <c r="I104" s="217">
        <f t="shared" si="23"/>
        <v>2.0825081436793875E-104</v>
      </c>
      <c r="J104" s="217">
        <f t="shared" si="24"/>
        <v>4.8761361335647138E-14</v>
      </c>
      <c r="K104" s="195">
        <f t="shared" si="17"/>
        <v>4.8532046775465025E-14</v>
      </c>
      <c r="M104" s="218">
        <f t="shared" si="25"/>
        <v>4.8532046775465025E-14</v>
      </c>
      <c r="N104" s="218">
        <f>Calculations!F114</f>
        <v>1</v>
      </c>
      <c r="O104" s="219">
        <f>Spectra!$C$10*$A104</f>
        <v>3825928926227.6128</v>
      </c>
      <c r="P104" s="219">
        <f t="shared" si="26"/>
        <v>0.18568016160728318</v>
      </c>
      <c r="Q104" s="218">
        <f t="shared" si="18"/>
        <v>1.2789062874980467E-14</v>
      </c>
    </row>
    <row r="105" spans="1:17" x14ac:dyDescent="0.25">
      <c r="A105" s="214">
        <v>765</v>
      </c>
      <c r="C105" s="215">
        <f t="shared" si="15"/>
        <v>0.47058823529411764</v>
      </c>
      <c r="D105" s="216">
        <f t="shared" si="19"/>
        <v>25447220313085.93</v>
      </c>
      <c r="E105" s="216">
        <f t="shared" si="20"/>
        <v>308516.13171310932</v>
      </c>
      <c r="F105" s="217">
        <f t="shared" si="21"/>
        <v>7.9652646613593618E-5</v>
      </c>
      <c r="G105" s="216">
        <f t="shared" si="16"/>
        <v>25447220621602.738</v>
      </c>
      <c r="H105" s="216">
        <f t="shared" si="22"/>
        <v>3.9297022447751196E-14</v>
      </c>
      <c r="I105" s="217">
        <f t="shared" si="23"/>
        <v>1.1305702490749709E-106</v>
      </c>
      <c r="J105" s="217">
        <f t="shared" si="24"/>
        <v>3.9297022447751196E-14</v>
      </c>
      <c r="K105" s="195">
        <f t="shared" si="17"/>
        <v>3.9112216708693927E-14</v>
      </c>
      <c r="M105" s="218">
        <f t="shared" si="25"/>
        <v>3.9112216708693927E-14</v>
      </c>
      <c r="N105" s="218">
        <f>Calculations!F115</f>
        <v>1</v>
      </c>
      <c r="O105" s="219">
        <f>Spectra!$C$10*$A105</f>
        <v>3851099511268.584</v>
      </c>
      <c r="P105" s="219">
        <f t="shared" si="26"/>
        <v>0.15062503865148213</v>
      </c>
      <c r="Q105" s="218">
        <f t="shared" si="18"/>
        <v>1.0374576762456933E-14</v>
      </c>
    </row>
    <row r="106" spans="1:17" x14ac:dyDescent="0.25">
      <c r="A106" s="214">
        <v>770</v>
      </c>
      <c r="C106" s="215">
        <f t="shared" si="15"/>
        <v>0.46753246753246752</v>
      </c>
      <c r="D106" s="216">
        <f t="shared" si="19"/>
        <v>31487590899819.598</v>
      </c>
      <c r="E106" s="216">
        <f t="shared" si="20"/>
        <v>336075.43043453491</v>
      </c>
      <c r="F106" s="217">
        <f t="shared" si="21"/>
        <v>7.6107310466156847E-5</v>
      </c>
      <c r="G106" s="216">
        <f t="shared" si="16"/>
        <v>31487591235895.703</v>
      </c>
      <c r="H106" s="216">
        <f t="shared" si="22"/>
        <v>3.1758542357473341E-14</v>
      </c>
      <c r="I106" s="217">
        <f t="shared" si="23"/>
        <v>5.7995065149945717E-109</v>
      </c>
      <c r="J106" s="217">
        <f t="shared" si="24"/>
        <v>3.1758542357473341E-14</v>
      </c>
      <c r="K106" s="195">
        <f t="shared" si="17"/>
        <v>3.1609188525397183E-14</v>
      </c>
      <c r="M106" s="218">
        <f t="shared" si="25"/>
        <v>3.1609188525397183E-14</v>
      </c>
      <c r="N106" s="218">
        <f>Calculations!F116</f>
        <v>1</v>
      </c>
      <c r="O106" s="219">
        <f>Spectra!$C$10*$A106</f>
        <v>3876270096309.5552</v>
      </c>
      <c r="P106" s="219">
        <f t="shared" si="26"/>
        <v>0.12252575224960822</v>
      </c>
      <c r="Q106" s="218">
        <f t="shared" si="18"/>
        <v>8.4391866948001125E-15</v>
      </c>
    </row>
    <row r="107" spans="1:17" x14ac:dyDescent="0.25">
      <c r="A107" s="214">
        <v>775</v>
      </c>
      <c r="C107" s="215">
        <f t="shared" si="15"/>
        <v>0.46451612903225808</v>
      </c>
      <c r="D107" s="216">
        <f t="shared" si="19"/>
        <v>38854827225102.469</v>
      </c>
      <c r="E107" s="216">
        <f t="shared" si="20"/>
        <v>365692.60670295259</v>
      </c>
      <c r="F107" s="217">
        <f t="shared" si="21"/>
        <v>7.2762512220249389E-5</v>
      </c>
      <c r="G107" s="216">
        <f t="shared" si="16"/>
        <v>38854827590795.75</v>
      </c>
      <c r="H107" s="216">
        <f t="shared" si="22"/>
        <v>2.5736827622338704E-14</v>
      </c>
      <c r="I107" s="217">
        <f t="shared" si="23"/>
        <v>2.8110409473022371E-111</v>
      </c>
      <c r="J107" s="217">
        <f t="shared" si="24"/>
        <v>2.5736827622338704E-14</v>
      </c>
      <c r="K107" s="195">
        <f t="shared" si="17"/>
        <v>2.5615792664637782E-14</v>
      </c>
      <c r="M107" s="218">
        <f t="shared" si="25"/>
        <v>2.5615792664637782E-14</v>
      </c>
      <c r="N107" s="218">
        <f>Calculations!F117</f>
        <v>1</v>
      </c>
      <c r="O107" s="219">
        <f>Spectra!$C$10*$A107</f>
        <v>3901440681350.5259</v>
      </c>
      <c r="P107" s="219">
        <f t="shared" si="26"/>
        <v>9.9938495586858231E-2</v>
      </c>
      <c r="Q107" s="218">
        <f t="shared" si="18"/>
        <v>6.8834478203144477E-15</v>
      </c>
    </row>
    <row r="108" spans="1:17" x14ac:dyDescent="0.25">
      <c r="A108" s="214">
        <v>780</v>
      </c>
      <c r="C108" s="215">
        <f t="shared" si="15"/>
        <v>0.46153846153846156</v>
      </c>
      <c r="D108" s="216">
        <f t="shared" si="19"/>
        <v>47816738035564.539</v>
      </c>
      <c r="E108" s="216">
        <f t="shared" si="20"/>
        <v>397489.21352535748</v>
      </c>
      <c r="F108" s="217">
        <f t="shared" si="21"/>
        <v>6.9604807267280658E-5</v>
      </c>
      <c r="G108" s="216">
        <f t="shared" ref="G108" si="27">D108+E108+F108+$G$4</f>
        <v>47816738433054.422</v>
      </c>
      <c r="H108" s="216">
        <f t="shared" si="22"/>
        <v>2.0913178789892683E-14</v>
      </c>
      <c r="I108" s="217">
        <f t="shared" si="23"/>
        <v>1.2874368818884909E-113</v>
      </c>
      <c r="J108" s="217">
        <f t="shared" si="24"/>
        <v>2.0913178789892683E-14</v>
      </c>
      <c r="K108" s="195">
        <f>IF(J108="","",J108/MAX(J$12:J$108))</f>
        <v>2.0814828451328443E-14</v>
      </c>
      <c r="M108" s="218">
        <f t="shared" si="25"/>
        <v>2.0814828451328443E-14</v>
      </c>
      <c r="N108" s="218">
        <f>Calculations!F118</f>
        <v>1</v>
      </c>
      <c r="O108" s="219">
        <f>Spectra!$C$10*$A108</f>
        <v>3926611266391.4971</v>
      </c>
      <c r="P108" s="219">
        <f t="shared" si="26"/>
        <v>8.1731739904992537E-2</v>
      </c>
      <c r="Q108" s="218">
        <f t="shared" ref="Q108" si="28">P108/SUM(P$12:P$108)</f>
        <v>5.6294240131978622E-15</v>
      </c>
    </row>
    <row r="109" spans="1:17" x14ac:dyDescent="0.25">
      <c r="A109" s="214"/>
      <c r="C109" s="215"/>
      <c r="D109" s="216"/>
      <c r="E109" s="216"/>
      <c r="F109" s="217"/>
      <c r="G109" s="216"/>
      <c r="H109" s="216"/>
      <c r="I109" s="217"/>
      <c r="J109" s="217"/>
    </row>
    <row r="110" spans="1:17" x14ac:dyDescent="0.25">
      <c r="A110" s="214"/>
      <c r="C110" s="215"/>
      <c r="D110" s="216"/>
      <c r="E110" s="216"/>
      <c r="F110" s="217"/>
      <c r="G110" s="216"/>
      <c r="H110" s="216"/>
      <c r="I110" s="217"/>
      <c r="J110" s="217"/>
    </row>
    <row r="111" spans="1:17" x14ac:dyDescent="0.25">
      <c r="A111" s="214"/>
      <c r="C111" s="215"/>
      <c r="D111" s="216"/>
      <c r="E111" s="216"/>
      <c r="F111" s="217"/>
      <c r="G111" s="216"/>
      <c r="H111" s="216"/>
      <c r="I111" s="217"/>
      <c r="J111" s="217"/>
    </row>
    <row r="112" spans="1:17" x14ac:dyDescent="0.25">
      <c r="A112" s="214"/>
      <c r="C112" s="215"/>
      <c r="D112" s="216"/>
      <c r="E112" s="216"/>
      <c r="F112" s="217"/>
      <c r="G112" s="216"/>
      <c r="H112" s="216"/>
      <c r="I112" s="217"/>
      <c r="J112" s="217"/>
    </row>
    <row r="113" spans="1:10" x14ac:dyDescent="0.25">
      <c r="A113" s="214"/>
      <c r="C113" s="215"/>
      <c r="D113" s="216"/>
      <c r="E113" s="216"/>
      <c r="F113" s="217"/>
      <c r="G113" s="216"/>
      <c r="H113" s="216"/>
      <c r="I113" s="217"/>
      <c r="J113" s="217"/>
    </row>
    <row r="114" spans="1:10" x14ac:dyDescent="0.25">
      <c r="A114" s="214"/>
      <c r="C114" s="215"/>
      <c r="D114" s="216"/>
      <c r="E114" s="216"/>
      <c r="F114" s="217"/>
      <c r="G114" s="216"/>
      <c r="H114" s="216"/>
      <c r="I114" s="217"/>
      <c r="J114" s="217"/>
    </row>
    <row r="115" spans="1:10" x14ac:dyDescent="0.25">
      <c r="A115" s="214"/>
      <c r="C115" s="215"/>
      <c r="D115" s="216"/>
      <c r="E115" s="216"/>
      <c r="F115" s="217"/>
      <c r="G115" s="216"/>
      <c r="H115" s="216"/>
      <c r="I115" s="217"/>
      <c r="J115" s="217"/>
    </row>
    <row r="116" spans="1:10" x14ac:dyDescent="0.25">
      <c r="A116" s="214"/>
      <c r="C116" s="215"/>
      <c r="D116" s="216"/>
      <c r="E116" s="216"/>
      <c r="F116" s="217"/>
      <c r="G116" s="216"/>
      <c r="H116" s="216"/>
      <c r="I116" s="217"/>
      <c r="J116" s="217"/>
    </row>
    <row r="117" spans="1:10" x14ac:dyDescent="0.25">
      <c r="A117" s="214"/>
      <c r="C117" s="215"/>
      <c r="D117" s="216"/>
      <c r="E117" s="216"/>
      <c r="F117" s="217"/>
      <c r="G117" s="216"/>
      <c r="H117" s="216"/>
      <c r="I117" s="217"/>
      <c r="J117" s="217"/>
    </row>
    <row r="118" spans="1:10" x14ac:dyDescent="0.25">
      <c r="A118" s="214"/>
      <c r="C118" s="215"/>
      <c r="D118" s="216"/>
      <c r="E118" s="216"/>
      <c r="F118" s="217"/>
      <c r="G118" s="216"/>
      <c r="H118" s="216"/>
      <c r="I118" s="217"/>
      <c r="J118" s="217"/>
    </row>
    <row r="119" spans="1:10" x14ac:dyDescent="0.25">
      <c r="A119" s="214"/>
      <c r="C119" s="215"/>
      <c r="D119" s="216"/>
      <c r="E119" s="216"/>
      <c r="F119" s="217"/>
      <c r="G119" s="216"/>
      <c r="H119" s="216"/>
      <c r="I119" s="217"/>
      <c r="J119" s="217"/>
    </row>
    <row r="120" spans="1:10" x14ac:dyDescent="0.25">
      <c r="A120" s="214"/>
      <c r="C120" s="215"/>
      <c r="D120" s="216"/>
      <c r="E120" s="216"/>
      <c r="F120" s="217"/>
      <c r="G120" s="216"/>
      <c r="H120" s="216"/>
      <c r="I120" s="217"/>
      <c r="J120" s="217"/>
    </row>
    <row r="121" spans="1:10" x14ac:dyDescent="0.25">
      <c r="A121" s="214"/>
      <c r="C121" s="215"/>
      <c r="D121" s="216"/>
      <c r="E121" s="216"/>
      <c r="F121" s="217"/>
      <c r="G121" s="216"/>
      <c r="H121" s="216"/>
      <c r="I121" s="217"/>
      <c r="J121" s="217"/>
    </row>
    <row r="122" spans="1:10" x14ac:dyDescent="0.25">
      <c r="A122" s="214"/>
      <c r="C122" s="215"/>
      <c r="D122" s="216"/>
      <c r="E122" s="216"/>
      <c r="F122" s="217"/>
      <c r="G122" s="216"/>
      <c r="H122" s="216"/>
      <c r="I122" s="217"/>
      <c r="J122" s="217"/>
    </row>
    <row r="123" spans="1:10" x14ac:dyDescent="0.25">
      <c r="A123" s="214"/>
      <c r="C123" s="215"/>
      <c r="D123" s="216"/>
      <c r="E123" s="216"/>
      <c r="F123" s="217"/>
      <c r="G123" s="216"/>
      <c r="H123" s="216"/>
      <c r="I123" s="217"/>
      <c r="J123" s="217"/>
    </row>
    <row r="124" spans="1:10" x14ac:dyDescent="0.25">
      <c r="A124" s="214"/>
      <c r="C124" s="215"/>
      <c r="D124" s="216"/>
      <c r="E124" s="216"/>
      <c r="F124" s="217"/>
      <c r="G124" s="216"/>
      <c r="H124" s="216"/>
      <c r="I124" s="217"/>
      <c r="J124" s="217"/>
    </row>
    <row r="125" spans="1:10" x14ac:dyDescent="0.25">
      <c r="A125" s="214"/>
      <c r="C125" s="215"/>
      <c r="D125" s="216"/>
      <c r="E125" s="216"/>
      <c r="F125" s="217"/>
      <c r="G125" s="216"/>
      <c r="H125" s="216"/>
      <c r="I125" s="217"/>
      <c r="J125" s="217"/>
    </row>
    <row r="126" spans="1:10" x14ac:dyDescent="0.25">
      <c r="A126" s="214"/>
      <c r="C126" s="215"/>
      <c r="D126" s="216"/>
      <c r="E126" s="216"/>
      <c r="F126" s="217"/>
      <c r="G126" s="216"/>
      <c r="H126" s="216"/>
      <c r="I126" s="217"/>
      <c r="J126" s="217"/>
    </row>
    <row r="127" spans="1:10" x14ac:dyDescent="0.25">
      <c r="A127" s="214"/>
      <c r="C127" s="215"/>
      <c r="D127" s="216"/>
      <c r="E127" s="216"/>
      <c r="F127" s="217"/>
      <c r="G127" s="216"/>
      <c r="H127" s="216"/>
      <c r="I127" s="217"/>
      <c r="J127" s="217"/>
    </row>
    <row r="128" spans="1:10" x14ac:dyDescent="0.25">
      <c r="A128" s="214"/>
      <c r="C128" s="215"/>
      <c r="D128" s="216"/>
      <c r="E128" s="216"/>
      <c r="F128" s="217"/>
      <c r="G128" s="216"/>
      <c r="H128" s="216"/>
      <c r="I128" s="217"/>
      <c r="J128" s="217"/>
    </row>
    <row r="129" spans="1:10" x14ac:dyDescent="0.25">
      <c r="A129" s="214"/>
      <c r="C129" s="215"/>
      <c r="D129" s="216"/>
      <c r="E129" s="216"/>
      <c r="F129" s="217"/>
      <c r="G129" s="216"/>
      <c r="H129" s="216"/>
      <c r="I129" s="217"/>
      <c r="J129" s="217"/>
    </row>
    <row r="130" spans="1:10" x14ac:dyDescent="0.25">
      <c r="A130" s="214"/>
      <c r="C130" s="215"/>
      <c r="D130" s="216"/>
      <c r="E130" s="216"/>
      <c r="F130" s="217"/>
      <c r="G130" s="216"/>
      <c r="H130" s="216"/>
      <c r="I130" s="217"/>
      <c r="J130" s="217"/>
    </row>
    <row r="131" spans="1:10" x14ac:dyDescent="0.25">
      <c r="A131" s="214"/>
      <c r="C131" s="215"/>
      <c r="D131" s="216"/>
      <c r="E131" s="216"/>
      <c r="F131" s="217"/>
      <c r="G131" s="216"/>
      <c r="H131" s="216"/>
      <c r="I131" s="217"/>
      <c r="J131" s="217"/>
    </row>
    <row r="132" spans="1:10" x14ac:dyDescent="0.25">
      <c r="A132" s="214"/>
      <c r="C132" s="215"/>
      <c r="D132" s="216"/>
      <c r="E132" s="216"/>
      <c r="F132" s="217"/>
      <c r="G132" s="216"/>
      <c r="H132" s="216"/>
      <c r="I132" s="217"/>
      <c r="J132" s="217"/>
    </row>
    <row r="133" spans="1:10" x14ac:dyDescent="0.25">
      <c r="A133" s="214"/>
      <c r="C133" s="215"/>
      <c r="D133" s="216"/>
      <c r="E133" s="216"/>
      <c r="F133" s="217"/>
      <c r="G133" s="216"/>
      <c r="H133" s="216"/>
      <c r="I133" s="217"/>
      <c r="J133" s="217"/>
    </row>
    <row r="134" spans="1:10" x14ac:dyDescent="0.25">
      <c r="A134" s="214"/>
      <c r="C134" s="215"/>
      <c r="D134" s="216"/>
      <c r="E134" s="216"/>
      <c r="F134" s="217"/>
      <c r="G134" s="216"/>
      <c r="H134" s="216"/>
      <c r="I134" s="217"/>
      <c r="J134" s="217"/>
    </row>
    <row r="135" spans="1:10" x14ac:dyDescent="0.25">
      <c r="A135" s="214"/>
      <c r="C135" s="215"/>
      <c r="D135" s="216"/>
      <c r="E135" s="216"/>
      <c r="F135" s="217"/>
      <c r="G135" s="216"/>
      <c r="H135" s="216"/>
      <c r="I135" s="217"/>
      <c r="J135" s="217"/>
    </row>
    <row r="136" spans="1:10" x14ac:dyDescent="0.25">
      <c r="A136" s="214"/>
      <c r="C136" s="215"/>
      <c r="D136" s="216"/>
      <c r="E136" s="216"/>
      <c r="F136" s="217"/>
      <c r="G136" s="216"/>
      <c r="H136" s="216"/>
      <c r="I136" s="217"/>
      <c r="J136" s="217"/>
    </row>
    <row r="137" spans="1:10" x14ac:dyDescent="0.25">
      <c r="A137" s="214"/>
      <c r="C137" s="215"/>
      <c r="D137" s="216"/>
      <c r="E137" s="216"/>
      <c r="F137" s="217"/>
      <c r="G137" s="216"/>
      <c r="H137" s="216"/>
      <c r="I137" s="217"/>
      <c r="J137" s="217"/>
    </row>
    <row r="138" spans="1:10" x14ac:dyDescent="0.25">
      <c r="A138" s="214"/>
      <c r="C138" s="215"/>
      <c r="D138" s="216"/>
      <c r="E138" s="216"/>
      <c r="F138" s="217"/>
      <c r="G138" s="216"/>
      <c r="H138" s="216"/>
      <c r="I138" s="217"/>
      <c r="J138" s="217"/>
    </row>
    <row r="139" spans="1:10" x14ac:dyDescent="0.25">
      <c r="A139" s="214"/>
      <c r="C139" s="215"/>
      <c r="D139" s="216"/>
      <c r="E139" s="216"/>
      <c r="F139" s="217"/>
      <c r="G139" s="216"/>
      <c r="H139" s="216"/>
      <c r="I139" s="217"/>
      <c r="J139" s="217"/>
    </row>
    <row r="140" spans="1:10" x14ac:dyDescent="0.25">
      <c r="A140" s="214"/>
      <c r="C140" s="215"/>
      <c r="D140" s="216"/>
      <c r="E140" s="216"/>
      <c r="F140" s="217"/>
      <c r="G140" s="216"/>
      <c r="H140" s="216"/>
      <c r="I140" s="217"/>
      <c r="J140" s="217"/>
    </row>
    <row r="141" spans="1:10" x14ac:dyDescent="0.25">
      <c r="A141" s="214"/>
      <c r="C141" s="215"/>
      <c r="D141" s="216"/>
      <c r="E141" s="216"/>
      <c r="F141" s="217"/>
      <c r="G141" s="216"/>
      <c r="H141" s="216"/>
      <c r="I141" s="217"/>
      <c r="J141" s="217"/>
    </row>
    <row r="142" spans="1:10" x14ac:dyDescent="0.25">
      <c r="A142" s="214"/>
      <c r="C142" s="215"/>
      <c r="D142" s="216"/>
      <c r="E142" s="216"/>
      <c r="F142" s="217"/>
      <c r="G142" s="216"/>
      <c r="H142" s="216"/>
      <c r="I142" s="217"/>
      <c r="J142" s="217"/>
    </row>
    <row r="143" spans="1:10" x14ac:dyDescent="0.25">
      <c r="A143" s="214"/>
      <c r="C143" s="215"/>
      <c r="D143" s="216"/>
      <c r="E143" s="216"/>
      <c r="F143" s="217"/>
      <c r="G143" s="216"/>
      <c r="H143" s="216"/>
      <c r="I143" s="217"/>
      <c r="J143" s="217"/>
    </row>
    <row r="144" spans="1:10" x14ac:dyDescent="0.25">
      <c r="A144" s="214"/>
      <c r="C144" s="215"/>
      <c r="D144" s="216"/>
      <c r="E144" s="216"/>
      <c r="F144" s="217"/>
      <c r="G144" s="216"/>
      <c r="H144" s="216"/>
      <c r="I144" s="217"/>
      <c r="J144" s="217"/>
    </row>
    <row r="145" spans="1:10" x14ac:dyDescent="0.25">
      <c r="A145" s="214"/>
      <c r="C145" s="215"/>
      <c r="D145" s="216"/>
      <c r="E145" s="216"/>
      <c r="F145" s="217"/>
      <c r="G145" s="216"/>
      <c r="H145" s="216"/>
      <c r="I145" s="217"/>
      <c r="J145" s="217"/>
    </row>
    <row r="146" spans="1:10" x14ac:dyDescent="0.25">
      <c r="A146" s="214"/>
      <c r="C146" s="215"/>
      <c r="D146" s="216"/>
      <c r="E146" s="216"/>
      <c r="F146" s="217"/>
      <c r="G146" s="216"/>
      <c r="H146" s="216"/>
      <c r="I146" s="217"/>
      <c r="J146" s="217"/>
    </row>
    <row r="147" spans="1:10" x14ac:dyDescent="0.25">
      <c r="A147" s="214"/>
      <c r="C147" s="215"/>
      <c r="D147" s="216"/>
      <c r="E147" s="216"/>
      <c r="F147" s="217"/>
      <c r="G147" s="216"/>
      <c r="H147" s="216"/>
      <c r="I147" s="217"/>
      <c r="J147" s="217"/>
    </row>
    <row r="148" spans="1:10" x14ac:dyDescent="0.25">
      <c r="A148" s="214"/>
      <c r="C148" s="215"/>
      <c r="D148" s="216"/>
      <c r="E148" s="216"/>
      <c r="F148" s="217"/>
      <c r="G148" s="216"/>
      <c r="H148" s="216"/>
      <c r="I148" s="217"/>
      <c r="J148" s="217"/>
    </row>
    <row r="149" spans="1:10" x14ac:dyDescent="0.25">
      <c r="A149" s="214"/>
      <c r="C149" s="215"/>
      <c r="D149" s="216"/>
      <c r="E149" s="216"/>
      <c r="F149" s="217"/>
      <c r="G149" s="216"/>
      <c r="H149" s="216"/>
      <c r="I149" s="217"/>
      <c r="J149" s="217"/>
    </row>
    <row r="150" spans="1:10" x14ac:dyDescent="0.25">
      <c r="A150" s="214"/>
      <c r="C150" s="215"/>
      <c r="D150" s="216"/>
      <c r="E150" s="216"/>
      <c r="F150" s="217"/>
      <c r="G150" s="216"/>
      <c r="H150" s="216"/>
      <c r="I150" s="217"/>
      <c r="J150" s="217"/>
    </row>
    <row r="151" spans="1:10" x14ac:dyDescent="0.25">
      <c r="A151" s="214"/>
      <c r="C151" s="215"/>
      <c r="D151" s="216"/>
      <c r="E151" s="216"/>
      <c r="F151" s="217"/>
      <c r="G151" s="216"/>
      <c r="H151" s="216"/>
      <c r="I151" s="217"/>
      <c r="J151" s="217"/>
    </row>
    <row r="152" spans="1:10" x14ac:dyDescent="0.25">
      <c r="A152" s="214"/>
      <c r="C152" s="215"/>
      <c r="D152" s="216"/>
      <c r="E152" s="216"/>
      <c r="F152" s="217"/>
      <c r="G152" s="216"/>
      <c r="H152" s="216"/>
      <c r="I152" s="217"/>
      <c r="J152" s="217"/>
    </row>
    <row r="153" spans="1:10" x14ac:dyDescent="0.25">
      <c r="A153" s="214"/>
      <c r="C153" s="215"/>
      <c r="D153" s="216"/>
      <c r="E153" s="216"/>
      <c r="F153" s="217"/>
      <c r="G153" s="216"/>
      <c r="H153" s="216"/>
      <c r="I153" s="217"/>
      <c r="J153" s="217"/>
    </row>
    <row r="154" spans="1:10" x14ac:dyDescent="0.25">
      <c r="A154" s="214"/>
      <c r="C154" s="215"/>
      <c r="D154" s="216"/>
      <c r="E154" s="216"/>
      <c r="F154" s="217"/>
      <c r="G154" s="216"/>
      <c r="H154" s="216"/>
      <c r="I154" s="217"/>
      <c r="J154" s="217"/>
    </row>
    <row r="155" spans="1:10" x14ac:dyDescent="0.25">
      <c r="A155" s="214"/>
      <c r="C155" s="215"/>
      <c r="D155" s="216"/>
      <c r="E155" s="216"/>
      <c r="F155" s="217"/>
      <c r="G155" s="216"/>
      <c r="H155" s="216"/>
      <c r="I155" s="217"/>
      <c r="J155" s="217"/>
    </row>
    <row r="156" spans="1:10" x14ac:dyDescent="0.25">
      <c r="A156" s="214"/>
      <c r="C156" s="215"/>
      <c r="D156" s="216"/>
      <c r="E156" s="216"/>
      <c r="F156" s="217"/>
      <c r="G156" s="216"/>
      <c r="H156" s="216"/>
      <c r="I156" s="217"/>
      <c r="J156" s="217"/>
    </row>
    <row r="157" spans="1:10" x14ac:dyDescent="0.25">
      <c r="A157" s="214"/>
      <c r="C157" s="215"/>
      <c r="D157" s="216"/>
      <c r="E157" s="216"/>
      <c r="F157" s="217"/>
      <c r="G157" s="216"/>
      <c r="H157" s="216"/>
      <c r="I157" s="217"/>
      <c r="J157" s="217"/>
    </row>
    <row r="158" spans="1:10" x14ac:dyDescent="0.25">
      <c r="A158" s="214"/>
      <c r="C158" s="215"/>
      <c r="D158" s="216"/>
      <c r="E158" s="216"/>
      <c r="F158" s="217"/>
      <c r="G158" s="216"/>
      <c r="H158" s="216"/>
      <c r="I158" s="217"/>
      <c r="J158" s="217"/>
    </row>
    <row r="159" spans="1:10" x14ac:dyDescent="0.25">
      <c r="A159" s="214"/>
      <c r="C159" s="215"/>
      <c r="D159" s="216"/>
      <c r="E159" s="216"/>
      <c r="F159" s="217"/>
      <c r="G159" s="216"/>
      <c r="H159" s="216"/>
      <c r="I159" s="217"/>
      <c r="J159" s="217"/>
    </row>
    <row r="160" spans="1:10" x14ac:dyDescent="0.25">
      <c r="A160" s="214"/>
      <c r="C160" s="215"/>
      <c r="D160" s="216"/>
      <c r="E160" s="216"/>
      <c r="F160" s="217"/>
      <c r="G160" s="216"/>
      <c r="H160" s="216"/>
      <c r="I160" s="217"/>
      <c r="J160" s="217"/>
    </row>
    <row r="161" spans="1:10" x14ac:dyDescent="0.25">
      <c r="A161" s="214"/>
      <c r="C161" s="215"/>
      <c r="D161" s="216"/>
      <c r="E161" s="216"/>
      <c r="F161" s="217"/>
      <c r="G161" s="216"/>
      <c r="H161" s="216"/>
      <c r="I161" s="217"/>
      <c r="J161" s="217"/>
    </row>
    <row r="162" spans="1:10" x14ac:dyDescent="0.25">
      <c r="A162" s="214"/>
      <c r="C162" s="215"/>
      <c r="D162" s="216"/>
      <c r="E162" s="216"/>
      <c r="F162" s="217"/>
      <c r="G162" s="216"/>
      <c r="H162" s="216"/>
      <c r="I162" s="217"/>
      <c r="J162" s="217"/>
    </row>
    <row r="163" spans="1:10" x14ac:dyDescent="0.25">
      <c r="A163" s="214"/>
      <c r="C163" s="215"/>
      <c r="D163" s="216"/>
      <c r="E163" s="216"/>
      <c r="F163" s="217"/>
      <c r="G163" s="216"/>
      <c r="H163" s="216"/>
      <c r="I163" s="217"/>
      <c r="J163" s="217"/>
    </row>
    <row r="164" spans="1:10" x14ac:dyDescent="0.25">
      <c r="A164" s="214"/>
      <c r="C164" s="215"/>
      <c r="D164" s="216"/>
      <c r="E164" s="216"/>
      <c r="F164" s="217"/>
      <c r="G164" s="216"/>
      <c r="H164" s="216"/>
      <c r="I164" s="217"/>
      <c r="J164" s="217"/>
    </row>
    <row r="165" spans="1:10" x14ac:dyDescent="0.25">
      <c r="A165" s="214"/>
      <c r="C165" s="215"/>
      <c r="D165" s="216"/>
      <c r="E165" s="216"/>
      <c r="F165" s="217"/>
      <c r="G165" s="216"/>
      <c r="H165" s="216"/>
      <c r="I165" s="217"/>
      <c r="J165" s="217"/>
    </row>
    <row r="166" spans="1:10" x14ac:dyDescent="0.25">
      <c r="A166" s="214"/>
      <c r="C166" s="215"/>
      <c r="D166" s="216"/>
      <c r="E166" s="216"/>
      <c r="F166" s="217"/>
      <c r="G166" s="216"/>
      <c r="H166" s="216"/>
      <c r="I166" s="217"/>
      <c r="J166" s="217"/>
    </row>
    <row r="167" spans="1:10" x14ac:dyDescent="0.25">
      <c r="A167" s="214"/>
      <c r="C167" s="215"/>
      <c r="D167" s="216"/>
      <c r="E167" s="216"/>
      <c r="F167" s="217"/>
      <c r="G167" s="216"/>
      <c r="H167" s="216"/>
      <c r="I167" s="217"/>
      <c r="J167" s="217"/>
    </row>
    <row r="168" spans="1:10" x14ac:dyDescent="0.25">
      <c r="A168" s="214"/>
      <c r="C168" s="215"/>
      <c r="D168" s="216"/>
      <c r="E168" s="216"/>
      <c r="F168" s="217"/>
      <c r="G168" s="216"/>
      <c r="H168" s="216"/>
      <c r="I168" s="217"/>
      <c r="J168" s="217"/>
    </row>
    <row r="169" spans="1:10" x14ac:dyDescent="0.25">
      <c r="A169" s="214"/>
      <c r="C169" s="215"/>
      <c r="D169" s="216"/>
      <c r="E169" s="216"/>
      <c r="F169" s="217"/>
      <c r="G169" s="216"/>
      <c r="H169" s="216"/>
      <c r="I169" s="217"/>
      <c r="J169" s="217"/>
    </row>
    <row r="170" spans="1:10" x14ac:dyDescent="0.25">
      <c r="A170" s="214"/>
      <c r="C170" s="215"/>
      <c r="D170" s="216"/>
      <c r="E170" s="216"/>
      <c r="F170" s="217"/>
      <c r="G170" s="216"/>
      <c r="H170" s="216"/>
      <c r="I170" s="217"/>
      <c r="J170" s="217"/>
    </row>
    <row r="171" spans="1:10" x14ac:dyDescent="0.25">
      <c r="A171" s="214"/>
      <c r="C171" s="215"/>
      <c r="D171" s="216"/>
      <c r="E171" s="216"/>
      <c r="F171" s="217"/>
      <c r="G171" s="216"/>
      <c r="H171" s="216"/>
      <c r="I171" s="217"/>
      <c r="J171" s="217"/>
    </row>
    <row r="172" spans="1:10" x14ac:dyDescent="0.25">
      <c r="A172" s="214"/>
      <c r="C172" s="215"/>
      <c r="D172" s="216"/>
      <c r="E172" s="216"/>
      <c r="F172" s="217"/>
      <c r="G172" s="216"/>
      <c r="H172" s="216"/>
      <c r="I172" s="217"/>
      <c r="J172" s="217"/>
    </row>
    <row r="173" spans="1:10" x14ac:dyDescent="0.25">
      <c r="A173" s="214"/>
      <c r="C173" s="215"/>
      <c r="D173" s="216"/>
      <c r="E173" s="216"/>
      <c r="F173" s="217"/>
      <c r="G173" s="216"/>
      <c r="H173" s="216"/>
      <c r="I173" s="217"/>
      <c r="J173" s="217"/>
    </row>
    <row r="174" spans="1:10" x14ac:dyDescent="0.25">
      <c r="A174" s="214"/>
      <c r="C174" s="215"/>
      <c r="D174" s="216"/>
      <c r="E174" s="216"/>
      <c r="F174" s="217"/>
      <c r="G174" s="216"/>
      <c r="H174" s="216"/>
      <c r="I174" s="217"/>
      <c r="J174" s="217"/>
    </row>
    <row r="175" spans="1:10" x14ac:dyDescent="0.25">
      <c r="A175" s="214"/>
      <c r="C175" s="215"/>
      <c r="D175" s="216"/>
      <c r="E175" s="216"/>
      <c r="F175" s="217"/>
      <c r="G175" s="216"/>
      <c r="H175" s="216"/>
      <c r="I175" s="217"/>
      <c r="J175" s="217"/>
    </row>
    <row r="176" spans="1:10" x14ac:dyDescent="0.25">
      <c r="A176" s="214"/>
      <c r="C176" s="215"/>
      <c r="D176" s="216"/>
      <c r="E176" s="216"/>
      <c r="F176" s="217"/>
      <c r="G176" s="216"/>
      <c r="H176" s="216"/>
      <c r="I176" s="217"/>
      <c r="J176" s="217"/>
    </row>
    <row r="177" spans="1:10" x14ac:dyDescent="0.25">
      <c r="A177" s="214"/>
      <c r="C177" s="215"/>
      <c r="D177" s="216"/>
      <c r="E177" s="216"/>
      <c r="F177" s="217"/>
      <c r="G177" s="216"/>
      <c r="H177" s="216"/>
      <c r="I177" s="217"/>
      <c r="J177" s="217"/>
    </row>
    <row r="178" spans="1:10" x14ac:dyDescent="0.25">
      <c r="A178" s="214"/>
      <c r="C178" s="215"/>
      <c r="D178" s="216"/>
      <c r="E178" s="216"/>
      <c r="F178" s="217"/>
      <c r="G178" s="216"/>
      <c r="H178" s="216"/>
      <c r="I178" s="217"/>
      <c r="J178" s="217"/>
    </row>
    <row r="179" spans="1:10" x14ac:dyDescent="0.25">
      <c r="A179" s="214"/>
      <c r="C179" s="215"/>
      <c r="D179" s="216"/>
      <c r="E179" s="216"/>
      <c r="F179" s="217"/>
      <c r="G179" s="216"/>
      <c r="H179" s="216"/>
      <c r="I179" s="217"/>
      <c r="J179" s="217"/>
    </row>
    <row r="180" spans="1:10" x14ac:dyDescent="0.25">
      <c r="A180" s="214"/>
      <c r="C180" s="215"/>
      <c r="D180" s="216"/>
      <c r="E180" s="216"/>
      <c r="F180" s="217"/>
      <c r="G180" s="216"/>
      <c r="H180" s="216"/>
      <c r="I180" s="217"/>
      <c r="J180" s="217"/>
    </row>
    <row r="181" spans="1:10" x14ac:dyDescent="0.25">
      <c r="A181" s="214"/>
      <c r="C181" s="215"/>
      <c r="D181" s="216"/>
      <c r="E181" s="216"/>
      <c r="F181" s="217"/>
      <c r="G181" s="216"/>
      <c r="H181" s="216"/>
      <c r="I181" s="217"/>
      <c r="J181" s="217"/>
    </row>
    <row r="182" spans="1:10" x14ac:dyDescent="0.25">
      <c r="A182" s="214"/>
      <c r="C182" s="215"/>
      <c r="D182" s="216"/>
      <c r="E182" s="216"/>
      <c r="F182" s="217"/>
      <c r="G182" s="216"/>
      <c r="H182" s="216"/>
      <c r="I182" s="217"/>
      <c r="J182" s="217"/>
    </row>
    <row r="183" spans="1:10" x14ac:dyDescent="0.25">
      <c r="A183" s="214"/>
      <c r="C183" s="215"/>
      <c r="D183" s="216"/>
      <c r="E183" s="216"/>
      <c r="F183" s="217"/>
      <c r="G183" s="216"/>
      <c r="H183" s="216"/>
      <c r="I183" s="217"/>
      <c r="J183" s="217"/>
    </row>
    <row r="184" spans="1:10" x14ac:dyDescent="0.25">
      <c r="A184" s="214"/>
      <c r="C184" s="215"/>
      <c r="D184" s="216"/>
      <c r="E184" s="216"/>
      <c r="F184" s="217"/>
      <c r="G184" s="216"/>
      <c r="H184" s="216"/>
      <c r="I184" s="217"/>
      <c r="J184" s="217"/>
    </row>
    <row r="185" spans="1:10" x14ac:dyDescent="0.25">
      <c r="A185" s="214"/>
      <c r="C185" s="215"/>
      <c r="D185" s="216"/>
      <c r="E185" s="216"/>
      <c r="F185" s="217"/>
      <c r="G185" s="216"/>
      <c r="H185" s="216"/>
      <c r="I185" s="217"/>
      <c r="J185" s="217"/>
    </row>
    <row r="186" spans="1:10" x14ac:dyDescent="0.25">
      <c r="A186" s="214"/>
      <c r="C186" s="215"/>
      <c r="D186" s="216"/>
      <c r="E186" s="216"/>
      <c r="F186" s="217"/>
      <c r="G186" s="216"/>
      <c r="H186" s="216"/>
      <c r="I186" s="217"/>
      <c r="J186" s="217"/>
    </row>
    <row r="187" spans="1:10" x14ac:dyDescent="0.25">
      <c r="A187" s="214"/>
      <c r="C187" s="215"/>
      <c r="D187" s="216"/>
      <c r="E187" s="216"/>
      <c r="F187" s="217"/>
      <c r="G187" s="216"/>
      <c r="H187" s="216"/>
      <c r="I187" s="217"/>
      <c r="J187" s="217"/>
    </row>
    <row r="188" spans="1:10" x14ac:dyDescent="0.25">
      <c r="A188" s="214"/>
      <c r="C188" s="215"/>
      <c r="D188" s="216"/>
      <c r="E188" s="216"/>
      <c r="F188" s="217"/>
      <c r="G188" s="216"/>
      <c r="H188" s="216"/>
      <c r="I188" s="217"/>
      <c r="J188" s="217"/>
    </row>
    <row r="189" spans="1:10" x14ac:dyDescent="0.25">
      <c r="A189" s="214"/>
      <c r="C189" s="215"/>
      <c r="D189" s="216"/>
      <c r="E189" s="216"/>
      <c r="F189" s="217"/>
      <c r="G189" s="216"/>
      <c r="H189" s="216"/>
      <c r="I189" s="217"/>
      <c r="J189" s="217"/>
    </row>
    <row r="190" spans="1:10" x14ac:dyDescent="0.25">
      <c r="A190" s="214"/>
      <c r="C190" s="215"/>
      <c r="D190" s="216"/>
      <c r="E190" s="216"/>
      <c r="F190" s="217"/>
      <c r="G190" s="216"/>
      <c r="H190" s="216"/>
      <c r="I190" s="217"/>
      <c r="J190" s="217"/>
    </row>
    <row r="191" spans="1:10" x14ac:dyDescent="0.25">
      <c r="A191" s="214"/>
      <c r="C191" s="215"/>
      <c r="D191" s="216"/>
      <c r="E191" s="216"/>
      <c r="F191" s="217"/>
      <c r="G191" s="216"/>
      <c r="H191" s="216"/>
      <c r="I191" s="217"/>
      <c r="J191" s="217"/>
    </row>
    <row r="192" spans="1:10" x14ac:dyDescent="0.25">
      <c r="A192" s="214"/>
      <c r="C192" s="215"/>
      <c r="D192" s="216"/>
      <c r="E192" s="216"/>
      <c r="F192" s="217"/>
      <c r="G192" s="216"/>
      <c r="H192" s="216"/>
      <c r="I192" s="217"/>
      <c r="J192" s="217"/>
    </row>
    <row r="193" spans="1:10" x14ac:dyDescent="0.25">
      <c r="A193" s="214"/>
      <c r="C193" s="215"/>
      <c r="D193" s="216"/>
      <c r="E193" s="216"/>
      <c r="F193" s="217"/>
      <c r="G193" s="216"/>
      <c r="H193" s="216"/>
      <c r="I193" s="217"/>
      <c r="J193" s="217"/>
    </row>
    <row r="194" spans="1:10" x14ac:dyDescent="0.25">
      <c r="A194" s="214"/>
      <c r="C194" s="215"/>
      <c r="D194" s="216"/>
      <c r="E194" s="216"/>
      <c r="F194" s="217"/>
      <c r="G194" s="216"/>
      <c r="H194" s="216"/>
      <c r="I194" s="217"/>
      <c r="J194" s="217"/>
    </row>
    <row r="195" spans="1:10" x14ac:dyDescent="0.25">
      <c r="A195" s="214"/>
      <c r="C195" s="215"/>
      <c r="D195" s="216"/>
      <c r="E195" s="216"/>
      <c r="F195" s="217"/>
      <c r="G195" s="216"/>
      <c r="H195" s="216"/>
      <c r="I195" s="217"/>
      <c r="J195" s="217"/>
    </row>
    <row r="196" spans="1:10" x14ac:dyDescent="0.25">
      <c r="A196" s="214"/>
      <c r="C196" s="215"/>
      <c r="D196" s="216"/>
      <c r="E196" s="216"/>
      <c r="F196" s="217"/>
      <c r="G196" s="216"/>
      <c r="H196" s="216"/>
      <c r="I196" s="217"/>
      <c r="J196" s="217"/>
    </row>
    <row r="197" spans="1:10" x14ac:dyDescent="0.25">
      <c r="A197" s="214"/>
      <c r="C197" s="215"/>
      <c r="D197" s="216"/>
      <c r="E197" s="216"/>
      <c r="F197" s="217"/>
      <c r="G197" s="216"/>
      <c r="H197" s="216"/>
      <c r="I197" s="217"/>
      <c r="J197" s="217"/>
    </row>
    <row r="198" spans="1:10" x14ac:dyDescent="0.25">
      <c r="A198" s="214"/>
      <c r="C198" s="215"/>
      <c r="D198" s="216"/>
      <c r="E198" s="216"/>
      <c r="F198" s="217"/>
      <c r="G198" s="216"/>
      <c r="H198" s="216"/>
      <c r="I198" s="217"/>
      <c r="J198" s="217"/>
    </row>
    <row r="199" spans="1:10" x14ac:dyDescent="0.25">
      <c r="A199" s="214"/>
      <c r="C199" s="215"/>
      <c r="D199" s="216"/>
      <c r="E199" s="216"/>
      <c r="F199" s="217"/>
      <c r="G199" s="216"/>
      <c r="H199" s="216"/>
      <c r="I199" s="217"/>
      <c r="J199" s="217"/>
    </row>
    <row r="200" spans="1:10" x14ac:dyDescent="0.25">
      <c r="A200" s="214"/>
      <c r="C200" s="215"/>
      <c r="D200" s="216"/>
      <c r="E200" s="216"/>
      <c r="F200" s="217"/>
      <c r="G200" s="216"/>
      <c r="H200" s="216"/>
      <c r="I200" s="217"/>
      <c r="J200" s="217"/>
    </row>
    <row r="201" spans="1:10" x14ac:dyDescent="0.25">
      <c r="A201" s="214"/>
      <c r="C201" s="215"/>
      <c r="D201" s="216"/>
      <c r="E201" s="216"/>
      <c r="F201" s="217"/>
      <c r="G201" s="216"/>
      <c r="H201" s="216"/>
      <c r="I201" s="217"/>
      <c r="J201" s="217"/>
    </row>
    <row r="202" spans="1:10" x14ac:dyDescent="0.25">
      <c r="A202" s="214"/>
      <c r="C202" s="215"/>
      <c r="D202" s="216"/>
      <c r="E202" s="216"/>
      <c r="F202" s="217"/>
      <c r="G202" s="216"/>
      <c r="H202" s="216"/>
      <c r="I202" s="217"/>
      <c r="J202" s="217"/>
    </row>
    <row r="203" spans="1:10" x14ac:dyDescent="0.25">
      <c r="A203" s="214"/>
      <c r="C203" s="215"/>
      <c r="D203" s="216"/>
      <c r="E203" s="216"/>
      <c r="F203" s="217"/>
      <c r="G203" s="216"/>
      <c r="H203" s="216"/>
      <c r="I203" s="217"/>
      <c r="J203" s="217"/>
    </row>
    <row r="204" spans="1:10" x14ac:dyDescent="0.25">
      <c r="A204" s="214"/>
      <c r="C204" s="215"/>
      <c r="D204" s="216"/>
      <c r="E204" s="216"/>
      <c r="F204" s="217"/>
      <c r="G204" s="216"/>
      <c r="H204" s="216"/>
      <c r="I204" s="217"/>
      <c r="J204" s="217"/>
    </row>
    <row r="205" spans="1:10" x14ac:dyDescent="0.25">
      <c r="A205" s="214"/>
      <c r="C205" s="215"/>
      <c r="D205" s="216"/>
      <c r="E205" s="216"/>
      <c r="F205" s="217"/>
      <c r="G205" s="216"/>
      <c r="H205" s="216"/>
      <c r="I205" s="217"/>
      <c r="J205" s="217"/>
    </row>
    <row r="206" spans="1:10" x14ac:dyDescent="0.25">
      <c r="A206" s="214"/>
      <c r="C206" s="215"/>
      <c r="D206" s="216"/>
      <c r="E206" s="216"/>
      <c r="F206" s="217"/>
      <c r="G206" s="216"/>
      <c r="H206" s="216"/>
      <c r="I206" s="217"/>
      <c r="J206" s="217"/>
    </row>
    <row r="207" spans="1:10" x14ac:dyDescent="0.25">
      <c r="A207" s="214"/>
      <c r="C207" s="215"/>
      <c r="D207" s="216"/>
      <c r="E207" s="216"/>
      <c r="F207" s="217"/>
      <c r="G207" s="216"/>
      <c r="H207" s="216"/>
      <c r="I207" s="217"/>
      <c r="J207" s="217"/>
    </row>
    <row r="208" spans="1:10" x14ac:dyDescent="0.25">
      <c r="A208" s="214"/>
      <c r="C208" s="215"/>
      <c r="D208" s="216"/>
      <c r="E208" s="216"/>
      <c r="F208" s="217"/>
      <c r="G208" s="216"/>
      <c r="H208" s="216"/>
      <c r="I208" s="217"/>
      <c r="J208" s="217"/>
    </row>
    <row r="209" spans="1:10" x14ac:dyDescent="0.25">
      <c r="A209" s="214"/>
      <c r="C209" s="215"/>
      <c r="D209" s="216"/>
      <c r="E209" s="216"/>
      <c r="F209" s="217"/>
      <c r="G209" s="216"/>
      <c r="H209" s="216"/>
      <c r="I209" s="217"/>
      <c r="J209" s="217"/>
    </row>
    <row r="210" spans="1:10" x14ac:dyDescent="0.25">
      <c r="A210" s="214"/>
      <c r="C210" s="215"/>
      <c r="D210" s="216"/>
      <c r="E210" s="216"/>
      <c r="F210" s="217"/>
      <c r="G210" s="216"/>
      <c r="H210" s="216"/>
      <c r="I210" s="217"/>
      <c r="J210" s="217"/>
    </row>
    <row r="211" spans="1:10" x14ac:dyDescent="0.25">
      <c r="A211" s="214"/>
      <c r="C211" s="215"/>
      <c r="D211" s="216"/>
      <c r="E211" s="216"/>
      <c r="F211" s="217"/>
      <c r="G211" s="216"/>
      <c r="H211" s="216"/>
      <c r="I211" s="217"/>
      <c r="J211" s="217"/>
    </row>
    <row r="212" spans="1:10" x14ac:dyDescent="0.25">
      <c r="A212" s="214"/>
      <c r="C212" s="215"/>
      <c r="D212" s="216"/>
      <c r="E212" s="216"/>
      <c r="F212" s="217"/>
      <c r="G212" s="216"/>
      <c r="H212" s="216"/>
      <c r="I212" s="217"/>
      <c r="J212" s="217"/>
    </row>
    <row r="213" spans="1:10" x14ac:dyDescent="0.25">
      <c r="A213" s="214"/>
      <c r="C213" s="215"/>
      <c r="D213" s="216"/>
      <c r="E213" s="216"/>
      <c r="F213" s="217"/>
      <c r="G213" s="216"/>
      <c r="H213" s="216"/>
      <c r="I213" s="217"/>
      <c r="J213" s="217"/>
    </row>
    <row r="214" spans="1:10" x14ac:dyDescent="0.25">
      <c r="A214" s="214"/>
      <c r="C214" s="215"/>
      <c r="D214" s="216"/>
      <c r="E214" s="216"/>
      <c r="F214" s="217"/>
      <c r="G214" s="216"/>
      <c r="H214" s="216"/>
      <c r="I214" s="217"/>
      <c r="J214" s="217"/>
    </row>
    <row r="215" spans="1:10" x14ac:dyDescent="0.25">
      <c r="A215" s="214"/>
      <c r="C215" s="215"/>
      <c r="D215" s="216"/>
      <c r="E215" s="216"/>
      <c r="F215" s="217"/>
      <c r="G215" s="216"/>
      <c r="H215" s="216"/>
      <c r="I215" s="217"/>
      <c r="J215" s="217"/>
    </row>
    <row r="216" spans="1:10" x14ac:dyDescent="0.25">
      <c r="A216" s="214"/>
      <c r="C216" s="215"/>
      <c r="D216" s="216"/>
      <c r="E216" s="216"/>
      <c r="F216" s="217"/>
      <c r="G216" s="216"/>
      <c r="H216" s="216"/>
      <c r="I216" s="217"/>
      <c r="J216" s="217"/>
    </row>
    <row r="217" spans="1:10" x14ac:dyDescent="0.25">
      <c r="A217" s="214"/>
      <c r="C217" s="215"/>
      <c r="D217" s="216"/>
      <c r="E217" s="216"/>
      <c r="F217" s="217"/>
      <c r="G217" s="216"/>
      <c r="H217" s="216"/>
      <c r="I217" s="217"/>
      <c r="J217" s="217"/>
    </row>
    <row r="218" spans="1:10" x14ac:dyDescent="0.25">
      <c r="A218" s="214"/>
      <c r="C218" s="215"/>
      <c r="D218" s="216"/>
      <c r="E218" s="216"/>
      <c r="F218" s="217"/>
      <c r="G218" s="216"/>
      <c r="H218" s="216"/>
      <c r="I218" s="217"/>
      <c r="J218" s="217"/>
    </row>
    <row r="219" spans="1:10" x14ac:dyDescent="0.25">
      <c r="A219" s="214"/>
      <c r="C219" s="215"/>
      <c r="D219" s="216"/>
      <c r="E219" s="216"/>
      <c r="F219" s="217"/>
      <c r="G219" s="216"/>
      <c r="H219" s="216"/>
      <c r="I219" s="217"/>
      <c r="J219" s="217"/>
    </row>
    <row r="220" spans="1:10" x14ac:dyDescent="0.25">
      <c r="A220" s="214"/>
      <c r="C220" s="215"/>
      <c r="D220" s="216"/>
      <c r="E220" s="216"/>
      <c r="F220" s="217"/>
      <c r="G220" s="216"/>
      <c r="H220" s="216"/>
      <c r="I220" s="217"/>
      <c r="J220" s="217"/>
    </row>
    <row r="221" spans="1:10" x14ac:dyDescent="0.25">
      <c r="A221" s="214"/>
      <c r="C221" s="215"/>
      <c r="D221" s="216"/>
      <c r="E221" s="216"/>
      <c r="F221" s="217"/>
      <c r="G221" s="216"/>
      <c r="H221" s="216"/>
      <c r="I221" s="217"/>
      <c r="J221" s="217"/>
    </row>
    <row r="222" spans="1:10" x14ac:dyDescent="0.25">
      <c r="A222" s="214"/>
      <c r="C222" s="215"/>
      <c r="D222" s="216"/>
      <c r="E222" s="216"/>
      <c r="F222" s="217"/>
      <c r="G222" s="216"/>
      <c r="H222" s="216"/>
      <c r="I222" s="217"/>
      <c r="J222" s="217"/>
    </row>
    <row r="223" spans="1:10" x14ac:dyDescent="0.25">
      <c r="A223" s="214"/>
      <c r="C223" s="215"/>
      <c r="D223" s="216"/>
      <c r="E223" s="216"/>
      <c r="F223" s="217"/>
      <c r="G223" s="216"/>
      <c r="H223" s="216"/>
      <c r="I223" s="217"/>
      <c r="J223" s="217"/>
    </row>
    <row r="224" spans="1:10" x14ac:dyDescent="0.25">
      <c r="A224" s="214"/>
      <c r="C224" s="215"/>
      <c r="D224" s="216"/>
      <c r="E224" s="216"/>
      <c r="F224" s="217"/>
      <c r="G224" s="216"/>
      <c r="H224" s="216"/>
      <c r="I224" s="217"/>
      <c r="J224" s="217"/>
    </row>
    <row r="225" spans="1:10" x14ac:dyDescent="0.25">
      <c r="A225" s="214"/>
      <c r="C225" s="215"/>
      <c r="D225" s="216"/>
      <c r="E225" s="216"/>
      <c r="F225" s="217"/>
      <c r="G225" s="216"/>
      <c r="H225" s="216"/>
      <c r="I225" s="217"/>
      <c r="J225" s="217"/>
    </row>
    <row r="226" spans="1:10" x14ac:dyDescent="0.25">
      <c r="A226" s="214"/>
      <c r="C226" s="215"/>
      <c r="D226" s="216"/>
      <c r="E226" s="216"/>
      <c r="F226" s="217"/>
      <c r="G226" s="216"/>
      <c r="H226" s="216"/>
      <c r="I226" s="217"/>
      <c r="J226" s="217"/>
    </row>
    <row r="227" spans="1:10" x14ac:dyDescent="0.25">
      <c r="A227" s="214"/>
      <c r="C227" s="215"/>
      <c r="D227" s="216"/>
      <c r="E227" s="216"/>
      <c r="F227" s="217"/>
      <c r="G227" s="216"/>
      <c r="H227" s="216"/>
      <c r="I227" s="217"/>
      <c r="J227" s="217"/>
    </row>
    <row r="228" spans="1:10" x14ac:dyDescent="0.25">
      <c r="A228" s="214"/>
      <c r="C228" s="215"/>
      <c r="D228" s="216"/>
      <c r="E228" s="216"/>
      <c r="F228" s="217"/>
      <c r="G228" s="216"/>
      <c r="H228" s="216"/>
      <c r="I228" s="217"/>
      <c r="J228" s="217"/>
    </row>
    <row r="229" spans="1:10" x14ac:dyDescent="0.25">
      <c r="A229" s="214"/>
      <c r="C229" s="215"/>
      <c r="D229" s="216"/>
      <c r="E229" s="216"/>
      <c r="F229" s="217"/>
      <c r="G229" s="216"/>
      <c r="H229" s="216"/>
      <c r="I229" s="217"/>
      <c r="J229" s="217"/>
    </row>
    <row r="230" spans="1:10" x14ac:dyDescent="0.25">
      <c r="A230" s="214"/>
      <c r="C230" s="215"/>
      <c r="D230" s="216"/>
      <c r="E230" s="216"/>
      <c r="F230" s="217"/>
      <c r="G230" s="216"/>
      <c r="H230" s="216"/>
      <c r="I230" s="217"/>
      <c r="J230" s="217"/>
    </row>
    <row r="231" spans="1:10" x14ac:dyDescent="0.25">
      <c r="A231" s="214"/>
      <c r="C231" s="215"/>
      <c r="D231" s="216"/>
      <c r="E231" s="216"/>
      <c r="F231" s="217"/>
      <c r="G231" s="216"/>
      <c r="H231" s="216"/>
      <c r="I231" s="217"/>
      <c r="J231" s="217"/>
    </row>
    <row r="232" spans="1:10" x14ac:dyDescent="0.25">
      <c r="A232" s="214"/>
      <c r="C232" s="215"/>
      <c r="D232" s="216"/>
      <c r="E232" s="216"/>
      <c r="F232" s="217"/>
      <c r="G232" s="216"/>
      <c r="H232" s="216"/>
      <c r="I232" s="217"/>
      <c r="J232" s="217"/>
    </row>
    <row r="233" spans="1:10" x14ac:dyDescent="0.25">
      <c r="A233" s="214"/>
      <c r="C233" s="215"/>
      <c r="D233" s="216"/>
      <c r="E233" s="216"/>
      <c r="F233" s="217"/>
      <c r="G233" s="216"/>
      <c r="H233" s="216"/>
      <c r="I233" s="217"/>
      <c r="J233" s="217"/>
    </row>
    <row r="234" spans="1:10" x14ac:dyDescent="0.25">
      <c r="A234" s="214"/>
      <c r="C234" s="215"/>
      <c r="D234" s="216"/>
      <c r="E234" s="216"/>
      <c r="F234" s="217"/>
      <c r="G234" s="216"/>
      <c r="H234" s="216"/>
      <c r="I234" s="217"/>
      <c r="J234" s="217"/>
    </row>
    <row r="235" spans="1:10" x14ac:dyDescent="0.25">
      <c r="A235" s="214"/>
      <c r="C235" s="215"/>
      <c r="D235" s="216"/>
      <c r="E235" s="216"/>
      <c r="F235" s="217"/>
      <c r="G235" s="216"/>
      <c r="H235" s="216"/>
      <c r="I235" s="217"/>
      <c r="J235" s="217"/>
    </row>
    <row r="236" spans="1:10" x14ac:dyDescent="0.25">
      <c r="A236" s="214"/>
      <c r="C236" s="215"/>
      <c r="D236" s="216"/>
      <c r="E236" s="216"/>
      <c r="F236" s="217"/>
      <c r="G236" s="216"/>
      <c r="H236" s="216"/>
      <c r="I236" s="217"/>
      <c r="J236" s="217"/>
    </row>
    <row r="237" spans="1:10" x14ac:dyDescent="0.25">
      <c r="A237" s="214"/>
      <c r="C237" s="215"/>
      <c r="D237" s="216"/>
      <c r="E237" s="216"/>
      <c r="F237" s="217"/>
      <c r="G237" s="216"/>
      <c r="H237" s="216"/>
      <c r="I237" s="217"/>
      <c r="J237" s="217"/>
    </row>
    <row r="238" spans="1:10" x14ac:dyDescent="0.25">
      <c r="A238" s="214"/>
      <c r="C238" s="215"/>
      <c r="D238" s="216"/>
      <c r="E238" s="216"/>
      <c r="F238" s="217"/>
      <c r="G238" s="216"/>
      <c r="H238" s="216"/>
      <c r="I238" s="217"/>
      <c r="J238" s="217"/>
    </row>
    <row r="239" spans="1:10" x14ac:dyDescent="0.25">
      <c r="A239" s="214"/>
      <c r="C239" s="215"/>
      <c r="D239" s="216"/>
      <c r="E239" s="216"/>
      <c r="F239" s="217"/>
      <c r="G239" s="216"/>
      <c r="H239" s="216"/>
      <c r="I239" s="217"/>
      <c r="J239" s="217"/>
    </row>
    <row r="240" spans="1:10" x14ac:dyDescent="0.25">
      <c r="A240" s="214"/>
      <c r="C240" s="215"/>
      <c r="D240" s="216"/>
      <c r="E240" s="216"/>
      <c r="F240" s="217"/>
      <c r="G240" s="216"/>
      <c r="H240" s="216"/>
      <c r="I240" s="217"/>
      <c r="J240" s="217"/>
    </row>
    <row r="241" spans="1:10" x14ac:dyDescent="0.25">
      <c r="A241" s="214"/>
      <c r="C241" s="215"/>
      <c r="D241" s="216"/>
      <c r="E241" s="216"/>
      <c r="F241" s="217"/>
      <c r="G241" s="216"/>
      <c r="H241" s="216"/>
      <c r="I241" s="217"/>
      <c r="J241" s="217"/>
    </row>
    <row r="242" spans="1:10" x14ac:dyDescent="0.25">
      <c r="A242" s="214"/>
      <c r="C242" s="215"/>
      <c r="D242" s="216"/>
      <c r="E242" s="216"/>
      <c r="F242" s="217"/>
      <c r="G242" s="216"/>
      <c r="H242" s="216"/>
      <c r="I242" s="217"/>
      <c r="J242" s="217"/>
    </row>
    <row r="243" spans="1:10" x14ac:dyDescent="0.25">
      <c r="A243" s="214"/>
      <c r="C243" s="215"/>
      <c r="D243" s="216"/>
      <c r="E243" s="216"/>
      <c r="F243" s="217"/>
      <c r="G243" s="216"/>
      <c r="H243" s="216"/>
      <c r="I243" s="217"/>
      <c r="J243" s="217"/>
    </row>
    <row r="244" spans="1:10" x14ac:dyDescent="0.25">
      <c r="A244" s="214"/>
      <c r="C244" s="215"/>
      <c r="D244" s="216"/>
      <c r="E244" s="216"/>
      <c r="F244" s="217"/>
      <c r="G244" s="216"/>
      <c r="H244" s="216"/>
      <c r="I244" s="217"/>
      <c r="J244" s="217"/>
    </row>
    <row r="245" spans="1:10" x14ac:dyDescent="0.25">
      <c r="A245" s="214"/>
      <c r="C245" s="215"/>
      <c r="D245" s="216"/>
      <c r="E245" s="216"/>
      <c r="F245" s="217"/>
      <c r="G245" s="216"/>
      <c r="H245" s="216"/>
      <c r="I245" s="217"/>
      <c r="J245" s="217"/>
    </row>
    <row r="246" spans="1:10" x14ac:dyDescent="0.25">
      <c r="A246" s="214"/>
      <c r="C246" s="215"/>
      <c r="D246" s="216"/>
      <c r="E246" s="216"/>
      <c r="F246" s="217"/>
      <c r="G246" s="216"/>
      <c r="H246" s="216"/>
      <c r="I246" s="217"/>
      <c r="J246" s="217"/>
    </row>
    <row r="247" spans="1:10" x14ac:dyDescent="0.25">
      <c r="A247" s="214"/>
      <c r="C247" s="215"/>
      <c r="D247" s="216"/>
      <c r="E247" s="216"/>
      <c r="F247" s="217"/>
      <c r="G247" s="216"/>
      <c r="H247" s="216"/>
      <c r="I247" s="217"/>
      <c r="J247" s="217"/>
    </row>
    <row r="248" spans="1:10" x14ac:dyDescent="0.25">
      <c r="A248" s="214"/>
      <c r="C248" s="215"/>
      <c r="D248" s="216"/>
      <c r="E248" s="216"/>
      <c r="F248" s="217"/>
      <c r="G248" s="216"/>
      <c r="H248" s="216"/>
      <c r="I248" s="217"/>
      <c r="J248" s="217"/>
    </row>
    <row r="249" spans="1:10" x14ac:dyDescent="0.25">
      <c r="A249" s="214"/>
      <c r="C249" s="215"/>
      <c r="D249" s="216"/>
      <c r="E249" s="216"/>
      <c r="F249" s="217"/>
      <c r="G249" s="216"/>
      <c r="H249" s="216"/>
      <c r="I249" s="217"/>
      <c r="J249" s="217"/>
    </row>
    <row r="250" spans="1:10" x14ac:dyDescent="0.25">
      <c r="A250" s="214"/>
      <c r="C250" s="215"/>
      <c r="D250" s="216"/>
      <c r="E250" s="216"/>
      <c r="F250" s="217"/>
      <c r="G250" s="216"/>
      <c r="H250" s="216"/>
      <c r="I250" s="217"/>
      <c r="J250" s="217"/>
    </row>
    <row r="251" spans="1:10" x14ac:dyDescent="0.25">
      <c r="A251" s="214"/>
      <c r="C251" s="215"/>
      <c r="D251" s="216"/>
      <c r="E251" s="216"/>
      <c r="F251" s="217"/>
      <c r="G251" s="216"/>
      <c r="H251" s="216"/>
      <c r="I251" s="217"/>
      <c r="J251" s="217"/>
    </row>
    <row r="252" spans="1:10" x14ac:dyDescent="0.25">
      <c r="A252" s="214"/>
      <c r="C252" s="215"/>
      <c r="D252" s="216"/>
      <c r="E252" s="216"/>
      <c r="F252" s="217"/>
      <c r="G252" s="216"/>
      <c r="H252" s="216"/>
      <c r="I252" s="217"/>
      <c r="J252" s="217"/>
    </row>
    <row r="253" spans="1:10" x14ac:dyDescent="0.25">
      <c r="A253" s="214"/>
      <c r="C253" s="215"/>
      <c r="D253" s="216"/>
      <c r="E253" s="216"/>
      <c r="F253" s="217"/>
      <c r="G253" s="216"/>
      <c r="H253" s="216"/>
      <c r="I253" s="217"/>
      <c r="J253" s="217"/>
    </row>
    <row r="254" spans="1:10" x14ac:dyDescent="0.25">
      <c r="A254" s="214"/>
      <c r="C254" s="215"/>
      <c r="D254" s="216"/>
      <c r="E254" s="216"/>
      <c r="F254" s="217"/>
      <c r="G254" s="216"/>
      <c r="H254" s="216"/>
      <c r="I254" s="217"/>
      <c r="J254" s="217"/>
    </row>
    <row r="255" spans="1:10" x14ac:dyDescent="0.25">
      <c r="A255" s="214"/>
      <c r="C255" s="215"/>
      <c r="D255" s="216"/>
      <c r="E255" s="216"/>
      <c r="F255" s="217"/>
      <c r="G255" s="216"/>
      <c r="H255" s="216"/>
      <c r="I255" s="217"/>
      <c r="J255" s="217"/>
    </row>
    <row r="256" spans="1:10" x14ac:dyDescent="0.25">
      <c r="A256" s="214"/>
      <c r="C256" s="215"/>
      <c r="D256" s="216"/>
      <c r="E256" s="216"/>
      <c r="F256" s="217"/>
      <c r="G256" s="216"/>
      <c r="H256" s="216"/>
      <c r="I256" s="217"/>
      <c r="J256" s="217"/>
    </row>
    <row r="257" spans="1:10" x14ac:dyDescent="0.25">
      <c r="A257" s="214"/>
      <c r="C257" s="215"/>
      <c r="D257" s="216"/>
      <c r="E257" s="216"/>
      <c r="F257" s="217"/>
      <c r="G257" s="216"/>
      <c r="H257" s="216"/>
      <c r="I257" s="217"/>
      <c r="J257" s="217"/>
    </row>
    <row r="258" spans="1:10" x14ac:dyDescent="0.25">
      <c r="A258" s="214"/>
      <c r="C258" s="215"/>
      <c r="D258" s="216"/>
      <c r="E258" s="216"/>
      <c r="F258" s="217"/>
      <c r="G258" s="216"/>
      <c r="H258" s="216"/>
      <c r="I258" s="217"/>
      <c r="J258" s="217"/>
    </row>
    <row r="259" spans="1:10" x14ac:dyDescent="0.25">
      <c r="A259" s="214"/>
      <c r="C259" s="215"/>
      <c r="D259" s="216"/>
      <c r="E259" s="216"/>
      <c r="F259" s="217"/>
      <c r="G259" s="216"/>
      <c r="H259" s="216"/>
      <c r="I259" s="217"/>
      <c r="J259" s="217"/>
    </row>
    <row r="260" spans="1:10" x14ac:dyDescent="0.25">
      <c r="A260" s="214"/>
      <c r="C260" s="215"/>
      <c r="D260" s="216"/>
      <c r="E260" s="216"/>
      <c r="F260" s="217"/>
      <c r="G260" s="216"/>
      <c r="H260" s="216"/>
      <c r="I260" s="217"/>
      <c r="J260" s="217"/>
    </row>
    <row r="261" spans="1:10" x14ac:dyDescent="0.25">
      <c r="A261" s="214"/>
      <c r="C261" s="215"/>
      <c r="D261" s="216"/>
      <c r="E261" s="216"/>
      <c r="F261" s="217"/>
      <c r="G261" s="216"/>
      <c r="H261" s="216"/>
      <c r="I261" s="217"/>
      <c r="J261" s="217"/>
    </row>
    <row r="262" spans="1:10" x14ac:dyDescent="0.25">
      <c r="A262" s="214"/>
      <c r="C262" s="215"/>
      <c r="D262" s="216"/>
      <c r="E262" s="216"/>
      <c r="F262" s="217"/>
      <c r="G262" s="216"/>
      <c r="H262" s="216"/>
      <c r="I262" s="217"/>
      <c r="J262" s="217"/>
    </row>
    <row r="263" spans="1:10" x14ac:dyDescent="0.25">
      <c r="A263" s="214"/>
      <c r="C263" s="215"/>
      <c r="D263" s="216"/>
      <c r="E263" s="216"/>
      <c r="F263" s="217"/>
      <c r="G263" s="216"/>
      <c r="H263" s="216"/>
      <c r="I263" s="217"/>
      <c r="J263" s="217"/>
    </row>
    <row r="264" spans="1:10" x14ac:dyDescent="0.25">
      <c r="A264" s="214"/>
      <c r="C264" s="215"/>
      <c r="D264" s="216"/>
      <c r="E264" s="216"/>
      <c r="F264" s="217"/>
      <c r="G264" s="216"/>
      <c r="H264" s="216"/>
      <c r="I264" s="217"/>
      <c r="J264" s="217"/>
    </row>
    <row r="265" spans="1:10" x14ac:dyDescent="0.25">
      <c r="A265" s="214"/>
      <c r="C265" s="215"/>
      <c r="D265" s="216"/>
      <c r="E265" s="216"/>
      <c r="F265" s="217"/>
      <c r="G265" s="216"/>
      <c r="H265" s="216"/>
      <c r="I265" s="217"/>
      <c r="J265" s="217"/>
    </row>
    <row r="266" spans="1:10" x14ac:dyDescent="0.25">
      <c r="A266" s="214"/>
      <c r="C266" s="215"/>
      <c r="D266" s="216"/>
      <c r="E266" s="216"/>
      <c r="F266" s="217"/>
      <c r="G266" s="216"/>
      <c r="H266" s="216"/>
      <c r="I266" s="217"/>
      <c r="J266" s="217"/>
    </row>
    <row r="267" spans="1:10" x14ac:dyDescent="0.25">
      <c r="A267" s="214"/>
      <c r="C267" s="215"/>
      <c r="D267" s="216"/>
      <c r="E267" s="216"/>
      <c r="F267" s="217"/>
      <c r="G267" s="216"/>
      <c r="H267" s="216"/>
      <c r="I267" s="217"/>
      <c r="J267" s="217"/>
    </row>
    <row r="268" spans="1:10" x14ac:dyDescent="0.25">
      <c r="A268" s="214"/>
      <c r="C268" s="215"/>
      <c r="D268" s="216"/>
      <c r="E268" s="216"/>
      <c r="F268" s="217"/>
      <c r="G268" s="216"/>
      <c r="H268" s="216"/>
      <c r="I268" s="217"/>
      <c r="J268" s="217"/>
    </row>
    <row r="269" spans="1:10" x14ac:dyDescent="0.25">
      <c r="A269" s="214"/>
      <c r="C269" s="215"/>
      <c r="D269" s="216"/>
      <c r="E269" s="216"/>
      <c r="F269" s="217"/>
      <c r="G269" s="216"/>
      <c r="H269" s="216"/>
      <c r="I269" s="217"/>
      <c r="J269" s="217"/>
    </row>
    <row r="270" spans="1:10" x14ac:dyDescent="0.25">
      <c r="A270" s="214"/>
      <c r="C270" s="215"/>
      <c r="D270" s="216"/>
      <c r="E270" s="216"/>
      <c r="F270" s="217"/>
      <c r="G270" s="216"/>
      <c r="H270" s="216"/>
      <c r="I270" s="217"/>
      <c r="J270" s="217"/>
    </row>
    <row r="271" spans="1:10" x14ac:dyDescent="0.25">
      <c r="A271" s="214"/>
      <c r="C271" s="215"/>
      <c r="D271" s="216"/>
      <c r="E271" s="216"/>
      <c r="F271" s="217"/>
      <c r="G271" s="216"/>
      <c r="H271" s="216"/>
      <c r="I271" s="217"/>
      <c r="J271" s="217"/>
    </row>
    <row r="272" spans="1:10" x14ac:dyDescent="0.25">
      <c r="A272" s="214"/>
      <c r="C272" s="215"/>
      <c r="D272" s="216"/>
      <c r="E272" s="216"/>
      <c r="F272" s="217"/>
      <c r="G272" s="216"/>
      <c r="H272" s="216"/>
      <c r="I272" s="217"/>
      <c r="J272" s="217"/>
    </row>
    <row r="273" spans="1:10" x14ac:dyDescent="0.25">
      <c r="A273" s="214"/>
      <c r="C273" s="215"/>
      <c r="D273" s="216"/>
      <c r="E273" s="216"/>
      <c r="F273" s="217"/>
      <c r="G273" s="216"/>
      <c r="H273" s="216"/>
      <c r="I273" s="217"/>
      <c r="J273" s="217"/>
    </row>
    <row r="274" spans="1:10" x14ac:dyDescent="0.25">
      <c r="A274" s="214"/>
      <c r="C274" s="215"/>
      <c r="D274" s="216"/>
      <c r="E274" s="216"/>
      <c r="F274" s="217"/>
      <c r="G274" s="216"/>
      <c r="H274" s="216"/>
      <c r="I274" s="217"/>
      <c r="J274" s="217"/>
    </row>
    <row r="275" spans="1:10" x14ac:dyDescent="0.25">
      <c r="A275" s="214"/>
      <c r="C275" s="215"/>
      <c r="D275" s="216"/>
      <c r="E275" s="216"/>
      <c r="F275" s="217"/>
      <c r="G275" s="216"/>
      <c r="H275" s="216"/>
      <c r="I275" s="217"/>
      <c r="J275" s="217"/>
    </row>
    <row r="276" spans="1:10" x14ac:dyDescent="0.25">
      <c r="A276" s="214"/>
      <c r="C276" s="215"/>
      <c r="D276" s="216"/>
      <c r="E276" s="216"/>
      <c r="F276" s="217"/>
      <c r="G276" s="216"/>
      <c r="H276" s="216"/>
      <c r="I276" s="217"/>
      <c r="J276" s="217"/>
    </row>
    <row r="277" spans="1:10" x14ac:dyDescent="0.25">
      <c r="A277" s="214"/>
      <c r="C277" s="215"/>
      <c r="D277" s="216"/>
      <c r="E277" s="216"/>
      <c r="F277" s="217"/>
      <c r="G277" s="216"/>
      <c r="H277" s="216"/>
      <c r="I277" s="217"/>
      <c r="J277" s="217"/>
    </row>
    <row r="278" spans="1:10" x14ac:dyDescent="0.25">
      <c r="A278" s="214"/>
      <c r="C278" s="215"/>
      <c r="D278" s="216"/>
      <c r="E278" s="216"/>
      <c r="F278" s="217"/>
      <c r="G278" s="216"/>
      <c r="H278" s="216"/>
      <c r="I278" s="217"/>
      <c r="J278" s="217"/>
    </row>
    <row r="279" spans="1:10" x14ac:dyDescent="0.25">
      <c r="A279" s="214"/>
      <c r="C279" s="215"/>
      <c r="D279" s="216"/>
      <c r="E279" s="216"/>
      <c r="F279" s="217"/>
      <c r="G279" s="216"/>
      <c r="H279" s="216"/>
      <c r="I279" s="217"/>
      <c r="J279" s="217"/>
    </row>
    <row r="280" spans="1:10" x14ac:dyDescent="0.25">
      <c r="A280" s="214"/>
      <c r="C280" s="215"/>
      <c r="D280" s="216"/>
      <c r="E280" s="216"/>
      <c r="F280" s="217"/>
      <c r="G280" s="216"/>
      <c r="H280" s="216"/>
      <c r="I280" s="217"/>
      <c r="J280" s="217"/>
    </row>
    <row r="281" spans="1:10" x14ac:dyDescent="0.25">
      <c r="A281" s="214"/>
      <c r="C281" s="215"/>
      <c r="D281" s="216"/>
      <c r="E281" s="216"/>
      <c r="F281" s="217"/>
      <c r="G281" s="216"/>
      <c r="H281" s="216"/>
      <c r="I281" s="217"/>
      <c r="J281" s="217"/>
    </row>
    <row r="282" spans="1:10" x14ac:dyDescent="0.25">
      <c r="A282" s="214"/>
      <c r="C282" s="215"/>
      <c r="D282" s="216"/>
      <c r="E282" s="216"/>
      <c r="F282" s="217"/>
      <c r="G282" s="216"/>
      <c r="H282" s="216"/>
      <c r="I282" s="217"/>
      <c r="J282" s="217"/>
    </row>
    <row r="283" spans="1:10" x14ac:dyDescent="0.25">
      <c r="A283" s="214"/>
      <c r="C283" s="215"/>
      <c r="D283" s="216"/>
      <c r="E283" s="216"/>
      <c r="F283" s="217"/>
      <c r="G283" s="216"/>
      <c r="H283" s="216"/>
      <c r="I283" s="217"/>
      <c r="J283" s="217"/>
    </row>
    <row r="284" spans="1:10" x14ac:dyDescent="0.25">
      <c r="A284" s="214"/>
      <c r="C284" s="215"/>
      <c r="D284" s="216"/>
      <c r="E284" s="216"/>
      <c r="F284" s="217"/>
      <c r="G284" s="216"/>
      <c r="H284" s="216"/>
      <c r="I284" s="217"/>
      <c r="J284" s="217"/>
    </row>
    <row r="285" spans="1:10" x14ac:dyDescent="0.25">
      <c r="A285" s="214"/>
      <c r="C285" s="215"/>
      <c r="D285" s="216"/>
      <c r="E285" s="216"/>
      <c r="F285" s="217"/>
      <c r="G285" s="216"/>
      <c r="H285" s="216"/>
      <c r="I285" s="217"/>
      <c r="J285" s="217"/>
    </row>
    <row r="286" spans="1:10" x14ac:dyDescent="0.25">
      <c r="A286" s="214"/>
      <c r="C286" s="215"/>
      <c r="D286" s="216"/>
      <c r="E286" s="216"/>
      <c r="F286" s="217"/>
      <c r="G286" s="216"/>
      <c r="H286" s="216"/>
      <c r="I286" s="217"/>
      <c r="J286" s="217"/>
    </row>
    <row r="287" spans="1:10" x14ac:dyDescent="0.25">
      <c r="A287" s="214"/>
      <c r="C287" s="215"/>
      <c r="D287" s="216"/>
      <c r="E287" s="216"/>
      <c r="F287" s="217"/>
      <c r="G287" s="216"/>
      <c r="H287" s="216"/>
      <c r="I287" s="217"/>
      <c r="J287" s="217"/>
    </row>
    <row r="288" spans="1:10" x14ac:dyDescent="0.25">
      <c r="A288" s="214"/>
      <c r="C288" s="215"/>
      <c r="D288" s="216"/>
      <c r="E288" s="216"/>
      <c r="F288" s="217"/>
      <c r="G288" s="216"/>
      <c r="H288" s="216"/>
      <c r="I288" s="217"/>
      <c r="J288" s="217"/>
    </row>
    <row r="289" spans="1:10" x14ac:dyDescent="0.25">
      <c r="A289" s="214"/>
      <c r="C289" s="215"/>
      <c r="D289" s="216"/>
      <c r="E289" s="216"/>
      <c r="F289" s="217"/>
      <c r="G289" s="216"/>
      <c r="H289" s="216"/>
      <c r="I289" s="217"/>
      <c r="J289" s="217"/>
    </row>
    <row r="290" spans="1:10" x14ac:dyDescent="0.25">
      <c r="A290" s="214"/>
      <c r="C290" s="215"/>
      <c r="D290" s="216"/>
      <c r="E290" s="216"/>
      <c r="F290" s="217"/>
      <c r="G290" s="216"/>
      <c r="H290" s="216"/>
      <c r="I290" s="217"/>
      <c r="J290" s="217"/>
    </row>
    <row r="291" spans="1:10" x14ac:dyDescent="0.25">
      <c r="A291" s="214"/>
      <c r="C291" s="215"/>
      <c r="D291" s="216"/>
      <c r="E291" s="216"/>
      <c r="F291" s="217"/>
      <c r="G291" s="216"/>
      <c r="H291" s="216"/>
      <c r="I291" s="217"/>
      <c r="J291" s="217"/>
    </row>
    <row r="292" spans="1:10" x14ac:dyDescent="0.25">
      <c r="A292" s="214"/>
      <c r="C292" s="215"/>
      <c r="D292" s="216"/>
      <c r="E292" s="216"/>
      <c r="F292" s="217"/>
      <c r="G292" s="216"/>
      <c r="H292" s="216"/>
      <c r="I292" s="217"/>
      <c r="J292" s="217"/>
    </row>
    <row r="293" spans="1:10" x14ac:dyDescent="0.25">
      <c r="A293" s="214"/>
      <c r="C293" s="215"/>
      <c r="D293" s="216"/>
      <c r="E293" s="216"/>
      <c r="F293" s="217"/>
      <c r="G293" s="216"/>
      <c r="H293" s="216"/>
      <c r="I293" s="217"/>
      <c r="J293" s="217"/>
    </row>
    <row r="294" spans="1:10" x14ac:dyDescent="0.25">
      <c r="A294" s="214"/>
      <c r="C294" s="215"/>
      <c r="D294" s="216"/>
      <c r="E294" s="216"/>
      <c r="F294" s="217"/>
      <c r="G294" s="216"/>
      <c r="H294" s="216"/>
      <c r="I294" s="217"/>
      <c r="J294" s="217"/>
    </row>
    <row r="295" spans="1:10" x14ac:dyDescent="0.25">
      <c r="A295" s="214"/>
      <c r="C295" s="215"/>
      <c r="D295" s="216"/>
      <c r="E295" s="216"/>
      <c r="F295" s="217"/>
      <c r="G295" s="216"/>
      <c r="H295" s="216"/>
      <c r="I295" s="217"/>
      <c r="J295" s="217"/>
    </row>
    <row r="296" spans="1:10" x14ac:dyDescent="0.25">
      <c r="A296" s="214"/>
      <c r="C296" s="215"/>
      <c r="D296" s="216"/>
      <c r="E296" s="216"/>
      <c r="F296" s="217"/>
      <c r="G296" s="216"/>
      <c r="H296" s="216"/>
      <c r="I296" s="217"/>
      <c r="J296" s="217"/>
    </row>
    <row r="297" spans="1:10" x14ac:dyDescent="0.25">
      <c r="A297" s="214"/>
      <c r="C297" s="215"/>
      <c r="D297" s="216"/>
      <c r="E297" s="216"/>
      <c r="F297" s="217"/>
      <c r="G297" s="216"/>
      <c r="H297" s="216"/>
      <c r="I297" s="217"/>
      <c r="J297" s="217"/>
    </row>
    <row r="298" spans="1:10" x14ac:dyDescent="0.25">
      <c r="A298" s="214"/>
      <c r="C298" s="215"/>
      <c r="D298" s="216"/>
      <c r="E298" s="216"/>
      <c r="F298" s="217"/>
      <c r="G298" s="216"/>
      <c r="H298" s="216"/>
      <c r="I298" s="217"/>
      <c r="J298" s="217"/>
    </row>
    <row r="299" spans="1:10" x14ac:dyDescent="0.25">
      <c r="A299" s="214"/>
      <c r="C299" s="215"/>
      <c r="D299" s="216"/>
      <c r="E299" s="216"/>
      <c r="F299" s="217"/>
      <c r="G299" s="216"/>
      <c r="H299" s="216"/>
      <c r="I299" s="217"/>
      <c r="J299" s="217"/>
    </row>
    <row r="300" spans="1:10" x14ac:dyDescent="0.25">
      <c r="A300" s="214"/>
      <c r="C300" s="215"/>
      <c r="D300" s="216"/>
      <c r="E300" s="216"/>
      <c r="F300" s="217"/>
      <c r="G300" s="216"/>
      <c r="H300" s="216"/>
      <c r="I300" s="217"/>
      <c r="J300" s="217"/>
    </row>
    <row r="301" spans="1:10" x14ac:dyDescent="0.25">
      <c r="A301" s="214"/>
      <c r="C301" s="215"/>
      <c r="D301" s="216"/>
      <c r="E301" s="216"/>
      <c r="F301" s="217"/>
      <c r="G301" s="216"/>
      <c r="H301" s="216"/>
      <c r="I301" s="217"/>
      <c r="J301" s="217"/>
    </row>
    <row r="302" spans="1:10" x14ac:dyDescent="0.25">
      <c r="A302" s="214"/>
      <c r="C302" s="215"/>
      <c r="D302" s="216"/>
      <c r="E302" s="216"/>
      <c r="F302" s="217"/>
      <c r="G302" s="216"/>
      <c r="H302" s="216"/>
      <c r="I302" s="217"/>
      <c r="J302" s="217"/>
    </row>
    <row r="303" spans="1:10" x14ac:dyDescent="0.25">
      <c r="A303" s="214"/>
      <c r="C303" s="215"/>
      <c r="D303" s="216"/>
      <c r="E303" s="216"/>
      <c r="F303" s="217"/>
      <c r="G303" s="216"/>
      <c r="H303" s="216"/>
      <c r="I303" s="217"/>
      <c r="J303" s="217"/>
    </row>
    <row r="304" spans="1:10" x14ac:dyDescent="0.25">
      <c r="A304" s="214"/>
      <c r="C304" s="215"/>
      <c r="D304" s="216"/>
      <c r="E304" s="216"/>
      <c r="F304" s="217"/>
      <c r="G304" s="216"/>
      <c r="H304" s="216"/>
      <c r="I304" s="217"/>
      <c r="J304" s="217"/>
    </row>
    <row r="305" spans="1:10" x14ac:dyDescent="0.25">
      <c r="A305" s="214"/>
      <c r="C305" s="215"/>
      <c r="D305" s="216"/>
      <c r="E305" s="216"/>
      <c r="F305" s="217"/>
      <c r="G305" s="216"/>
      <c r="H305" s="216"/>
      <c r="I305" s="217"/>
      <c r="J305" s="217"/>
    </row>
    <row r="306" spans="1:10" x14ac:dyDescent="0.25">
      <c r="A306" s="214"/>
      <c r="C306" s="215"/>
      <c r="D306" s="216"/>
      <c r="E306" s="216"/>
      <c r="F306" s="217"/>
      <c r="G306" s="216"/>
      <c r="H306" s="216"/>
      <c r="I306" s="217"/>
      <c r="J306" s="217"/>
    </row>
    <row r="307" spans="1:10" x14ac:dyDescent="0.25">
      <c r="A307" s="214"/>
      <c r="C307" s="215"/>
      <c r="D307" s="216"/>
      <c r="E307" s="216"/>
      <c r="F307" s="217"/>
      <c r="G307" s="216"/>
      <c r="H307" s="216"/>
      <c r="I307" s="217"/>
      <c r="J307" s="217"/>
    </row>
    <row r="308" spans="1:10" x14ac:dyDescent="0.25">
      <c r="A308" s="214"/>
      <c r="C308" s="215"/>
      <c r="D308" s="216"/>
      <c r="E308" s="216"/>
      <c r="F308" s="217"/>
      <c r="G308" s="216"/>
      <c r="H308" s="216"/>
      <c r="I308" s="217"/>
      <c r="J308" s="217"/>
    </row>
    <row r="309" spans="1:10" x14ac:dyDescent="0.25">
      <c r="A309" s="214"/>
      <c r="C309" s="215"/>
      <c r="D309" s="216"/>
      <c r="E309" s="216"/>
      <c r="F309" s="217"/>
      <c r="G309" s="216"/>
      <c r="H309" s="216"/>
      <c r="I309" s="217"/>
      <c r="J309" s="217"/>
    </row>
    <row r="310" spans="1:10" x14ac:dyDescent="0.25">
      <c r="A310" s="214"/>
      <c r="C310" s="215"/>
      <c r="D310" s="216"/>
      <c r="E310" s="216"/>
      <c r="F310" s="217"/>
      <c r="G310" s="216"/>
      <c r="H310" s="216"/>
      <c r="I310" s="217"/>
      <c r="J310" s="217"/>
    </row>
    <row r="311" spans="1:10" x14ac:dyDescent="0.25">
      <c r="A311" s="214"/>
      <c r="C311" s="215"/>
      <c r="D311" s="216"/>
      <c r="E311" s="216"/>
      <c r="F311" s="217"/>
      <c r="G311" s="216"/>
      <c r="H311" s="216"/>
      <c r="I311" s="217"/>
      <c r="J311" s="217"/>
    </row>
    <row r="312" spans="1:10" x14ac:dyDescent="0.25">
      <c r="A312" s="214"/>
      <c r="C312" s="215"/>
      <c r="D312" s="216"/>
      <c r="E312" s="216"/>
      <c r="F312" s="217"/>
      <c r="G312" s="216"/>
      <c r="H312" s="216"/>
      <c r="I312" s="217"/>
      <c r="J312" s="217"/>
    </row>
    <row r="313" spans="1:10" x14ac:dyDescent="0.25">
      <c r="A313" s="214"/>
      <c r="C313" s="215"/>
      <c r="D313" s="216"/>
      <c r="E313" s="216"/>
      <c r="F313" s="217"/>
      <c r="G313" s="216"/>
      <c r="H313" s="216"/>
      <c r="I313" s="217"/>
      <c r="J313" s="217"/>
    </row>
    <row r="314" spans="1:10" x14ac:dyDescent="0.25">
      <c r="A314" s="214"/>
      <c r="C314" s="215"/>
      <c r="D314" s="216"/>
      <c r="E314" s="216"/>
      <c r="F314" s="217"/>
      <c r="G314" s="216"/>
      <c r="H314" s="216"/>
      <c r="I314" s="217"/>
      <c r="J314" s="217"/>
    </row>
    <row r="315" spans="1:10" x14ac:dyDescent="0.25">
      <c r="A315" s="214"/>
      <c r="C315" s="215"/>
      <c r="D315" s="216"/>
      <c r="E315" s="216"/>
      <c r="F315" s="217"/>
      <c r="G315" s="216"/>
      <c r="H315" s="216"/>
      <c r="I315" s="217"/>
      <c r="J315" s="217"/>
    </row>
    <row r="316" spans="1:10" x14ac:dyDescent="0.25">
      <c r="A316" s="214"/>
      <c r="C316" s="215"/>
      <c r="D316" s="216"/>
      <c r="E316" s="216"/>
      <c r="F316" s="217"/>
      <c r="G316" s="216"/>
      <c r="H316" s="216"/>
      <c r="I316" s="217"/>
      <c r="J316" s="217"/>
    </row>
    <row r="317" spans="1:10" x14ac:dyDescent="0.25">
      <c r="A317" s="214"/>
      <c r="C317" s="215"/>
      <c r="D317" s="216"/>
      <c r="E317" s="216"/>
      <c r="F317" s="217"/>
      <c r="G317" s="216"/>
      <c r="H317" s="216"/>
      <c r="I317" s="217"/>
      <c r="J317" s="217"/>
    </row>
    <row r="318" spans="1:10" x14ac:dyDescent="0.25">
      <c r="A318" s="214"/>
      <c r="C318" s="215"/>
      <c r="D318" s="216"/>
      <c r="E318" s="216"/>
      <c r="F318" s="217"/>
      <c r="G318" s="216"/>
      <c r="H318" s="216"/>
      <c r="I318" s="217"/>
      <c r="J318" s="217"/>
    </row>
    <row r="319" spans="1:10" x14ac:dyDescent="0.25">
      <c r="A319" s="214"/>
      <c r="C319" s="215"/>
      <c r="D319" s="216"/>
      <c r="E319" s="216"/>
      <c r="F319" s="217"/>
      <c r="G319" s="216"/>
      <c r="H319" s="216"/>
      <c r="I319" s="217"/>
      <c r="J319" s="217"/>
    </row>
    <row r="320" spans="1:10" x14ac:dyDescent="0.25">
      <c r="A320" s="214"/>
      <c r="C320" s="215"/>
      <c r="D320" s="216"/>
      <c r="E320" s="216"/>
      <c r="F320" s="217"/>
      <c r="G320" s="216"/>
      <c r="H320" s="216"/>
      <c r="I320" s="217"/>
      <c r="J320" s="217"/>
    </row>
    <row r="321" spans="1:10" x14ac:dyDescent="0.25">
      <c r="A321" s="214"/>
      <c r="C321" s="215"/>
      <c r="D321" s="216"/>
      <c r="E321" s="216"/>
      <c r="F321" s="217"/>
      <c r="G321" s="216"/>
      <c r="H321" s="216"/>
      <c r="I321" s="217"/>
      <c r="J321" s="217"/>
    </row>
    <row r="322" spans="1:10" x14ac:dyDescent="0.25">
      <c r="A322" s="214"/>
      <c r="C322" s="215"/>
      <c r="D322" s="216"/>
      <c r="E322" s="216"/>
      <c r="F322" s="217"/>
      <c r="G322" s="216"/>
      <c r="H322" s="216"/>
      <c r="I322" s="217"/>
      <c r="J322" s="217"/>
    </row>
    <row r="323" spans="1:10" x14ac:dyDescent="0.25">
      <c r="A323" s="214"/>
      <c r="C323" s="215"/>
      <c r="D323" s="216"/>
      <c r="E323" s="216"/>
      <c r="F323" s="217"/>
      <c r="G323" s="216"/>
      <c r="H323" s="216"/>
      <c r="I323" s="217"/>
      <c r="J323" s="217"/>
    </row>
    <row r="324" spans="1:10" x14ac:dyDescent="0.25">
      <c r="A324" s="214"/>
      <c r="C324" s="215"/>
      <c r="D324" s="216"/>
      <c r="E324" s="216"/>
      <c r="F324" s="217"/>
      <c r="G324" s="216"/>
      <c r="H324" s="216"/>
      <c r="I324" s="217"/>
      <c r="J324" s="217"/>
    </row>
    <row r="325" spans="1:10" x14ac:dyDescent="0.25">
      <c r="A325" s="214"/>
      <c r="C325" s="215"/>
      <c r="D325" s="216"/>
      <c r="E325" s="216"/>
      <c r="F325" s="217"/>
      <c r="G325" s="216"/>
      <c r="H325" s="216"/>
      <c r="I325" s="217"/>
      <c r="J325" s="217"/>
    </row>
    <row r="326" spans="1:10" x14ac:dyDescent="0.25">
      <c r="A326" s="214"/>
      <c r="C326" s="215"/>
      <c r="D326" s="216"/>
      <c r="E326" s="216"/>
      <c r="F326" s="217"/>
      <c r="G326" s="216"/>
      <c r="H326" s="216"/>
      <c r="I326" s="217"/>
      <c r="J326" s="217"/>
    </row>
    <row r="327" spans="1:10" x14ac:dyDescent="0.25">
      <c r="A327" s="214"/>
      <c r="C327" s="215"/>
      <c r="D327" s="216"/>
      <c r="E327" s="216"/>
      <c r="F327" s="217"/>
      <c r="G327" s="216"/>
      <c r="H327" s="216"/>
      <c r="I327" s="217"/>
      <c r="J327" s="217"/>
    </row>
    <row r="328" spans="1:10" x14ac:dyDescent="0.25">
      <c r="A328" s="214"/>
      <c r="C328" s="215"/>
      <c r="D328" s="216"/>
      <c r="E328" s="216"/>
      <c r="F328" s="217"/>
      <c r="G328" s="216"/>
      <c r="H328" s="216"/>
      <c r="I328" s="217"/>
      <c r="J328" s="217"/>
    </row>
    <row r="329" spans="1:10" x14ac:dyDescent="0.25">
      <c r="A329" s="214"/>
      <c r="C329" s="215"/>
      <c r="D329" s="216"/>
      <c r="E329" s="216"/>
      <c r="F329" s="217"/>
      <c r="G329" s="216"/>
      <c r="H329" s="216"/>
      <c r="I329" s="217"/>
      <c r="J329" s="217"/>
    </row>
    <row r="330" spans="1:10" x14ac:dyDescent="0.25">
      <c r="A330" s="214"/>
      <c r="C330" s="215"/>
      <c r="D330" s="216"/>
      <c r="E330" s="216"/>
      <c r="F330" s="217"/>
      <c r="G330" s="216"/>
      <c r="H330" s="216"/>
      <c r="I330" s="217"/>
      <c r="J330" s="217"/>
    </row>
    <row r="331" spans="1:10" x14ac:dyDescent="0.25">
      <c r="A331" s="214"/>
      <c r="C331" s="215"/>
      <c r="D331" s="216"/>
      <c r="E331" s="216"/>
      <c r="F331" s="217"/>
      <c r="G331" s="216"/>
      <c r="H331" s="216"/>
      <c r="I331" s="217"/>
      <c r="J331" s="217"/>
    </row>
    <row r="332" spans="1:10" x14ac:dyDescent="0.25">
      <c r="A332" s="214"/>
      <c r="C332" s="215"/>
      <c r="D332" s="216"/>
      <c r="E332" s="216"/>
      <c r="F332" s="217"/>
      <c r="G332" s="216"/>
      <c r="H332" s="216"/>
      <c r="I332" s="217"/>
      <c r="J332" s="217"/>
    </row>
    <row r="333" spans="1:10" x14ac:dyDescent="0.25">
      <c r="A333" s="214"/>
      <c r="C333" s="215"/>
      <c r="D333" s="216"/>
      <c r="E333" s="216"/>
      <c r="F333" s="217"/>
      <c r="G333" s="216"/>
      <c r="H333" s="216"/>
      <c r="I333" s="217"/>
      <c r="J333" s="217"/>
    </row>
    <row r="334" spans="1:10" x14ac:dyDescent="0.25">
      <c r="A334" s="214"/>
      <c r="C334" s="215"/>
      <c r="D334" s="216"/>
      <c r="E334" s="216"/>
      <c r="F334" s="217"/>
      <c r="G334" s="216"/>
      <c r="H334" s="216"/>
      <c r="I334" s="217"/>
      <c r="J334" s="217"/>
    </row>
    <row r="335" spans="1:10" x14ac:dyDescent="0.25">
      <c r="A335" s="214"/>
      <c r="C335" s="215"/>
      <c r="D335" s="216"/>
      <c r="E335" s="216"/>
      <c r="F335" s="217"/>
      <c r="G335" s="216"/>
      <c r="H335" s="216"/>
      <c r="I335" s="217"/>
      <c r="J335" s="217"/>
    </row>
    <row r="336" spans="1:10" x14ac:dyDescent="0.25">
      <c r="A336" s="214"/>
      <c r="C336" s="215"/>
      <c r="D336" s="216"/>
      <c r="E336" s="216"/>
      <c r="F336" s="217"/>
      <c r="G336" s="216"/>
      <c r="H336" s="216"/>
      <c r="I336" s="217"/>
      <c r="J336" s="217"/>
    </row>
    <row r="337" spans="1:10" x14ac:dyDescent="0.25">
      <c r="A337" s="214"/>
      <c r="C337" s="215"/>
      <c r="D337" s="216"/>
      <c r="E337" s="216"/>
      <c r="F337" s="217"/>
      <c r="G337" s="216"/>
      <c r="H337" s="216"/>
      <c r="I337" s="217"/>
      <c r="J337" s="217"/>
    </row>
    <row r="338" spans="1:10" x14ac:dyDescent="0.25">
      <c r="A338" s="214"/>
      <c r="C338" s="215"/>
      <c r="D338" s="216"/>
      <c r="E338" s="216"/>
      <c r="F338" s="217"/>
      <c r="G338" s="216"/>
      <c r="H338" s="216"/>
      <c r="I338" s="217"/>
      <c r="J338" s="217"/>
    </row>
    <row r="339" spans="1:10" x14ac:dyDescent="0.25">
      <c r="A339" s="214"/>
      <c r="C339" s="215"/>
      <c r="D339" s="216"/>
      <c r="E339" s="216"/>
      <c r="F339" s="217"/>
      <c r="G339" s="216"/>
      <c r="H339" s="216"/>
      <c r="I339" s="217"/>
      <c r="J339" s="217"/>
    </row>
    <row r="340" spans="1:10" x14ac:dyDescent="0.25">
      <c r="A340" s="214"/>
      <c r="C340" s="215"/>
      <c r="D340" s="216"/>
      <c r="E340" s="216"/>
      <c r="F340" s="217"/>
      <c r="G340" s="216"/>
      <c r="H340" s="216"/>
      <c r="I340" s="217"/>
      <c r="J340" s="217"/>
    </row>
    <row r="341" spans="1:10" x14ac:dyDescent="0.25">
      <c r="A341" s="214"/>
      <c r="C341" s="215"/>
      <c r="D341" s="216"/>
      <c r="E341" s="216"/>
      <c r="F341" s="217"/>
      <c r="G341" s="216"/>
      <c r="H341" s="216"/>
      <c r="I341" s="217"/>
      <c r="J341" s="217"/>
    </row>
    <row r="342" spans="1:10" x14ac:dyDescent="0.25">
      <c r="A342" s="214"/>
      <c r="C342" s="215"/>
      <c r="D342" s="216"/>
      <c r="E342" s="216"/>
      <c r="F342" s="217"/>
      <c r="G342" s="216"/>
      <c r="H342" s="216"/>
      <c r="I342" s="217"/>
      <c r="J342" s="217"/>
    </row>
    <row r="343" spans="1:10" x14ac:dyDescent="0.25">
      <c r="A343" s="214"/>
      <c r="C343" s="215"/>
      <c r="D343" s="216"/>
      <c r="E343" s="216"/>
      <c r="F343" s="217"/>
      <c r="G343" s="216"/>
      <c r="H343" s="216"/>
      <c r="I343" s="217"/>
      <c r="J343" s="217"/>
    </row>
    <row r="344" spans="1:10" x14ac:dyDescent="0.25">
      <c r="A344" s="214"/>
      <c r="C344" s="215"/>
      <c r="D344" s="216"/>
      <c r="E344" s="216"/>
      <c r="F344" s="217"/>
      <c r="G344" s="216"/>
      <c r="H344" s="216"/>
      <c r="I344" s="217"/>
      <c r="J344" s="217"/>
    </row>
    <row r="345" spans="1:10" x14ac:dyDescent="0.25">
      <c r="A345" s="214"/>
      <c r="C345" s="215"/>
      <c r="D345" s="216"/>
      <c r="E345" s="216"/>
      <c r="F345" s="217"/>
      <c r="G345" s="216"/>
      <c r="H345" s="216"/>
      <c r="I345" s="217"/>
      <c r="J345" s="217"/>
    </row>
    <row r="346" spans="1:10" x14ac:dyDescent="0.25">
      <c r="A346" s="214"/>
      <c r="C346" s="215"/>
      <c r="D346" s="216"/>
      <c r="E346" s="216"/>
      <c r="F346" s="217"/>
      <c r="G346" s="216"/>
      <c r="H346" s="216"/>
      <c r="I346" s="217"/>
      <c r="J346" s="217"/>
    </row>
    <row r="347" spans="1:10" x14ac:dyDescent="0.25">
      <c r="A347" s="214"/>
      <c r="C347" s="215"/>
      <c r="D347" s="216"/>
      <c r="E347" s="216"/>
      <c r="F347" s="217"/>
      <c r="G347" s="216"/>
      <c r="H347" s="216"/>
      <c r="I347" s="217"/>
      <c r="J347" s="217"/>
    </row>
    <row r="348" spans="1:10" x14ac:dyDescent="0.25">
      <c r="A348" s="214"/>
      <c r="C348" s="215"/>
      <c r="D348" s="216"/>
      <c r="E348" s="216"/>
      <c r="F348" s="217"/>
      <c r="G348" s="216"/>
      <c r="H348" s="216"/>
      <c r="I348" s="217"/>
      <c r="J348" s="217"/>
    </row>
    <row r="349" spans="1:10" x14ac:dyDescent="0.25">
      <c r="A349" s="214"/>
      <c r="C349" s="215"/>
      <c r="D349" s="216"/>
      <c r="E349" s="216"/>
      <c r="F349" s="217"/>
      <c r="G349" s="216"/>
      <c r="H349" s="216"/>
      <c r="I349" s="217"/>
      <c r="J349" s="217"/>
    </row>
    <row r="350" spans="1:10" x14ac:dyDescent="0.25">
      <c r="A350" s="214"/>
      <c r="C350" s="215"/>
      <c r="D350" s="216"/>
      <c r="E350" s="216"/>
      <c r="F350" s="217"/>
      <c r="G350" s="216"/>
      <c r="H350" s="216"/>
      <c r="I350" s="217"/>
      <c r="J350" s="217"/>
    </row>
    <row r="351" spans="1:10" x14ac:dyDescent="0.25">
      <c r="A351" s="214"/>
      <c r="C351" s="215"/>
      <c r="D351" s="216"/>
      <c r="E351" s="216"/>
      <c r="F351" s="217"/>
      <c r="G351" s="216"/>
      <c r="H351" s="216"/>
      <c r="I351" s="217"/>
      <c r="J351" s="217"/>
    </row>
    <row r="352" spans="1:10" x14ac:dyDescent="0.25">
      <c r="A352" s="214"/>
      <c r="C352" s="215"/>
      <c r="D352" s="216"/>
      <c r="E352" s="216"/>
      <c r="F352" s="217"/>
      <c r="G352" s="216"/>
      <c r="H352" s="216"/>
      <c r="I352" s="217"/>
      <c r="J352" s="217"/>
    </row>
    <row r="353" spans="1:10" x14ac:dyDescent="0.25">
      <c r="A353" s="214"/>
      <c r="C353" s="215"/>
      <c r="D353" s="216"/>
      <c r="E353" s="216"/>
      <c r="F353" s="217"/>
      <c r="G353" s="216"/>
      <c r="H353" s="216"/>
      <c r="I353" s="217"/>
      <c r="J353" s="217"/>
    </row>
    <row r="354" spans="1:10" x14ac:dyDescent="0.25">
      <c r="A354" s="214"/>
      <c r="C354" s="215"/>
      <c r="D354" s="216"/>
      <c r="E354" s="216"/>
      <c r="F354" s="217"/>
      <c r="G354" s="216"/>
      <c r="H354" s="216"/>
      <c r="I354" s="217"/>
      <c r="J354" s="217"/>
    </row>
    <row r="355" spans="1:10" x14ac:dyDescent="0.25">
      <c r="A355" s="214"/>
      <c r="C355" s="215"/>
      <c r="D355" s="216"/>
      <c r="E355" s="216"/>
      <c r="F355" s="217"/>
      <c r="G355" s="216"/>
      <c r="H355" s="216"/>
      <c r="I355" s="217"/>
      <c r="J355" s="217"/>
    </row>
    <row r="356" spans="1:10" x14ac:dyDescent="0.25">
      <c r="A356" s="214"/>
      <c r="C356" s="215"/>
      <c r="D356" s="216"/>
      <c r="E356" s="216"/>
      <c r="F356" s="217"/>
      <c r="G356" s="216"/>
      <c r="H356" s="216"/>
      <c r="I356" s="217"/>
      <c r="J356" s="217"/>
    </row>
    <row r="357" spans="1:10" x14ac:dyDescent="0.25">
      <c r="A357" s="214"/>
      <c r="C357" s="215"/>
      <c r="D357" s="216"/>
      <c r="E357" s="216"/>
      <c r="F357" s="217"/>
      <c r="G357" s="216"/>
      <c r="H357" s="216"/>
      <c r="I357" s="217"/>
      <c r="J357" s="217"/>
    </row>
    <row r="358" spans="1:10" x14ac:dyDescent="0.25">
      <c r="A358" s="214"/>
      <c r="C358" s="215"/>
      <c r="D358" s="216"/>
      <c r="E358" s="216"/>
      <c r="F358" s="217"/>
      <c r="G358" s="216"/>
      <c r="H358" s="216"/>
      <c r="I358" s="217"/>
      <c r="J358" s="217"/>
    </row>
    <row r="359" spans="1:10" x14ac:dyDescent="0.25">
      <c r="A359" s="214"/>
      <c r="C359" s="215"/>
      <c r="D359" s="216"/>
      <c r="E359" s="216"/>
      <c r="F359" s="217"/>
      <c r="G359" s="216"/>
      <c r="H359" s="216"/>
      <c r="I359" s="217"/>
      <c r="J359" s="217"/>
    </row>
    <row r="360" spans="1:10" x14ac:dyDescent="0.25">
      <c r="A360" s="214"/>
      <c r="C360" s="215"/>
      <c r="D360" s="216"/>
      <c r="E360" s="216"/>
      <c r="F360" s="217"/>
      <c r="G360" s="216"/>
      <c r="H360" s="216"/>
      <c r="I360" s="217"/>
      <c r="J360" s="217"/>
    </row>
    <row r="361" spans="1:10" x14ac:dyDescent="0.25">
      <c r="A361" s="214"/>
      <c r="C361" s="215"/>
      <c r="D361" s="216"/>
      <c r="E361" s="216"/>
      <c r="F361" s="217"/>
      <c r="G361" s="216"/>
      <c r="H361" s="216"/>
      <c r="I361" s="217"/>
      <c r="J361" s="217"/>
    </row>
    <row r="362" spans="1:10" x14ac:dyDescent="0.25">
      <c r="A362" s="214"/>
      <c r="C362" s="215"/>
      <c r="D362" s="216"/>
      <c r="E362" s="216"/>
      <c r="F362" s="217"/>
      <c r="G362" s="216"/>
      <c r="H362" s="216"/>
      <c r="I362" s="217"/>
      <c r="J362" s="217"/>
    </row>
    <row r="363" spans="1:10" x14ac:dyDescent="0.25">
      <c r="A363" s="214"/>
      <c r="C363" s="215"/>
      <c r="D363" s="216"/>
      <c r="E363" s="216"/>
      <c r="F363" s="217"/>
      <c r="G363" s="216"/>
      <c r="H363" s="216"/>
      <c r="I363" s="217"/>
      <c r="J363" s="217"/>
    </row>
    <row r="364" spans="1:10" x14ac:dyDescent="0.25">
      <c r="A364" s="214"/>
      <c r="C364" s="215"/>
      <c r="D364" s="216"/>
      <c r="E364" s="216"/>
      <c r="F364" s="217"/>
      <c r="G364" s="216"/>
      <c r="H364" s="216"/>
      <c r="I364" s="217"/>
      <c r="J364" s="217"/>
    </row>
    <row r="365" spans="1:10" x14ac:dyDescent="0.25">
      <c r="A365" s="214"/>
      <c r="C365" s="215"/>
      <c r="D365" s="216"/>
      <c r="E365" s="216"/>
      <c r="F365" s="217"/>
      <c r="G365" s="216"/>
      <c r="H365" s="216"/>
      <c r="I365" s="217"/>
      <c r="J365" s="217"/>
    </row>
    <row r="366" spans="1:10" x14ac:dyDescent="0.25">
      <c r="A366" s="214"/>
      <c r="C366" s="215"/>
      <c r="D366" s="216"/>
      <c r="E366" s="216"/>
      <c r="F366" s="217"/>
      <c r="G366" s="216"/>
      <c r="H366" s="216"/>
      <c r="I366" s="217"/>
      <c r="J366" s="217"/>
    </row>
    <row r="367" spans="1:10" x14ac:dyDescent="0.25">
      <c r="A367" s="214"/>
      <c r="C367" s="215"/>
      <c r="D367" s="216"/>
      <c r="E367" s="216"/>
      <c r="F367" s="217"/>
      <c r="G367" s="216"/>
      <c r="H367" s="216"/>
      <c r="I367" s="217"/>
      <c r="J367" s="217"/>
    </row>
    <row r="368" spans="1:10" x14ac:dyDescent="0.25">
      <c r="A368" s="214"/>
      <c r="C368" s="215"/>
      <c r="D368" s="216"/>
      <c r="E368" s="216"/>
      <c r="F368" s="217"/>
      <c r="G368" s="216"/>
      <c r="H368" s="216"/>
      <c r="I368" s="217"/>
      <c r="J368" s="217"/>
    </row>
    <row r="369" spans="1:11" x14ac:dyDescent="0.25">
      <c r="A369" s="214"/>
      <c r="C369" s="215"/>
      <c r="D369" s="216"/>
      <c r="E369" s="216"/>
      <c r="F369" s="217"/>
      <c r="G369" s="216"/>
      <c r="H369" s="216"/>
      <c r="I369" s="217"/>
      <c r="J369" s="217"/>
    </row>
    <row r="370" spans="1:11" x14ac:dyDescent="0.25">
      <c r="A370" s="214"/>
      <c r="C370" s="215"/>
      <c r="D370" s="216"/>
      <c r="E370" s="216"/>
      <c r="F370" s="217"/>
      <c r="G370" s="216"/>
      <c r="H370" s="216"/>
      <c r="I370" s="217"/>
      <c r="J370" s="217"/>
    </row>
    <row r="371" spans="1:11" x14ac:dyDescent="0.25">
      <c r="A371" s="214"/>
      <c r="C371" s="215"/>
      <c r="D371" s="216"/>
      <c r="E371" s="216"/>
      <c r="F371" s="217"/>
      <c r="G371" s="216"/>
      <c r="H371" s="216"/>
      <c r="I371" s="217"/>
      <c r="J371" s="217"/>
    </row>
    <row r="372" spans="1:11" x14ac:dyDescent="0.25">
      <c r="A372" s="214"/>
      <c r="C372" s="215"/>
      <c r="D372" s="216"/>
      <c r="E372" s="216"/>
      <c r="F372" s="217"/>
      <c r="G372" s="216"/>
      <c r="H372" s="216"/>
      <c r="I372" s="217"/>
      <c r="J372" s="217"/>
    </row>
    <row r="373" spans="1:11" x14ac:dyDescent="0.25">
      <c r="A373" s="214"/>
      <c r="C373" s="215"/>
      <c r="D373" s="216"/>
      <c r="E373" s="216"/>
      <c r="F373" s="217"/>
      <c r="G373" s="216"/>
      <c r="H373" s="216"/>
      <c r="I373" s="217"/>
      <c r="J373" s="217"/>
    </row>
    <row r="374" spans="1:11" x14ac:dyDescent="0.25">
      <c r="A374" s="214"/>
      <c r="C374" s="215"/>
      <c r="D374" s="216"/>
      <c r="E374" s="216"/>
      <c r="F374" s="217"/>
      <c r="G374" s="216"/>
      <c r="H374" s="216"/>
      <c r="I374" s="217"/>
      <c r="J374" s="217"/>
    </row>
    <row r="375" spans="1:11" x14ac:dyDescent="0.25">
      <c r="A375" s="214"/>
      <c r="C375" s="215"/>
      <c r="D375" s="216"/>
      <c r="E375" s="216"/>
      <c r="F375" s="217"/>
      <c r="G375" s="216"/>
      <c r="H375" s="216"/>
      <c r="I375" s="217"/>
      <c r="J375" s="217"/>
    </row>
    <row r="376" spans="1:11" x14ac:dyDescent="0.25">
      <c r="A376" s="214"/>
      <c r="C376" s="215"/>
      <c r="D376" s="216"/>
      <c r="E376" s="216"/>
      <c r="F376" s="217"/>
      <c r="G376" s="216"/>
      <c r="H376" s="216"/>
      <c r="I376" s="217"/>
      <c r="J376" s="217"/>
      <c r="K376" s="191"/>
    </row>
    <row r="377" spans="1:11" x14ac:dyDescent="0.25">
      <c r="A377" s="214"/>
      <c r="C377" s="215"/>
      <c r="D377" s="216"/>
      <c r="E377" s="216"/>
      <c r="F377" s="217"/>
      <c r="G377" s="216"/>
      <c r="H377" s="216"/>
      <c r="I377" s="217"/>
      <c r="J377" s="217"/>
      <c r="K377" s="191"/>
    </row>
    <row r="378" spans="1:11" x14ac:dyDescent="0.25">
      <c r="A378" s="214"/>
      <c r="C378" s="215"/>
      <c r="D378" s="216"/>
      <c r="E378" s="216"/>
      <c r="F378" s="217"/>
      <c r="G378" s="216"/>
      <c r="H378" s="216"/>
      <c r="I378" s="217"/>
      <c r="J378" s="217"/>
      <c r="K378" s="191"/>
    </row>
    <row r="379" spans="1:11" x14ac:dyDescent="0.25">
      <c r="A379" s="214"/>
      <c r="C379" s="215"/>
      <c r="D379" s="216"/>
      <c r="E379" s="216"/>
      <c r="F379" s="217"/>
      <c r="G379" s="216"/>
      <c r="H379" s="216"/>
      <c r="I379" s="217"/>
      <c r="J379" s="217"/>
      <c r="K379" s="191"/>
    </row>
    <row r="380" spans="1:11" x14ac:dyDescent="0.25">
      <c r="A380" s="214"/>
      <c r="C380" s="215"/>
      <c r="D380" s="216"/>
      <c r="E380" s="216"/>
      <c r="F380" s="217"/>
      <c r="G380" s="216"/>
      <c r="H380" s="216"/>
      <c r="I380" s="217"/>
      <c r="J380" s="217"/>
      <c r="K380" s="191"/>
    </row>
    <row r="381" spans="1:11" x14ac:dyDescent="0.25">
      <c r="A381" s="214"/>
      <c r="C381" s="215"/>
      <c r="D381" s="216"/>
      <c r="E381" s="216"/>
      <c r="F381" s="217"/>
      <c r="G381" s="216"/>
      <c r="H381" s="216"/>
      <c r="I381" s="217"/>
      <c r="J381" s="217"/>
      <c r="K381" s="191"/>
    </row>
    <row r="382" spans="1:11" x14ac:dyDescent="0.25">
      <c r="A382" s="214"/>
      <c r="C382" s="215"/>
      <c r="D382" s="216"/>
      <c r="E382" s="216"/>
      <c r="F382" s="217"/>
      <c r="G382" s="216"/>
      <c r="H382" s="216"/>
      <c r="I382" s="217"/>
      <c r="J382" s="217"/>
      <c r="K382" s="191"/>
    </row>
    <row r="383" spans="1:11" x14ac:dyDescent="0.25">
      <c r="A383" s="214"/>
      <c r="C383" s="215"/>
      <c r="D383" s="216"/>
      <c r="E383" s="216"/>
      <c r="F383" s="217"/>
      <c r="G383" s="216"/>
      <c r="H383" s="216"/>
      <c r="I383" s="217"/>
      <c r="J383" s="217"/>
      <c r="K383" s="191"/>
    </row>
    <row r="384" spans="1:11" x14ac:dyDescent="0.25">
      <c r="A384" s="214"/>
      <c r="C384" s="215"/>
      <c r="D384" s="216"/>
      <c r="E384" s="216"/>
      <c r="F384" s="217"/>
      <c r="G384" s="216"/>
      <c r="H384" s="216"/>
      <c r="I384" s="217"/>
      <c r="J384" s="217"/>
      <c r="K384" s="191"/>
    </row>
    <row r="385" spans="1:11" x14ac:dyDescent="0.25">
      <c r="A385" s="214"/>
      <c r="C385" s="215"/>
      <c r="D385" s="216"/>
      <c r="E385" s="216"/>
      <c r="F385" s="217"/>
      <c r="G385" s="216"/>
      <c r="H385" s="216"/>
      <c r="I385" s="217"/>
      <c r="J385" s="217"/>
      <c r="K385" s="191"/>
    </row>
    <row r="386" spans="1:11" x14ac:dyDescent="0.25">
      <c r="A386" s="214"/>
      <c r="C386" s="215"/>
      <c r="D386" s="216"/>
      <c r="E386" s="216"/>
      <c r="F386" s="217"/>
      <c r="G386" s="216"/>
      <c r="H386" s="216"/>
      <c r="I386" s="217"/>
      <c r="J386" s="217"/>
      <c r="K386" s="191"/>
    </row>
    <row r="387" spans="1:11" x14ac:dyDescent="0.25">
      <c r="A387" s="214"/>
      <c r="C387" s="215"/>
      <c r="D387" s="216"/>
      <c r="E387" s="216"/>
      <c r="F387" s="217"/>
      <c r="G387" s="216"/>
      <c r="H387" s="216"/>
      <c r="I387" s="217"/>
      <c r="J387" s="217"/>
      <c r="K387" s="191"/>
    </row>
    <row r="388" spans="1:11" x14ac:dyDescent="0.25">
      <c r="A388" s="214"/>
      <c r="C388" s="215"/>
      <c r="D388" s="216"/>
      <c r="E388" s="216"/>
      <c r="F388" s="217"/>
      <c r="G388" s="216"/>
      <c r="H388" s="216"/>
      <c r="I388" s="217"/>
      <c r="J388" s="217"/>
      <c r="K388" s="191"/>
    </row>
    <row r="389" spans="1:11" x14ac:dyDescent="0.25">
      <c r="A389" s="214"/>
      <c r="C389" s="215"/>
      <c r="D389" s="216"/>
      <c r="E389" s="216"/>
      <c r="F389" s="217"/>
      <c r="G389" s="216"/>
      <c r="H389" s="216"/>
      <c r="I389" s="217"/>
      <c r="J389" s="217"/>
      <c r="K389" s="191"/>
    </row>
    <row r="390" spans="1:11" x14ac:dyDescent="0.25">
      <c r="A390" s="214"/>
      <c r="C390" s="215"/>
      <c r="D390" s="216"/>
      <c r="E390" s="216"/>
      <c r="F390" s="217"/>
      <c r="G390" s="216"/>
      <c r="H390" s="216"/>
      <c r="I390" s="217"/>
      <c r="J390" s="217"/>
      <c r="K390" s="191"/>
    </row>
    <row r="391" spans="1:11" x14ac:dyDescent="0.25">
      <c r="A391" s="214"/>
      <c r="C391" s="215"/>
      <c r="D391" s="216"/>
      <c r="E391" s="216"/>
      <c r="F391" s="217"/>
      <c r="G391" s="216"/>
      <c r="H391" s="216"/>
      <c r="I391" s="217"/>
      <c r="J391" s="217"/>
      <c r="K391" s="191"/>
    </row>
    <row r="392" spans="1:11" x14ac:dyDescent="0.25">
      <c r="A392" s="214"/>
      <c r="C392" s="215"/>
      <c r="D392" s="216"/>
      <c r="E392" s="216"/>
      <c r="F392" s="217"/>
      <c r="G392" s="216"/>
      <c r="H392" s="216"/>
      <c r="I392" s="217"/>
      <c r="J392" s="217"/>
      <c r="K392" s="191"/>
    </row>
    <row r="393" spans="1:11" x14ac:dyDescent="0.25">
      <c r="A393" s="214"/>
      <c r="C393" s="215"/>
      <c r="D393" s="216"/>
      <c r="E393" s="216"/>
      <c r="F393" s="217"/>
      <c r="G393" s="216"/>
      <c r="H393" s="216"/>
      <c r="I393" s="217"/>
      <c r="J393" s="217"/>
      <c r="K393" s="191"/>
    </row>
    <row r="394" spans="1:11" x14ac:dyDescent="0.25">
      <c r="A394" s="214"/>
      <c r="C394" s="215"/>
      <c r="D394" s="216"/>
      <c r="E394" s="216"/>
      <c r="F394" s="217"/>
      <c r="G394" s="216"/>
      <c r="H394" s="216"/>
      <c r="I394" s="217"/>
      <c r="J394" s="217"/>
      <c r="K394" s="191"/>
    </row>
    <row r="395" spans="1:11" x14ac:dyDescent="0.25">
      <c r="A395" s="214"/>
      <c r="C395" s="215"/>
      <c r="D395" s="216"/>
      <c r="E395" s="216"/>
      <c r="F395" s="217"/>
      <c r="G395" s="216"/>
      <c r="H395" s="216"/>
      <c r="I395" s="217"/>
      <c r="J395" s="217"/>
      <c r="K395" s="191"/>
    </row>
    <row r="396" spans="1:11" x14ac:dyDescent="0.25">
      <c r="A396" s="214"/>
      <c r="C396" s="215"/>
      <c r="D396" s="216"/>
      <c r="E396" s="216"/>
      <c r="F396" s="217"/>
      <c r="G396" s="216"/>
      <c r="H396" s="216"/>
      <c r="I396" s="217"/>
      <c r="J396" s="217"/>
      <c r="K396" s="191"/>
    </row>
    <row r="397" spans="1:11" x14ac:dyDescent="0.25">
      <c r="A397" s="214"/>
      <c r="C397" s="215"/>
      <c r="D397" s="216"/>
      <c r="E397" s="216"/>
      <c r="F397" s="217"/>
      <c r="G397" s="216"/>
      <c r="H397" s="216"/>
      <c r="I397" s="217"/>
      <c r="J397" s="217"/>
      <c r="K397" s="191"/>
    </row>
    <row r="398" spans="1:11" x14ac:dyDescent="0.25">
      <c r="A398" s="214"/>
      <c r="C398" s="215"/>
      <c r="D398" s="216"/>
      <c r="E398" s="216"/>
      <c r="F398" s="217"/>
      <c r="G398" s="216"/>
      <c r="H398" s="216"/>
      <c r="I398" s="217"/>
      <c r="J398" s="217"/>
      <c r="K398" s="191"/>
    </row>
    <row r="399" spans="1:11" x14ac:dyDescent="0.25">
      <c r="A399" s="214"/>
      <c r="C399" s="215"/>
      <c r="D399" s="216"/>
      <c r="E399" s="216"/>
      <c r="F399" s="217"/>
      <c r="G399" s="216"/>
      <c r="H399" s="216"/>
      <c r="I399" s="217"/>
      <c r="J399" s="217"/>
      <c r="K399" s="191"/>
    </row>
    <row r="400" spans="1:11" x14ac:dyDescent="0.25">
      <c r="A400" s="214"/>
      <c r="C400" s="215"/>
      <c r="D400" s="216"/>
      <c r="E400" s="216"/>
      <c r="F400" s="217"/>
      <c r="G400" s="216"/>
      <c r="H400" s="216"/>
      <c r="I400" s="217"/>
      <c r="J400" s="217"/>
      <c r="K400" s="191"/>
    </row>
    <row r="401" spans="1:11" x14ac:dyDescent="0.25">
      <c r="A401" s="214"/>
      <c r="C401" s="215"/>
      <c r="D401" s="216"/>
      <c r="E401" s="216"/>
      <c r="F401" s="217"/>
      <c r="G401" s="216"/>
      <c r="H401" s="216"/>
      <c r="I401" s="217"/>
      <c r="J401" s="217"/>
      <c r="K401" s="191"/>
    </row>
    <row r="402" spans="1:11" x14ac:dyDescent="0.25">
      <c r="A402" s="214"/>
      <c r="C402" s="215"/>
      <c r="D402" s="216"/>
      <c r="E402" s="216"/>
      <c r="F402" s="217"/>
      <c r="G402" s="216"/>
      <c r="H402" s="216"/>
      <c r="I402" s="217"/>
      <c r="J402" s="217"/>
      <c r="K402" s="191"/>
    </row>
    <row r="403" spans="1:11" x14ac:dyDescent="0.25">
      <c r="A403" s="214"/>
      <c r="C403" s="215"/>
      <c r="D403" s="216"/>
      <c r="E403" s="216"/>
      <c r="F403" s="217"/>
      <c r="G403" s="216"/>
      <c r="H403" s="216"/>
      <c r="I403" s="217"/>
      <c r="J403" s="217"/>
      <c r="K403" s="191"/>
    </row>
    <row r="404" spans="1:11" x14ac:dyDescent="0.25">
      <c r="A404" s="214"/>
      <c r="C404" s="215"/>
      <c r="D404" s="216"/>
      <c r="E404" s="216"/>
      <c r="F404" s="217"/>
      <c r="G404" s="216"/>
      <c r="H404" s="216"/>
      <c r="I404" s="217"/>
      <c r="J404" s="217"/>
      <c r="K404" s="191"/>
    </row>
    <row r="405" spans="1:11" x14ac:dyDescent="0.25">
      <c r="A405" s="214"/>
      <c r="C405" s="215"/>
      <c r="D405" s="216"/>
      <c r="E405" s="216"/>
      <c r="F405" s="217"/>
      <c r="G405" s="216"/>
      <c r="H405" s="216"/>
      <c r="I405" s="217"/>
      <c r="J405" s="217"/>
      <c r="K405" s="191"/>
    </row>
    <row r="406" spans="1:11" x14ac:dyDescent="0.25">
      <c r="A406" s="214"/>
      <c r="C406" s="215"/>
      <c r="D406" s="216"/>
      <c r="E406" s="216"/>
      <c r="F406" s="217"/>
      <c r="G406" s="216"/>
      <c r="H406" s="216"/>
      <c r="I406" s="217"/>
      <c r="J406" s="217"/>
      <c r="K406" s="191"/>
    </row>
    <row r="407" spans="1:11" x14ac:dyDescent="0.25">
      <c r="A407" s="214"/>
      <c r="C407" s="215"/>
      <c r="D407" s="216"/>
      <c r="E407" s="216"/>
      <c r="F407" s="217"/>
      <c r="G407" s="216"/>
      <c r="H407" s="216"/>
      <c r="I407" s="217"/>
      <c r="J407" s="217"/>
      <c r="K407" s="191"/>
    </row>
    <row r="408" spans="1:11" x14ac:dyDescent="0.25">
      <c r="A408" s="214"/>
      <c r="C408" s="215"/>
      <c r="D408" s="216"/>
      <c r="E408" s="216"/>
      <c r="F408" s="217"/>
      <c r="G408" s="216"/>
      <c r="H408" s="216"/>
      <c r="I408" s="217"/>
      <c r="J408" s="217"/>
      <c r="K408" s="191"/>
    </row>
    <row r="409" spans="1:11" x14ac:dyDescent="0.25">
      <c r="A409" s="214"/>
      <c r="C409" s="215"/>
      <c r="D409" s="216"/>
      <c r="E409" s="216"/>
      <c r="F409" s="217"/>
      <c r="G409" s="216"/>
      <c r="H409" s="216"/>
      <c r="I409" s="217"/>
      <c r="J409" s="217"/>
      <c r="K409" s="191"/>
    </row>
    <row r="410" spans="1:11" x14ac:dyDescent="0.25">
      <c r="A410" s="214"/>
      <c r="C410" s="215"/>
      <c r="D410" s="216"/>
      <c r="E410" s="216"/>
      <c r="F410" s="217"/>
      <c r="G410" s="216"/>
      <c r="H410" s="216"/>
      <c r="I410" s="217"/>
      <c r="J410" s="217"/>
      <c r="K410" s="191"/>
    </row>
    <row r="411" spans="1:11" x14ac:dyDescent="0.25">
      <c r="A411" s="214"/>
      <c r="C411" s="215"/>
      <c r="D411" s="216"/>
      <c r="E411" s="216"/>
      <c r="F411" s="217"/>
      <c r="G411" s="216"/>
      <c r="H411" s="216"/>
      <c r="I411" s="217"/>
      <c r="J411" s="217"/>
      <c r="K411" s="191"/>
    </row>
    <row r="412" spans="1:11" x14ac:dyDescent="0.25">
      <c r="A412" s="214"/>
      <c r="C412" s="215"/>
      <c r="D412" s="216"/>
      <c r="E412" s="216"/>
      <c r="F412" s="217"/>
      <c r="G412" s="216"/>
      <c r="H412" s="216"/>
      <c r="I412" s="217"/>
      <c r="J412" s="217"/>
      <c r="K412" s="191"/>
    </row>
    <row r="413" spans="1:11" x14ac:dyDescent="0.25">
      <c r="A413" s="214"/>
      <c r="C413" s="215"/>
      <c r="D413" s="216"/>
      <c r="E413" s="216"/>
      <c r="F413" s="217"/>
      <c r="G413" s="216"/>
      <c r="H413" s="216"/>
      <c r="I413" s="217"/>
      <c r="J413" s="217"/>
      <c r="K413" s="191"/>
    </row>
    <row r="414" spans="1:11" x14ac:dyDescent="0.25">
      <c r="A414" s="214"/>
      <c r="C414" s="215"/>
      <c r="D414" s="216"/>
      <c r="E414" s="216"/>
      <c r="F414" s="217"/>
      <c r="G414" s="216"/>
      <c r="H414" s="216"/>
      <c r="I414" s="217"/>
      <c r="J414" s="217"/>
      <c r="K414" s="191"/>
    </row>
    <row r="415" spans="1:11" x14ac:dyDescent="0.25">
      <c r="A415" s="214"/>
      <c r="C415" s="215"/>
      <c r="D415" s="216"/>
      <c r="E415" s="216"/>
      <c r="F415" s="217"/>
      <c r="G415" s="216"/>
      <c r="H415" s="216"/>
      <c r="I415" s="217"/>
      <c r="J415" s="217"/>
      <c r="K415" s="191"/>
    </row>
    <row r="416" spans="1:11" x14ac:dyDescent="0.25">
      <c r="A416" s="214"/>
      <c r="C416" s="215"/>
      <c r="D416" s="216"/>
      <c r="E416" s="216"/>
      <c r="F416" s="217"/>
      <c r="G416" s="216"/>
      <c r="H416" s="216"/>
      <c r="I416" s="217"/>
      <c r="J416" s="217"/>
      <c r="K416" s="191"/>
    </row>
    <row r="417" spans="1:11" x14ac:dyDescent="0.25">
      <c r="A417" s="214"/>
      <c r="C417" s="215"/>
      <c r="D417" s="216"/>
      <c r="E417" s="216"/>
      <c r="F417" s="217"/>
      <c r="G417" s="216"/>
      <c r="H417" s="216"/>
      <c r="I417" s="217"/>
      <c r="J417" s="217"/>
      <c r="K417" s="191"/>
    </row>
    <row r="418" spans="1:11" x14ac:dyDescent="0.25">
      <c r="A418" s="214"/>
      <c r="C418" s="215"/>
      <c r="D418" s="216"/>
      <c r="E418" s="216"/>
      <c r="F418" s="217"/>
      <c r="G418" s="216"/>
      <c r="H418" s="216"/>
      <c r="I418" s="217"/>
      <c r="J418" s="217"/>
      <c r="K418" s="191"/>
    </row>
    <row r="419" spans="1:11" x14ac:dyDescent="0.25">
      <c r="A419" s="214"/>
      <c r="C419" s="215"/>
      <c r="D419" s="216"/>
      <c r="E419" s="216"/>
      <c r="F419" s="217"/>
      <c r="G419" s="216"/>
      <c r="H419" s="216"/>
      <c r="I419" s="217"/>
      <c r="J419" s="217"/>
      <c r="K419" s="191"/>
    </row>
    <row r="420" spans="1:11" x14ac:dyDescent="0.25">
      <c r="A420" s="214"/>
      <c r="C420" s="215"/>
      <c r="D420" s="216"/>
      <c r="E420" s="216"/>
      <c r="F420" s="217"/>
      <c r="G420" s="216"/>
      <c r="H420" s="216"/>
      <c r="I420" s="217"/>
      <c r="J420" s="217"/>
      <c r="K420" s="191"/>
    </row>
    <row r="421" spans="1:11" x14ac:dyDescent="0.25">
      <c r="A421" s="214"/>
      <c r="C421" s="215"/>
      <c r="D421" s="216"/>
      <c r="E421" s="216"/>
      <c r="F421" s="217"/>
      <c r="G421" s="216"/>
      <c r="H421" s="216"/>
      <c r="I421" s="217"/>
      <c r="J421" s="217"/>
      <c r="K421" s="191"/>
    </row>
    <row r="422" spans="1:11" x14ac:dyDescent="0.25">
      <c r="A422" s="214"/>
      <c r="C422" s="215"/>
      <c r="D422" s="216"/>
      <c r="E422" s="216"/>
      <c r="F422" s="217"/>
      <c r="G422" s="216"/>
      <c r="H422" s="216"/>
      <c r="I422" s="217"/>
      <c r="J422" s="217"/>
      <c r="K422" s="191"/>
    </row>
    <row r="423" spans="1:11" x14ac:dyDescent="0.25">
      <c r="A423" s="214"/>
      <c r="C423" s="215"/>
      <c r="D423" s="216"/>
      <c r="E423" s="216"/>
      <c r="F423" s="217"/>
      <c r="G423" s="216"/>
      <c r="H423" s="216"/>
      <c r="I423" s="217"/>
      <c r="J423" s="217"/>
      <c r="K423" s="191"/>
    </row>
    <row r="424" spans="1:11" x14ac:dyDescent="0.25">
      <c r="A424" s="214"/>
      <c r="C424" s="215"/>
      <c r="D424" s="216"/>
      <c r="E424" s="216"/>
      <c r="F424" s="217"/>
      <c r="G424" s="216"/>
      <c r="H424" s="216"/>
      <c r="I424" s="217"/>
      <c r="J424" s="217"/>
      <c r="K424" s="191"/>
    </row>
    <row r="425" spans="1:11" x14ac:dyDescent="0.25">
      <c r="A425" s="214"/>
      <c r="C425" s="215"/>
      <c r="D425" s="216"/>
      <c r="E425" s="216"/>
      <c r="F425" s="217"/>
      <c r="G425" s="216"/>
      <c r="H425" s="216"/>
      <c r="I425" s="217"/>
      <c r="J425" s="217"/>
      <c r="K425" s="191"/>
    </row>
    <row r="426" spans="1:11" x14ac:dyDescent="0.25">
      <c r="A426" s="214"/>
      <c r="C426" s="215"/>
      <c r="D426" s="216"/>
      <c r="E426" s="216"/>
      <c r="F426" s="217"/>
      <c r="G426" s="216"/>
      <c r="H426" s="216"/>
      <c r="I426" s="217"/>
      <c r="J426" s="217"/>
      <c r="K426" s="191"/>
    </row>
    <row r="427" spans="1:11" x14ac:dyDescent="0.25">
      <c r="A427" s="214"/>
      <c r="C427" s="215"/>
      <c r="D427" s="216"/>
      <c r="E427" s="216"/>
      <c r="F427" s="217"/>
      <c r="G427" s="216"/>
      <c r="H427" s="216"/>
      <c r="I427" s="217"/>
      <c r="J427" s="217"/>
      <c r="K427" s="191"/>
    </row>
    <row r="428" spans="1:11" x14ac:dyDescent="0.25">
      <c r="A428" s="214"/>
      <c r="C428" s="215"/>
      <c r="D428" s="216"/>
      <c r="E428" s="216"/>
      <c r="F428" s="217"/>
      <c r="G428" s="216"/>
      <c r="H428" s="216"/>
      <c r="I428" s="217"/>
      <c r="J428" s="217"/>
      <c r="K428" s="191"/>
    </row>
    <row r="429" spans="1:11" x14ac:dyDescent="0.25">
      <c r="A429" s="214"/>
      <c r="C429" s="215"/>
      <c r="D429" s="216"/>
      <c r="E429" s="216"/>
      <c r="F429" s="217"/>
      <c r="G429" s="216"/>
      <c r="H429" s="216"/>
      <c r="I429" s="217"/>
      <c r="J429" s="217"/>
      <c r="K429" s="191"/>
    </row>
    <row r="430" spans="1:11" x14ac:dyDescent="0.25">
      <c r="A430" s="214"/>
      <c r="C430" s="215"/>
      <c r="D430" s="216"/>
      <c r="E430" s="216"/>
      <c r="F430" s="217"/>
      <c r="G430" s="216"/>
      <c r="H430" s="216"/>
      <c r="I430" s="217"/>
      <c r="J430" s="217"/>
      <c r="K430" s="191"/>
    </row>
    <row r="431" spans="1:11" x14ac:dyDescent="0.25">
      <c r="A431" s="214"/>
      <c r="C431" s="215"/>
      <c r="D431" s="216"/>
      <c r="E431" s="216"/>
      <c r="F431" s="217"/>
      <c r="G431" s="216"/>
      <c r="H431" s="216"/>
      <c r="I431" s="217"/>
      <c r="J431" s="217"/>
      <c r="K431" s="191"/>
    </row>
    <row r="432" spans="1:11" x14ac:dyDescent="0.25">
      <c r="A432" s="214"/>
      <c r="C432" s="215"/>
      <c r="D432" s="216"/>
      <c r="E432" s="216"/>
      <c r="F432" s="217"/>
      <c r="G432" s="216"/>
      <c r="H432" s="216"/>
      <c r="I432" s="217"/>
      <c r="J432" s="217"/>
      <c r="K432" s="191"/>
    </row>
    <row r="433" spans="1:11" x14ac:dyDescent="0.25">
      <c r="A433" s="214"/>
      <c r="C433" s="215"/>
      <c r="D433" s="216"/>
      <c r="E433" s="216"/>
      <c r="F433" s="217"/>
      <c r="G433" s="216"/>
      <c r="H433" s="216"/>
      <c r="I433" s="217"/>
      <c r="J433" s="217"/>
      <c r="K433" s="191"/>
    </row>
    <row r="434" spans="1:11" x14ac:dyDescent="0.25">
      <c r="A434" s="214"/>
      <c r="C434" s="215"/>
      <c r="D434" s="216"/>
      <c r="E434" s="216"/>
      <c r="F434" s="217"/>
      <c r="G434" s="216"/>
      <c r="H434" s="216"/>
      <c r="I434" s="217"/>
      <c r="J434" s="217"/>
      <c r="K434" s="191"/>
    </row>
    <row r="435" spans="1:11" x14ac:dyDescent="0.25">
      <c r="A435" s="214"/>
      <c r="C435" s="215"/>
      <c r="D435" s="216"/>
      <c r="E435" s="216"/>
      <c r="F435" s="217"/>
      <c r="G435" s="216"/>
      <c r="H435" s="216"/>
      <c r="I435" s="217"/>
      <c r="J435" s="217"/>
      <c r="K435" s="191"/>
    </row>
    <row r="436" spans="1:11" x14ac:dyDescent="0.25">
      <c r="A436" s="214"/>
      <c r="C436" s="215"/>
      <c r="D436" s="216"/>
      <c r="E436" s="216"/>
      <c r="F436" s="217"/>
      <c r="G436" s="216"/>
      <c r="H436" s="216"/>
      <c r="I436" s="217"/>
      <c r="J436" s="217"/>
      <c r="K436" s="191"/>
    </row>
    <row r="437" spans="1:11" x14ac:dyDescent="0.25">
      <c r="A437" s="214"/>
      <c r="C437" s="215"/>
      <c r="D437" s="216"/>
      <c r="E437" s="216"/>
      <c r="F437" s="217"/>
      <c r="G437" s="216"/>
      <c r="H437" s="216"/>
      <c r="I437" s="217"/>
      <c r="J437" s="217"/>
      <c r="K437" s="191"/>
    </row>
    <row r="438" spans="1:11" x14ac:dyDescent="0.25">
      <c r="A438" s="214"/>
      <c r="C438" s="215"/>
      <c r="D438" s="216"/>
      <c r="E438" s="216"/>
      <c r="F438" s="217"/>
      <c r="G438" s="216"/>
      <c r="H438" s="216"/>
      <c r="I438" s="217"/>
      <c r="J438" s="217"/>
      <c r="K438" s="191"/>
    </row>
    <row r="439" spans="1:11" x14ac:dyDescent="0.25">
      <c r="A439" s="214"/>
      <c r="C439" s="215"/>
      <c r="D439" s="216"/>
      <c r="E439" s="216"/>
      <c r="F439" s="217"/>
      <c r="G439" s="216"/>
      <c r="H439" s="216"/>
      <c r="I439" s="217"/>
      <c r="J439" s="217"/>
      <c r="K439" s="191"/>
    </row>
    <row r="440" spans="1:11" x14ac:dyDescent="0.25">
      <c r="A440" s="214"/>
      <c r="C440" s="215"/>
      <c r="D440" s="216"/>
      <c r="E440" s="216"/>
      <c r="F440" s="217"/>
      <c r="G440" s="216"/>
      <c r="H440" s="216"/>
      <c r="I440" s="217"/>
      <c r="J440" s="217"/>
      <c r="K440" s="191"/>
    </row>
    <row r="441" spans="1:11" x14ac:dyDescent="0.25">
      <c r="A441" s="214"/>
      <c r="C441" s="215"/>
      <c r="D441" s="216"/>
      <c r="E441" s="216"/>
      <c r="F441" s="217"/>
      <c r="G441" s="216"/>
      <c r="H441" s="216"/>
      <c r="I441" s="217"/>
      <c r="J441" s="217"/>
      <c r="K441" s="191"/>
    </row>
    <row r="442" spans="1:11" x14ac:dyDescent="0.25">
      <c r="A442" s="214"/>
      <c r="C442" s="215"/>
      <c r="D442" s="216"/>
      <c r="E442" s="216"/>
      <c r="F442" s="217"/>
      <c r="G442" s="216"/>
      <c r="H442" s="216"/>
      <c r="I442" s="217"/>
      <c r="J442" s="217"/>
      <c r="K442" s="191"/>
    </row>
    <row r="443" spans="1:11" x14ac:dyDescent="0.25">
      <c r="A443" s="214"/>
      <c r="C443" s="215"/>
      <c r="D443" s="216"/>
      <c r="E443" s="216"/>
      <c r="F443" s="217"/>
      <c r="G443" s="216"/>
      <c r="H443" s="216"/>
      <c r="I443" s="217"/>
      <c r="J443" s="217"/>
      <c r="K443" s="191"/>
    </row>
    <row r="444" spans="1:11" x14ac:dyDescent="0.25">
      <c r="A444" s="214"/>
      <c r="C444" s="215"/>
      <c r="D444" s="216"/>
      <c r="E444" s="216"/>
      <c r="F444" s="217"/>
      <c r="G444" s="216"/>
      <c r="H444" s="216"/>
      <c r="I444" s="217"/>
      <c r="J444" s="217"/>
      <c r="K444" s="191"/>
    </row>
    <row r="445" spans="1:11" x14ac:dyDescent="0.25">
      <c r="A445" s="214"/>
      <c r="C445" s="215"/>
      <c r="D445" s="216"/>
      <c r="E445" s="216"/>
      <c r="F445" s="217"/>
      <c r="G445" s="216"/>
      <c r="H445" s="216"/>
      <c r="I445" s="217"/>
      <c r="J445" s="217"/>
      <c r="K445" s="191"/>
    </row>
    <row r="446" spans="1:11" x14ac:dyDescent="0.25">
      <c r="A446" s="214"/>
      <c r="C446" s="215"/>
      <c r="D446" s="216"/>
      <c r="E446" s="216"/>
      <c r="F446" s="217"/>
      <c r="G446" s="216"/>
      <c r="H446" s="216"/>
      <c r="I446" s="217"/>
      <c r="J446" s="217"/>
      <c r="K446" s="191"/>
    </row>
    <row r="447" spans="1:11" x14ac:dyDescent="0.25">
      <c r="A447" s="214"/>
      <c r="C447" s="215"/>
      <c r="D447" s="216"/>
      <c r="E447" s="216"/>
      <c r="F447" s="217"/>
      <c r="G447" s="216"/>
      <c r="H447" s="216"/>
      <c r="I447" s="217"/>
      <c r="J447" s="217"/>
      <c r="K447" s="191"/>
    </row>
    <row r="448" spans="1:11" x14ac:dyDescent="0.25">
      <c r="A448" s="214"/>
      <c r="C448" s="215"/>
      <c r="D448" s="216"/>
      <c r="E448" s="216"/>
      <c r="F448" s="217"/>
      <c r="G448" s="216"/>
      <c r="H448" s="216"/>
      <c r="I448" s="217"/>
      <c r="J448" s="217"/>
      <c r="K448" s="191"/>
    </row>
    <row r="449" spans="1:11" x14ac:dyDescent="0.25">
      <c r="A449" s="214"/>
      <c r="C449" s="215"/>
      <c r="D449" s="216"/>
      <c r="E449" s="216"/>
      <c r="F449" s="217"/>
      <c r="G449" s="216"/>
      <c r="H449" s="216"/>
      <c r="I449" s="217"/>
      <c r="J449" s="217"/>
      <c r="K449" s="191"/>
    </row>
    <row r="450" spans="1:11" x14ac:dyDescent="0.25">
      <c r="A450" s="214"/>
      <c r="C450" s="215"/>
      <c r="D450" s="216"/>
      <c r="E450" s="216"/>
      <c r="F450" s="217"/>
      <c r="G450" s="216"/>
      <c r="H450" s="216"/>
      <c r="I450" s="217"/>
      <c r="J450" s="217"/>
      <c r="K450" s="191"/>
    </row>
    <row r="451" spans="1:11" x14ac:dyDescent="0.25">
      <c r="A451" s="214"/>
      <c r="C451" s="215"/>
      <c r="D451" s="216"/>
      <c r="E451" s="216"/>
      <c r="F451" s="217"/>
      <c r="G451" s="216"/>
      <c r="H451" s="216"/>
      <c r="I451" s="217"/>
      <c r="J451" s="217"/>
      <c r="K451" s="191"/>
    </row>
    <row r="452" spans="1:11" x14ac:dyDescent="0.25">
      <c r="A452" s="214"/>
      <c r="C452" s="215"/>
      <c r="D452" s="216"/>
      <c r="E452" s="216"/>
      <c r="F452" s="217"/>
      <c r="G452" s="216"/>
      <c r="H452" s="216"/>
      <c r="I452" s="217"/>
      <c r="J452" s="217"/>
      <c r="K452" s="191"/>
    </row>
    <row r="453" spans="1:11" x14ac:dyDescent="0.25">
      <c r="A453" s="214"/>
      <c r="C453" s="215"/>
      <c r="D453" s="216"/>
      <c r="E453" s="216"/>
      <c r="F453" s="217"/>
      <c r="G453" s="216"/>
      <c r="H453" s="216"/>
      <c r="I453" s="217"/>
      <c r="J453" s="217"/>
      <c r="K453" s="191"/>
    </row>
    <row r="454" spans="1:11" x14ac:dyDescent="0.25">
      <c r="A454" s="214"/>
      <c r="C454" s="215"/>
      <c r="D454" s="216"/>
      <c r="E454" s="216"/>
      <c r="F454" s="217"/>
      <c r="G454" s="216"/>
      <c r="H454" s="216"/>
      <c r="I454" s="217"/>
      <c r="J454" s="217"/>
      <c r="K454" s="191"/>
    </row>
    <row r="455" spans="1:11" x14ac:dyDescent="0.25">
      <c r="A455" s="214"/>
      <c r="C455" s="215"/>
      <c r="D455" s="216"/>
      <c r="E455" s="216"/>
      <c r="F455" s="217"/>
      <c r="G455" s="216"/>
      <c r="H455" s="216"/>
      <c r="I455" s="217"/>
      <c r="J455" s="217"/>
      <c r="K455" s="191"/>
    </row>
    <row r="456" spans="1:11" x14ac:dyDescent="0.25">
      <c r="A456" s="214"/>
      <c r="C456" s="215"/>
      <c r="D456" s="216"/>
      <c r="E456" s="216"/>
      <c r="F456" s="217"/>
      <c r="G456" s="216"/>
      <c r="H456" s="216"/>
      <c r="I456" s="217"/>
      <c r="J456" s="217"/>
      <c r="K456" s="191"/>
    </row>
    <row r="457" spans="1:11" x14ac:dyDescent="0.25">
      <c r="A457" s="214"/>
      <c r="C457" s="215"/>
      <c r="D457" s="216"/>
      <c r="E457" s="216"/>
      <c r="F457" s="217"/>
      <c r="G457" s="216"/>
      <c r="H457" s="216"/>
      <c r="I457" s="217"/>
      <c r="J457" s="217"/>
      <c r="K457" s="191"/>
    </row>
    <row r="458" spans="1:11" x14ac:dyDescent="0.25">
      <c r="A458" s="214"/>
      <c r="C458" s="215"/>
      <c r="D458" s="216"/>
      <c r="E458" s="216"/>
      <c r="F458" s="217"/>
      <c r="G458" s="216"/>
      <c r="H458" s="216"/>
      <c r="I458" s="217"/>
      <c r="J458" s="217"/>
      <c r="K458" s="191"/>
    </row>
    <row r="459" spans="1:11" x14ac:dyDescent="0.25">
      <c r="A459" s="214"/>
      <c r="C459" s="215"/>
      <c r="D459" s="216"/>
      <c r="E459" s="216"/>
      <c r="F459" s="217"/>
      <c r="G459" s="216"/>
      <c r="H459" s="216"/>
      <c r="I459" s="217"/>
      <c r="J459" s="217"/>
      <c r="K459" s="191"/>
    </row>
    <row r="460" spans="1:11" x14ac:dyDescent="0.25">
      <c r="A460" s="214"/>
      <c r="C460" s="215"/>
      <c r="D460" s="216"/>
      <c r="E460" s="216"/>
      <c r="F460" s="217"/>
      <c r="G460" s="216"/>
      <c r="H460" s="216"/>
      <c r="I460" s="217"/>
      <c r="J460" s="217"/>
      <c r="K460" s="191"/>
    </row>
    <row r="461" spans="1:11" x14ac:dyDescent="0.25">
      <c r="A461" s="214"/>
      <c r="C461" s="215"/>
      <c r="D461" s="216"/>
      <c r="E461" s="216"/>
      <c r="F461" s="217"/>
      <c r="G461" s="216"/>
      <c r="H461" s="216"/>
      <c r="I461" s="217"/>
      <c r="J461" s="217"/>
      <c r="K461" s="191"/>
    </row>
    <row r="462" spans="1:11" x14ac:dyDescent="0.25">
      <c r="A462" s="214"/>
      <c r="C462" s="215"/>
      <c r="D462" s="216"/>
      <c r="E462" s="216"/>
      <c r="F462" s="217"/>
      <c r="G462" s="216"/>
      <c r="H462" s="216"/>
      <c r="I462" s="217"/>
      <c r="J462" s="217"/>
      <c r="K462" s="191"/>
    </row>
    <row r="463" spans="1:11" x14ac:dyDescent="0.25">
      <c r="A463" s="214"/>
      <c r="C463" s="215"/>
      <c r="D463" s="216"/>
      <c r="E463" s="216"/>
      <c r="F463" s="217"/>
      <c r="G463" s="216"/>
      <c r="H463" s="216"/>
      <c r="I463" s="217"/>
      <c r="J463" s="217"/>
      <c r="K463" s="191"/>
    </row>
    <row r="464" spans="1:11" x14ac:dyDescent="0.25">
      <c r="A464" s="214"/>
      <c r="C464" s="215"/>
      <c r="D464" s="216"/>
      <c r="E464" s="216"/>
      <c r="F464" s="217"/>
      <c r="G464" s="216"/>
      <c r="H464" s="216"/>
      <c r="I464" s="217"/>
      <c r="J464" s="217"/>
      <c r="K464" s="191"/>
    </row>
    <row r="465" spans="1:11" x14ac:dyDescent="0.25">
      <c r="A465" s="214"/>
      <c r="C465" s="215"/>
      <c r="D465" s="216"/>
      <c r="E465" s="216"/>
      <c r="F465" s="217"/>
      <c r="G465" s="216"/>
      <c r="H465" s="216"/>
      <c r="I465" s="217"/>
      <c r="J465" s="217"/>
      <c r="K465" s="191"/>
    </row>
    <row r="466" spans="1:11" x14ac:dyDescent="0.25">
      <c r="A466" s="214"/>
      <c r="C466" s="215"/>
      <c r="D466" s="216"/>
      <c r="E466" s="216"/>
      <c r="F466" s="217"/>
      <c r="G466" s="216"/>
      <c r="H466" s="216"/>
      <c r="I466" s="217"/>
      <c r="J466" s="217"/>
      <c r="K466" s="191"/>
    </row>
    <row r="467" spans="1:11" x14ac:dyDescent="0.25">
      <c r="A467" s="214"/>
      <c r="C467" s="215"/>
      <c r="D467" s="216"/>
      <c r="E467" s="216"/>
      <c r="F467" s="217"/>
      <c r="G467" s="216"/>
      <c r="H467" s="216"/>
      <c r="I467" s="217"/>
      <c r="J467" s="217"/>
      <c r="K467" s="191"/>
    </row>
    <row r="468" spans="1:11" x14ac:dyDescent="0.25">
      <c r="A468" s="214"/>
      <c r="C468" s="215"/>
      <c r="D468" s="216"/>
      <c r="E468" s="216"/>
      <c r="F468" s="217"/>
      <c r="G468" s="216"/>
      <c r="H468" s="216"/>
      <c r="I468" s="217"/>
      <c r="J468" s="217"/>
      <c r="K468" s="191"/>
    </row>
    <row r="469" spans="1:11" x14ac:dyDescent="0.25">
      <c r="A469" s="214"/>
      <c r="C469" s="215"/>
      <c r="D469" s="216"/>
      <c r="E469" s="216"/>
      <c r="F469" s="217"/>
      <c r="G469" s="216"/>
      <c r="H469" s="216"/>
      <c r="I469" s="217"/>
      <c r="J469" s="217"/>
      <c r="K469" s="191"/>
    </row>
    <row r="470" spans="1:11" x14ac:dyDescent="0.25">
      <c r="A470" s="214"/>
      <c r="C470" s="215"/>
      <c r="D470" s="216"/>
      <c r="E470" s="216"/>
      <c r="F470" s="217"/>
      <c r="G470" s="216"/>
      <c r="H470" s="216"/>
      <c r="I470" s="217"/>
      <c r="J470" s="217"/>
      <c r="K470" s="191"/>
    </row>
    <row r="471" spans="1:11" x14ac:dyDescent="0.25">
      <c r="A471" s="214"/>
      <c r="C471" s="215"/>
      <c r="D471" s="216"/>
      <c r="E471" s="216"/>
      <c r="F471" s="217"/>
      <c r="G471" s="216"/>
      <c r="H471" s="216"/>
      <c r="I471" s="217"/>
      <c r="J471" s="217"/>
      <c r="K471" s="191"/>
    </row>
    <row r="472" spans="1:11" x14ac:dyDescent="0.25">
      <c r="A472" s="214"/>
      <c r="C472" s="215"/>
      <c r="D472" s="216"/>
      <c r="E472" s="216"/>
      <c r="F472" s="217"/>
      <c r="G472" s="216"/>
      <c r="H472" s="216"/>
      <c r="I472" s="217"/>
      <c r="J472" s="217"/>
      <c r="K472" s="191"/>
    </row>
    <row r="473" spans="1:11" x14ac:dyDescent="0.25">
      <c r="A473" s="214"/>
      <c r="C473" s="215"/>
      <c r="D473" s="216"/>
      <c r="E473" s="216"/>
      <c r="F473" s="217"/>
      <c r="G473" s="216"/>
      <c r="H473" s="216"/>
      <c r="I473" s="217"/>
      <c r="J473" s="217"/>
      <c r="K473" s="191"/>
    </row>
    <row r="474" spans="1:11" x14ac:dyDescent="0.25">
      <c r="A474" s="214"/>
      <c r="C474" s="215"/>
      <c r="D474" s="216"/>
      <c r="E474" s="216"/>
      <c r="F474" s="217"/>
      <c r="G474" s="216"/>
      <c r="H474" s="216"/>
      <c r="I474" s="217"/>
      <c r="J474" s="217"/>
      <c r="K474" s="191"/>
    </row>
    <row r="475" spans="1:11" x14ac:dyDescent="0.25">
      <c r="A475" s="214"/>
      <c r="C475" s="215"/>
      <c r="D475" s="216"/>
      <c r="E475" s="216"/>
      <c r="F475" s="217"/>
      <c r="G475" s="216"/>
      <c r="H475" s="216"/>
      <c r="I475" s="217"/>
      <c r="J475" s="217"/>
      <c r="K475" s="191"/>
    </row>
    <row r="476" spans="1:11" x14ac:dyDescent="0.25">
      <c r="A476" s="214"/>
      <c r="C476" s="215"/>
      <c r="D476" s="216"/>
      <c r="E476" s="216"/>
      <c r="F476" s="217"/>
      <c r="G476" s="216"/>
      <c r="H476" s="216"/>
      <c r="I476" s="217"/>
      <c r="J476" s="217"/>
      <c r="K476" s="191"/>
    </row>
    <row r="477" spans="1:11" x14ac:dyDescent="0.25">
      <c r="A477" s="214"/>
      <c r="C477" s="215"/>
      <c r="D477" s="216"/>
      <c r="E477" s="216"/>
      <c r="F477" s="217"/>
      <c r="G477" s="216"/>
      <c r="H477" s="216"/>
      <c r="I477" s="217"/>
      <c r="J477" s="217"/>
      <c r="K477" s="191"/>
    </row>
    <row r="478" spans="1:11" x14ac:dyDescent="0.25">
      <c r="A478" s="214"/>
      <c r="C478" s="215"/>
      <c r="D478" s="216"/>
      <c r="E478" s="216"/>
      <c r="F478" s="217"/>
      <c r="G478" s="216"/>
      <c r="H478" s="216"/>
      <c r="I478" s="217"/>
      <c r="J478" s="217"/>
      <c r="K478" s="191"/>
    </row>
    <row r="479" spans="1:11" x14ac:dyDescent="0.25">
      <c r="A479" s="214"/>
      <c r="C479" s="215"/>
      <c r="D479" s="216"/>
      <c r="E479" s="216"/>
      <c r="F479" s="217"/>
      <c r="G479" s="216"/>
      <c r="H479" s="216"/>
      <c r="I479" s="217"/>
      <c r="J479" s="217"/>
      <c r="K479" s="191"/>
    </row>
    <row r="480" spans="1:11" x14ac:dyDescent="0.25">
      <c r="A480" s="214"/>
      <c r="C480" s="215"/>
      <c r="D480" s="216"/>
      <c r="E480" s="216"/>
      <c r="F480" s="217"/>
      <c r="G480" s="216"/>
      <c r="H480" s="216"/>
      <c r="I480" s="217"/>
      <c r="J480" s="217"/>
      <c r="K480" s="191"/>
    </row>
    <row r="481" spans="1:11" x14ac:dyDescent="0.25">
      <c r="A481" s="214"/>
      <c r="C481" s="215"/>
      <c r="D481" s="216"/>
      <c r="E481" s="216"/>
      <c r="F481" s="217"/>
      <c r="G481" s="216"/>
      <c r="H481" s="216"/>
      <c r="I481" s="217"/>
      <c r="J481" s="217"/>
      <c r="K481" s="191"/>
    </row>
    <row r="482" spans="1:11" x14ac:dyDescent="0.25">
      <c r="A482" s="214"/>
      <c r="C482" s="215"/>
      <c r="D482" s="216"/>
      <c r="E482" s="216"/>
      <c r="F482" s="217"/>
      <c r="G482" s="216"/>
      <c r="H482" s="216"/>
      <c r="I482" s="217"/>
      <c r="J482" s="217"/>
      <c r="K482" s="191"/>
    </row>
    <row r="483" spans="1:11" x14ac:dyDescent="0.25">
      <c r="A483" s="214"/>
      <c r="C483" s="215"/>
      <c r="D483" s="216"/>
      <c r="E483" s="216"/>
      <c r="F483" s="217"/>
      <c r="G483" s="216"/>
      <c r="H483" s="216"/>
      <c r="I483" s="217"/>
      <c r="J483" s="217"/>
      <c r="K483" s="191"/>
    </row>
    <row r="484" spans="1:11" x14ac:dyDescent="0.25">
      <c r="A484" s="214"/>
      <c r="C484" s="215"/>
      <c r="D484" s="216"/>
      <c r="E484" s="216"/>
      <c r="F484" s="217"/>
      <c r="G484" s="216"/>
      <c r="H484" s="216"/>
      <c r="I484" s="217"/>
      <c r="J484" s="217"/>
      <c r="K484" s="191"/>
    </row>
    <row r="485" spans="1:11" x14ac:dyDescent="0.25">
      <c r="A485" s="214"/>
      <c r="C485" s="215"/>
      <c r="D485" s="216"/>
      <c r="E485" s="216"/>
      <c r="F485" s="217"/>
      <c r="G485" s="216"/>
      <c r="H485" s="216"/>
      <c r="I485" s="217"/>
      <c r="J485" s="217"/>
      <c r="K485" s="191"/>
    </row>
    <row r="486" spans="1:11" x14ac:dyDescent="0.25">
      <c r="A486" s="214"/>
      <c r="C486" s="215"/>
      <c r="D486" s="216"/>
      <c r="E486" s="216"/>
      <c r="F486" s="217"/>
      <c r="G486" s="216"/>
      <c r="H486" s="216"/>
      <c r="I486" s="217"/>
      <c r="J486" s="217"/>
      <c r="K486" s="191"/>
    </row>
    <row r="487" spans="1:11" x14ac:dyDescent="0.25">
      <c r="A487" s="214"/>
      <c r="C487" s="215"/>
      <c r="D487" s="216"/>
      <c r="E487" s="216"/>
      <c r="F487" s="217"/>
      <c r="G487" s="216"/>
      <c r="H487" s="216"/>
      <c r="I487" s="217"/>
      <c r="J487" s="217"/>
      <c r="K487" s="191"/>
    </row>
    <row r="488" spans="1:11" x14ac:dyDescent="0.25">
      <c r="A488" s="214"/>
      <c r="C488" s="215"/>
      <c r="D488" s="216"/>
      <c r="E488" s="216"/>
      <c r="F488" s="217"/>
      <c r="G488" s="216"/>
      <c r="H488" s="216"/>
      <c r="I488" s="217"/>
      <c r="J488" s="217"/>
      <c r="K488" s="191"/>
    </row>
    <row r="489" spans="1:11" x14ac:dyDescent="0.25">
      <c r="A489" s="214"/>
      <c r="C489" s="215"/>
      <c r="D489" s="216"/>
      <c r="E489" s="216"/>
      <c r="F489" s="217"/>
      <c r="G489" s="216"/>
      <c r="H489" s="216"/>
      <c r="I489" s="217"/>
      <c r="J489" s="217"/>
      <c r="K489" s="191"/>
    </row>
    <row r="490" spans="1:11" x14ac:dyDescent="0.25">
      <c r="A490" s="214"/>
      <c r="C490" s="215"/>
      <c r="D490" s="216"/>
      <c r="E490" s="216"/>
      <c r="F490" s="217"/>
      <c r="G490" s="216"/>
      <c r="H490" s="216"/>
      <c r="I490" s="217"/>
      <c r="J490" s="217"/>
      <c r="K490" s="191"/>
    </row>
    <row r="491" spans="1:11" x14ac:dyDescent="0.25">
      <c r="A491" s="214"/>
      <c r="C491" s="215"/>
      <c r="D491" s="216"/>
      <c r="E491" s="216"/>
      <c r="F491" s="217"/>
      <c r="G491" s="216"/>
      <c r="H491" s="216"/>
      <c r="I491" s="217"/>
      <c r="J491" s="217"/>
      <c r="K491" s="191"/>
    </row>
    <row r="492" spans="1:11" x14ac:dyDescent="0.25">
      <c r="A492" s="214"/>
      <c r="C492" s="215"/>
      <c r="D492" s="216"/>
      <c r="E492" s="216"/>
      <c r="F492" s="217"/>
      <c r="G492" s="216"/>
      <c r="H492" s="216"/>
      <c r="I492" s="217"/>
      <c r="J492" s="217"/>
      <c r="K492" s="191"/>
    </row>
    <row r="493" spans="1:11" x14ac:dyDescent="0.25">
      <c r="A493" s="214"/>
      <c r="C493" s="215"/>
      <c r="D493" s="216"/>
      <c r="E493" s="216"/>
      <c r="F493" s="217"/>
      <c r="G493" s="216"/>
      <c r="H493" s="216"/>
      <c r="I493" s="217"/>
      <c r="J493" s="217"/>
      <c r="K493" s="191"/>
    </row>
    <row r="494" spans="1:11" x14ac:dyDescent="0.25">
      <c r="A494" s="214"/>
      <c r="C494" s="215"/>
      <c r="D494" s="216"/>
      <c r="E494" s="216"/>
      <c r="F494" s="217"/>
      <c r="G494" s="216"/>
      <c r="H494" s="216"/>
      <c r="I494" s="217"/>
      <c r="J494" s="217"/>
      <c r="K494" s="191"/>
    </row>
    <row r="495" spans="1:11" x14ac:dyDescent="0.25">
      <c r="A495" s="214"/>
      <c r="C495" s="215"/>
      <c r="D495" s="216"/>
      <c r="E495" s="216"/>
      <c r="F495" s="217"/>
      <c r="G495" s="216"/>
      <c r="H495" s="216"/>
      <c r="I495" s="217"/>
      <c r="J495" s="217"/>
      <c r="K495" s="191"/>
    </row>
    <row r="496" spans="1:11" x14ac:dyDescent="0.25">
      <c r="A496" s="214"/>
      <c r="C496" s="215"/>
      <c r="D496" s="216"/>
      <c r="E496" s="216"/>
      <c r="F496" s="217"/>
      <c r="G496" s="216"/>
      <c r="H496" s="216"/>
      <c r="I496" s="217"/>
      <c r="J496" s="217"/>
      <c r="K496" s="191"/>
    </row>
    <row r="497" spans="1:11" x14ac:dyDescent="0.25">
      <c r="A497" s="214"/>
      <c r="C497" s="215"/>
      <c r="D497" s="216"/>
      <c r="E497" s="216"/>
      <c r="F497" s="217"/>
      <c r="G497" s="216"/>
      <c r="H497" s="216"/>
      <c r="I497" s="217"/>
      <c r="J497" s="217"/>
      <c r="K497" s="191"/>
    </row>
    <row r="498" spans="1:11" x14ac:dyDescent="0.25">
      <c r="A498" s="214"/>
      <c r="C498" s="215"/>
      <c r="D498" s="216"/>
      <c r="E498" s="216"/>
      <c r="F498" s="217"/>
      <c r="G498" s="216"/>
      <c r="H498" s="216"/>
      <c r="I498" s="217"/>
      <c r="J498" s="217"/>
      <c r="K498" s="191"/>
    </row>
    <row r="499" spans="1:11" x14ac:dyDescent="0.25">
      <c r="A499" s="214"/>
      <c r="C499" s="215"/>
      <c r="D499" s="216"/>
      <c r="E499" s="216"/>
      <c r="F499" s="217"/>
      <c r="G499" s="216"/>
      <c r="H499" s="216"/>
      <c r="I499" s="217"/>
      <c r="J499" s="217"/>
      <c r="K499" s="191"/>
    </row>
    <row r="500" spans="1:11" x14ac:dyDescent="0.25">
      <c r="A500" s="214"/>
      <c r="C500" s="215"/>
      <c r="D500" s="216"/>
      <c r="E500" s="216"/>
      <c r="F500" s="217"/>
      <c r="G500" s="216"/>
      <c r="H500" s="216"/>
      <c r="I500" s="217"/>
      <c r="J500" s="217"/>
      <c r="K500" s="191"/>
    </row>
    <row r="501" spans="1:11" x14ac:dyDescent="0.25">
      <c r="A501" s="214"/>
      <c r="C501" s="215"/>
      <c r="D501" s="216"/>
      <c r="E501" s="216"/>
      <c r="F501" s="217"/>
      <c r="G501" s="216"/>
      <c r="H501" s="216"/>
      <c r="I501" s="217"/>
      <c r="J501" s="217"/>
      <c r="K501" s="191"/>
    </row>
    <row r="502" spans="1:11" x14ac:dyDescent="0.25">
      <c r="A502" s="214"/>
      <c r="C502" s="215"/>
      <c r="D502" s="216"/>
      <c r="E502" s="216"/>
      <c r="F502" s="217"/>
      <c r="G502" s="216"/>
      <c r="H502" s="216"/>
      <c r="I502" s="217"/>
      <c r="J502" s="217"/>
      <c r="K502" s="191"/>
    </row>
    <row r="503" spans="1:11" x14ac:dyDescent="0.25">
      <c r="A503" s="214"/>
      <c r="C503" s="215"/>
      <c r="D503" s="216"/>
      <c r="E503" s="216"/>
      <c r="F503" s="217"/>
      <c r="G503" s="216"/>
      <c r="H503" s="216"/>
      <c r="I503" s="217"/>
      <c r="J503" s="217"/>
      <c r="K503" s="191"/>
    </row>
    <row r="504" spans="1:11" x14ac:dyDescent="0.25">
      <c r="A504" s="214"/>
      <c r="C504" s="215"/>
      <c r="D504" s="216"/>
      <c r="E504" s="216"/>
      <c r="F504" s="217"/>
      <c r="G504" s="216"/>
      <c r="H504" s="216"/>
      <c r="I504" s="217"/>
      <c r="J504" s="217"/>
      <c r="K504" s="191"/>
    </row>
    <row r="505" spans="1:11" x14ac:dyDescent="0.25">
      <c r="A505" s="214"/>
      <c r="C505" s="215"/>
      <c r="D505" s="216"/>
      <c r="E505" s="216"/>
      <c r="F505" s="217"/>
      <c r="G505" s="216"/>
      <c r="H505" s="216"/>
      <c r="I505" s="217"/>
      <c r="J505" s="217"/>
      <c r="K505" s="191"/>
    </row>
    <row r="506" spans="1:11" x14ac:dyDescent="0.25">
      <c r="A506" s="214"/>
      <c r="C506" s="215"/>
      <c r="D506" s="216"/>
      <c r="E506" s="216"/>
      <c r="F506" s="217"/>
      <c r="G506" s="216"/>
      <c r="H506" s="216"/>
      <c r="I506" s="217"/>
      <c r="J506" s="217"/>
      <c r="K506" s="191"/>
    </row>
    <row r="507" spans="1:11" x14ac:dyDescent="0.25">
      <c r="A507" s="214"/>
      <c r="C507" s="215"/>
      <c r="D507" s="216"/>
      <c r="E507" s="216"/>
      <c r="F507" s="217"/>
      <c r="G507" s="216"/>
      <c r="H507" s="216"/>
      <c r="I507" s="217"/>
      <c r="J507" s="217"/>
      <c r="K507" s="191"/>
    </row>
    <row r="508" spans="1:11" x14ac:dyDescent="0.25">
      <c r="A508" s="214"/>
      <c r="C508" s="215"/>
      <c r="D508" s="216"/>
      <c r="E508" s="216"/>
      <c r="F508" s="217"/>
      <c r="G508" s="216"/>
      <c r="H508" s="216"/>
      <c r="I508" s="217"/>
      <c r="J508" s="217"/>
      <c r="K508" s="191"/>
    </row>
    <row r="509" spans="1:11" x14ac:dyDescent="0.25">
      <c r="A509" s="214"/>
      <c r="C509" s="215"/>
      <c r="D509" s="216"/>
      <c r="E509" s="216"/>
      <c r="F509" s="217"/>
      <c r="G509" s="216"/>
      <c r="H509" s="216"/>
      <c r="I509" s="217"/>
      <c r="J509" s="217"/>
      <c r="K509" s="191"/>
    </row>
    <row r="510" spans="1:11" x14ac:dyDescent="0.25">
      <c r="A510" s="214"/>
      <c r="C510" s="215"/>
      <c r="D510" s="216"/>
      <c r="E510" s="216"/>
      <c r="F510" s="217"/>
      <c r="G510" s="216"/>
      <c r="H510" s="216"/>
      <c r="I510" s="217"/>
      <c r="J510" s="217"/>
      <c r="K510" s="191"/>
    </row>
    <row r="511" spans="1:11" x14ac:dyDescent="0.25">
      <c r="A511" s="214"/>
      <c r="C511" s="215"/>
      <c r="D511" s="216"/>
      <c r="E511" s="216"/>
      <c r="F511" s="217"/>
      <c r="G511" s="216"/>
      <c r="H511" s="216"/>
      <c r="I511" s="217"/>
      <c r="J511" s="217"/>
      <c r="K511" s="191"/>
    </row>
    <row r="512" spans="1:11" x14ac:dyDescent="0.25">
      <c r="A512" s="214"/>
      <c r="C512" s="215"/>
      <c r="D512" s="216"/>
      <c r="E512" s="216"/>
      <c r="F512" s="217"/>
      <c r="G512" s="216"/>
      <c r="H512" s="216"/>
      <c r="I512" s="217"/>
      <c r="J512" s="217"/>
      <c r="K512" s="191"/>
    </row>
    <row r="513" spans="1:11" x14ac:dyDescent="0.25">
      <c r="A513" s="214"/>
      <c r="C513" s="215"/>
      <c r="D513" s="216"/>
      <c r="E513" s="216"/>
      <c r="F513" s="217"/>
      <c r="G513" s="216"/>
      <c r="H513" s="216"/>
      <c r="I513" s="217"/>
      <c r="J513" s="217"/>
      <c r="K513" s="191"/>
    </row>
    <row r="514" spans="1:11" x14ac:dyDescent="0.25">
      <c r="A514" s="214"/>
      <c r="C514" s="215"/>
      <c r="D514" s="216"/>
      <c r="E514" s="216"/>
      <c r="F514" s="217"/>
      <c r="G514" s="216"/>
      <c r="H514" s="216"/>
      <c r="I514" s="217"/>
      <c r="J514" s="217"/>
      <c r="K514" s="191"/>
    </row>
    <row r="515" spans="1:11" x14ac:dyDescent="0.25">
      <c r="A515" s="214"/>
      <c r="C515" s="215"/>
      <c r="D515" s="216"/>
      <c r="E515" s="216"/>
      <c r="F515" s="217"/>
      <c r="G515" s="216"/>
      <c r="H515" s="216"/>
      <c r="I515" s="217"/>
      <c r="J515" s="217"/>
      <c r="K515" s="191"/>
    </row>
    <row r="516" spans="1:11" x14ac:dyDescent="0.25">
      <c r="A516" s="214"/>
      <c r="C516" s="215"/>
      <c r="D516" s="216"/>
      <c r="E516" s="216"/>
      <c r="F516" s="217"/>
      <c r="G516" s="216"/>
      <c r="H516" s="216"/>
      <c r="I516" s="217"/>
      <c r="J516" s="217"/>
      <c r="K516" s="191"/>
    </row>
  </sheetData>
  <sheetProtection password="D0DA"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theme="0"/>
  </sheetPr>
  <dimension ref="A1:R516"/>
  <sheetViews>
    <sheetView zoomScale="80" zoomScaleNormal="80" workbookViewId="0"/>
  </sheetViews>
  <sheetFormatPr defaultRowHeight="15.75" x14ac:dyDescent="0.25"/>
  <cols>
    <col min="1" max="1" width="9.28515625" style="205" bestFit="1" customWidth="1"/>
    <col min="2" max="2" width="9.140625" style="192"/>
    <col min="3" max="3" width="9.7109375" style="193" bestFit="1" customWidth="1"/>
    <col min="4" max="6" width="9.28515625" style="194" bestFit="1" customWidth="1"/>
    <col min="7" max="9" width="9.28515625" style="193" bestFit="1" customWidth="1"/>
    <col min="10" max="10" width="10.7109375" style="193" bestFit="1" customWidth="1"/>
    <col min="11" max="11" width="10.7109375" style="195" bestFit="1" customWidth="1"/>
    <col min="12" max="12" width="9.140625" style="191"/>
    <col min="13" max="17" width="16.7109375" style="191" customWidth="1"/>
    <col min="18" max="16384" width="9.140625" style="191"/>
  </cols>
  <sheetData>
    <row r="1" spans="1:18" x14ac:dyDescent="0.25">
      <c r="A1" s="191"/>
    </row>
    <row r="2" spans="1:18" ht="33.75" x14ac:dyDescent="0.5">
      <c r="A2" s="175" t="s">
        <v>171</v>
      </c>
      <c r="C2" s="196" t="s">
        <v>111</v>
      </c>
      <c r="M2" s="220" t="s">
        <v>148</v>
      </c>
    </row>
    <row r="4" spans="1:18" ht="18.75" x14ac:dyDescent="0.35">
      <c r="A4" s="196"/>
      <c r="B4" s="197" t="s">
        <v>161</v>
      </c>
      <c r="C4" s="198">
        <f>Toolbox!E28</f>
        <v>480</v>
      </c>
      <c r="D4" s="199" t="s">
        <v>14</v>
      </c>
      <c r="E4" s="198">
        <v>28</v>
      </c>
      <c r="F4" s="197" t="s">
        <v>13</v>
      </c>
      <c r="G4" s="200">
        <v>0.67400000000000004</v>
      </c>
      <c r="H4" s="197" t="s">
        <v>177</v>
      </c>
      <c r="I4" s="201">
        <v>0.26</v>
      </c>
      <c r="J4" s="202"/>
      <c r="K4" s="203"/>
      <c r="M4" s="191" t="s">
        <v>150</v>
      </c>
    </row>
    <row r="5" spans="1:18" ht="18.75" x14ac:dyDescent="0.35">
      <c r="A5" s="196"/>
      <c r="B5" s="197" t="s">
        <v>160</v>
      </c>
      <c r="C5" s="204">
        <f>189+0.315*C4</f>
        <v>340.2</v>
      </c>
      <c r="D5" s="199" t="s">
        <v>159</v>
      </c>
      <c r="E5" s="200">
        <v>0.92200000000000004</v>
      </c>
      <c r="H5" s="197" t="s">
        <v>178</v>
      </c>
      <c r="I5" s="201">
        <f>-40.5+0.195*C4</f>
        <v>53.100000000000009</v>
      </c>
      <c r="J5" s="202"/>
      <c r="K5" s="203"/>
      <c r="M5" s="191" t="s">
        <v>158</v>
      </c>
    </row>
    <row r="6" spans="1:18" x14ac:dyDescent="0.25">
      <c r="J6" s="202"/>
      <c r="K6" s="203"/>
      <c r="M6" s="191" t="s">
        <v>157</v>
      </c>
    </row>
    <row r="7" spans="1:18" x14ac:dyDescent="0.25">
      <c r="A7" s="192"/>
      <c r="C7" s="199" t="s">
        <v>12</v>
      </c>
      <c r="D7" s="198">
        <v>69.7</v>
      </c>
      <c r="E7" s="199" t="s">
        <v>18</v>
      </c>
      <c r="F7" s="198">
        <v>-14.9</v>
      </c>
      <c r="G7" s="191"/>
      <c r="M7" s="191" t="s">
        <v>153</v>
      </c>
    </row>
    <row r="8" spans="1:18" x14ac:dyDescent="0.25">
      <c r="B8" s="191"/>
      <c r="C8" s="199" t="s">
        <v>16</v>
      </c>
      <c r="D8" s="206">
        <f>0.8795+(0.0459*(EXP((-((C4-300)^2))/11940)))</f>
        <v>0.88254316252170595</v>
      </c>
      <c r="E8" s="199" t="s">
        <v>4</v>
      </c>
      <c r="F8" s="200">
        <v>1.1040000000000001</v>
      </c>
      <c r="G8" s="191"/>
      <c r="M8" s="191" t="s">
        <v>154</v>
      </c>
      <c r="Q8" s="207"/>
      <c r="R8" s="207"/>
    </row>
    <row r="9" spans="1:18" x14ac:dyDescent="0.25">
      <c r="A9" s="192"/>
      <c r="D9" s="191"/>
      <c r="E9" s="191"/>
      <c r="F9" s="191"/>
      <c r="G9" s="191"/>
      <c r="O9" s="207"/>
      <c r="P9" s="208"/>
    </row>
    <row r="10" spans="1:18" x14ac:dyDescent="0.25">
      <c r="A10" s="192"/>
      <c r="C10" s="192"/>
      <c r="D10" s="192"/>
      <c r="E10" s="192"/>
      <c r="F10" s="192"/>
      <c r="G10" s="192"/>
      <c r="H10" s="192"/>
      <c r="I10" s="192"/>
      <c r="J10" s="192"/>
      <c r="K10" s="192"/>
      <c r="L10" s="192"/>
      <c r="M10" s="192"/>
      <c r="N10" s="192"/>
      <c r="O10" s="192"/>
      <c r="P10" s="192"/>
    </row>
    <row r="11" spans="1:18" ht="18" x14ac:dyDescent="0.25">
      <c r="A11" s="209" t="s">
        <v>11</v>
      </c>
      <c r="C11" s="210" t="s">
        <v>17</v>
      </c>
      <c r="D11" s="211" t="s">
        <v>12</v>
      </c>
      <c r="E11" s="211" t="s">
        <v>14</v>
      </c>
      <c r="F11" s="211" t="s">
        <v>18</v>
      </c>
      <c r="G11" s="210" t="s">
        <v>19</v>
      </c>
      <c r="H11" s="210" t="s">
        <v>20</v>
      </c>
      <c r="I11" s="210" t="s">
        <v>21</v>
      </c>
      <c r="J11" s="210" t="s">
        <v>22</v>
      </c>
      <c r="K11" s="212" t="s">
        <v>26</v>
      </c>
      <c r="M11" s="213" t="s">
        <v>149</v>
      </c>
      <c r="N11" s="213" t="s">
        <v>151</v>
      </c>
      <c r="O11" s="213" t="s">
        <v>152</v>
      </c>
      <c r="P11" s="213" t="s">
        <v>156</v>
      </c>
      <c r="Q11" s="213" t="s">
        <v>155</v>
      </c>
    </row>
    <row r="12" spans="1:18" x14ac:dyDescent="0.25">
      <c r="A12" s="214">
        <v>300</v>
      </c>
      <c r="C12" s="215">
        <f t="shared" ref="C12:C43" si="0">$C$4/A12</f>
        <v>1.6</v>
      </c>
      <c r="D12" s="216">
        <f>EXP($D$7*($D$8-C12))</f>
        <v>1.9157907728881007E-22</v>
      </c>
      <c r="E12" s="216">
        <f>EXP($E$4*($E$5-C12))</f>
        <v>5.6931621786726845E-9</v>
      </c>
      <c r="F12" s="217">
        <f>EXP($F$7*($F$8-C12))</f>
        <v>1620.3541249726366</v>
      </c>
      <c r="G12" s="216">
        <f t="shared" ref="G12:G43" si="1">D12+E12+F12+$G$4</f>
        <v>1621.0281249783297</v>
      </c>
      <c r="H12" s="216">
        <f>1/G12</f>
        <v>6.168924428830427E-4</v>
      </c>
      <c r="I12" s="217">
        <f>$I$4*(EXP(-(((A12-$C$5)/$I$5)^2)))</f>
        <v>0.14657518965461933</v>
      </c>
      <c r="J12" s="217">
        <f>IF(ISERROR(H12+I12),"",H12+I12)</f>
        <v>0.14719208209750237</v>
      </c>
      <c r="K12" s="195">
        <f t="shared" ref="K12:K75" si="2">IF(J12="","",J12/MAX(J$12:J$108))</f>
        <v>0.14703724186666284</v>
      </c>
      <c r="M12" s="218">
        <f>K12</f>
        <v>0.14703724186666284</v>
      </c>
      <c r="N12" s="218">
        <f>Calculations!F22</f>
        <v>6.9999999999999993E-3</v>
      </c>
      <c r="O12" s="219">
        <f>Spectra!$C$10*$A12</f>
        <v>1510235102458.2681</v>
      </c>
      <c r="P12" s="219">
        <f>PRODUCT(M12:O12)</f>
        <v>1554425628.2497647</v>
      </c>
      <c r="Q12" s="218">
        <f t="shared" ref="Q12:Q43" si="3">P12/SUM(P$12:P$108)</f>
        <v>3.3140189242383135E-5</v>
      </c>
    </row>
    <row r="13" spans="1:18" x14ac:dyDescent="0.25">
      <c r="A13" s="214">
        <v>305</v>
      </c>
      <c r="C13" s="215">
        <f t="shared" si="0"/>
        <v>1.5737704918032787</v>
      </c>
      <c r="D13" s="216">
        <f t="shared" ref="D13:D76" si="4">EXP($D$7*($D$8-C13))</f>
        <v>1.192130570851768E-21</v>
      </c>
      <c r="E13" s="216">
        <f t="shared" ref="E13:E76" si="5">EXP($E$4*($E$5-C13))</f>
        <v>1.186617678832003E-8</v>
      </c>
      <c r="F13" s="217">
        <f t="shared" ref="F13:F76" si="6">EXP($F$7*($F$8-C13))</f>
        <v>1096.1730286123559</v>
      </c>
      <c r="G13" s="216">
        <f t="shared" si="1"/>
        <v>1096.847028624222</v>
      </c>
      <c r="H13" s="216">
        <f t="shared" ref="H13:H76" si="7">1/G13</f>
        <v>9.1170416102079657E-4</v>
      </c>
      <c r="I13" s="217">
        <f t="shared" ref="I13:I76" si="8">$I$4*(EXP(-(((A13-$C$5)/$I$5)^2)))</f>
        <v>0.16754382709458629</v>
      </c>
      <c r="J13" s="217">
        <f t="shared" ref="J13:J76" si="9">IF(ISERROR(H13+I13),"",H13+I13)</f>
        <v>0.16845553125560708</v>
      </c>
      <c r="K13" s="195">
        <f t="shared" si="2"/>
        <v>0.16827832271983451</v>
      </c>
      <c r="M13" s="218">
        <f t="shared" ref="M13:M76" si="10">K13</f>
        <v>0.16827832271983451</v>
      </c>
      <c r="N13" s="218">
        <f>Calculations!F23</f>
        <v>3.548133892335753E-2</v>
      </c>
      <c r="O13" s="219">
        <f>Spectra!$C$10*$A13</f>
        <v>1535405687499.2393</v>
      </c>
      <c r="P13" s="219">
        <f t="shared" ref="P13:P76" si="11">PRODUCT(M13:O13)</f>
        <v>9167508464.5416622</v>
      </c>
      <c r="Q13" s="218">
        <f t="shared" si="3"/>
        <v>1.9545030645058521E-4</v>
      </c>
    </row>
    <row r="14" spans="1:18" x14ac:dyDescent="0.25">
      <c r="A14" s="214">
        <v>310</v>
      </c>
      <c r="C14" s="215">
        <f t="shared" si="0"/>
        <v>1.5483870967741935</v>
      </c>
      <c r="D14" s="216">
        <f t="shared" si="4"/>
        <v>6.9933852322871419E-21</v>
      </c>
      <c r="E14" s="216">
        <f t="shared" si="5"/>
        <v>2.4153447590226472E-8</v>
      </c>
      <c r="F14" s="217">
        <f t="shared" si="6"/>
        <v>750.97153025832688</v>
      </c>
      <c r="G14" s="216">
        <f t="shared" si="1"/>
        <v>751.64553028248031</v>
      </c>
      <c r="H14" s="216">
        <f t="shared" si="7"/>
        <v>1.3304143505306074E-3</v>
      </c>
      <c r="I14" s="217">
        <f t="shared" si="8"/>
        <v>0.18814603760103599</v>
      </c>
      <c r="J14" s="217">
        <f t="shared" si="9"/>
        <v>0.18947645195156659</v>
      </c>
      <c r="K14" s="195">
        <f t="shared" si="2"/>
        <v>0.18927713024118137</v>
      </c>
      <c r="M14" s="218">
        <f t="shared" si="10"/>
        <v>0.18927713024118137</v>
      </c>
      <c r="N14" s="218">
        <f>Calculations!F24</f>
        <v>0.10300000000000001</v>
      </c>
      <c r="O14" s="219">
        <f>Spectra!$C$10*$A14</f>
        <v>1560576272540.2104</v>
      </c>
      <c r="P14" s="219">
        <f t="shared" si="11"/>
        <v>30424284034.055752</v>
      </c>
      <c r="Q14" s="218">
        <f t="shared" si="3"/>
        <v>6.4864250313982565E-4</v>
      </c>
    </row>
    <row r="15" spans="1:18" x14ac:dyDescent="0.25">
      <c r="A15" s="214">
        <v>315</v>
      </c>
      <c r="C15" s="215">
        <f t="shared" si="0"/>
        <v>1.5238095238095237</v>
      </c>
      <c r="D15" s="216">
        <f t="shared" si="4"/>
        <v>3.8784534473079673E-20</v>
      </c>
      <c r="E15" s="216">
        <f t="shared" si="5"/>
        <v>4.8067158588113478E-8</v>
      </c>
      <c r="F15" s="217">
        <f t="shared" si="6"/>
        <v>520.69367071806801</v>
      </c>
      <c r="G15" s="216">
        <f t="shared" si="1"/>
        <v>521.36767076613512</v>
      </c>
      <c r="H15" s="216">
        <f t="shared" si="7"/>
        <v>1.9180322372703473E-3</v>
      </c>
      <c r="I15" s="217">
        <f t="shared" si="8"/>
        <v>0.20756799938012835</v>
      </c>
      <c r="J15" s="217">
        <f t="shared" si="9"/>
        <v>0.2094860316173987</v>
      </c>
      <c r="K15" s="195">
        <f t="shared" si="2"/>
        <v>0.20926566062304175</v>
      </c>
      <c r="M15" s="218">
        <f t="shared" si="10"/>
        <v>0.20926566062304175</v>
      </c>
      <c r="N15" s="218">
        <f>Calculations!F25</f>
        <v>0.23384259378835601</v>
      </c>
      <c r="O15" s="219">
        <f>Spectra!$C$10*$A15</f>
        <v>1585746857581.1816</v>
      </c>
      <c r="P15" s="219">
        <f t="shared" si="11"/>
        <v>77598879064.099258</v>
      </c>
      <c r="Q15" s="218">
        <f t="shared" si="3"/>
        <v>1.654399857056295E-3</v>
      </c>
    </row>
    <row r="16" spans="1:18" x14ac:dyDescent="0.25">
      <c r="A16" s="214">
        <v>320</v>
      </c>
      <c r="C16" s="215">
        <f t="shared" si="0"/>
        <v>1.5</v>
      </c>
      <c r="D16" s="216">
        <f t="shared" si="4"/>
        <v>2.0388281257784822E-19</v>
      </c>
      <c r="E16" s="216">
        <f t="shared" si="5"/>
        <v>9.3622041038842012E-8</v>
      </c>
      <c r="F16" s="217">
        <f t="shared" si="6"/>
        <v>365.18351205936591</v>
      </c>
      <c r="G16" s="216">
        <f t="shared" si="1"/>
        <v>365.85751215298791</v>
      </c>
      <c r="H16" s="216">
        <f t="shared" si="7"/>
        <v>2.7333045428402669E-3</v>
      </c>
      <c r="I16" s="217">
        <f t="shared" si="8"/>
        <v>0.22496989241705931</v>
      </c>
      <c r="J16" s="217">
        <f t="shared" si="9"/>
        <v>0.22770319695989957</v>
      </c>
      <c r="K16" s="195">
        <f t="shared" si="2"/>
        <v>0.22746366223032888</v>
      </c>
      <c r="M16" s="218">
        <f t="shared" si="10"/>
        <v>0.22746366223032888</v>
      </c>
      <c r="N16" s="218">
        <f>Calculations!F26</f>
        <v>0.33</v>
      </c>
      <c r="O16" s="219">
        <f>Spectra!$C$10*$A16</f>
        <v>1610917442622.1528</v>
      </c>
      <c r="P16" s="219">
        <f t="shared" si="11"/>
        <v>120920309746.35168</v>
      </c>
      <c r="Q16" s="218">
        <f t="shared" si="3"/>
        <v>2.5780081564621407E-3</v>
      </c>
    </row>
    <row r="17" spans="1:17" x14ac:dyDescent="0.25">
      <c r="A17" s="214">
        <v>325</v>
      </c>
      <c r="C17" s="215">
        <f t="shared" si="0"/>
        <v>1.476923076923077</v>
      </c>
      <c r="D17" s="216">
        <f t="shared" si="4"/>
        <v>1.0184192192797033E-18</v>
      </c>
      <c r="E17" s="216">
        <f t="shared" si="5"/>
        <v>1.7864840977747661E-7</v>
      </c>
      <c r="F17" s="217">
        <f t="shared" si="6"/>
        <v>258.92898791042018</v>
      </c>
      <c r="G17" s="216">
        <f t="shared" si="1"/>
        <v>259.60298808906856</v>
      </c>
      <c r="H17" s="216">
        <f t="shared" si="7"/>
        <v>3.8520357849536951E-3</v>
      </c>
      <c r="I17" s="217">
        <f t="shared" si="8"/>
        <v>0.23954498327373966</v>
      </c>
      <c r="J17" s="217">
        <f t="shared" si="9"/>
        <v>0.24339701905869335</v>
      </c>
      <c r="K17" s="195">
        <f t="shared" si="2"/>
        <v>0.24314097505089313</v>
      </c>
      <c r="M17" s="218">
        <f t="shared" si="10"/>
        <v>0.24314097505089313</v>
      </c>
      <c r="N17" s="218">
        <f>Calculations!F27</f>
        <v>0.39915740621164403</v>
      </c>
      <c r="O17" s="219">
        <f>Spectra!$C$10*$A17</f>
        <v>1636088027663.1238</v>
      </c>
      <c r="P17" s="219">
        <f t="shared" si="11"/>
        <v>158784831484.74973</v>
      </c>
      <c r="Q17" s="218">
        <f t="shared" si="3"/>
        <v>3.385275736961151E-3</v>
      </c>
    </row>
    <row r="18" spans="1:17" x14ac:dyDescent="0.25">
      <c r="A18" s="214">
        <v>330</v>
      </c>
      <c r="C18" s="215">
        <f t="shared" si="0"/>
        <v>1.4545454545454546</v>
      </c>
      <c r="D18" s="216">
        <f t="shared" si="4"/>
        <v>4.8451195494022557E-18</v>
      </c>
      <c r="E18" s="216">
        <f t="shared" si="5"/>
        <v>3.3428472827042051E-7</v>
      </c>
      <c r="F18" s="217">
        <f t="shared" si="6"/>
        <v>185.51342895715933</v>
      </c>
      <c r="G18" s="216">
        <f t="shared" si="1"/>
        <v>186.18742929144406</v>
      </c>
      <c r="H18" s="216">
        <f t="shared" si="7"/>
        <v>5.3709318819514596E-3</v>
      </c>
      <c r="I18" s="217">
        <f t="shared" si="8"/>
        <v>0.25058117275783143</v>
      </c>
      <c r="J18" s="217">
        <f t="shared" si="9"/>
        <v>0.25595210463978291</v>
      </c>
      <c r="K18" s="195">
        <f t="shared" si="2"/>
        <v>0.25568285318004719</v>
      </c>
      <c r="M18" s="218">
        <f t="shared" si="10"/>
        <v>0.25568285318004719</v>
      </c>
      <c r="N18" s="218">
        <f>Calculations!F28</f>
        <v>0.44900000000000001</v>
      </c>
      <c r="O18" s="219">
        <f>Spectra!$C$10*$A18</f>
        <v>1661258612704.095</v>
      </c>
      <c r="P18" s="219">
        <f t="shared" si="11"/>
        <v>190715148542.78339</v>
      </c>
      <c r="Q18" s="218">
        <f t="shared" si="3"/>
        <v>4.0660267041618169E-3</v>
      </c>
    </row>
    <row r="19" spans="1:17" x14ac:dyDescent="0.25">
      <c r="A19" s="214">
        <v>335</v>
      </c>
      <c r="C19" s="215">
        <f t="shared" si="0"/>
        <v>1.4328358208955223</v>
      </c>
      <c r="D19" s="216">
        <f t="shared" si="4"/>
        <v>2.2002000592306504E-17</v>
      </c>
      <c r="E19" s="216">
        <f t="shared" si="5"/>
        <v>6.1391891052204848E-7</v>
      </c>
      <c r="F19" s="217">
        <f t="shared" si="6"/>
        <v>134.24328739318912</v>
      </c>
      <c r="G19" s="216">
        <f t="shared" si="1"/>
        <v>134.91728800710803</v>
      </c>
      <c r="H19" s="216">
        <f t="shared" si="7"/>
        <v>7.4119485706480824E-3</v>
      </c>
      <c r="I19" s="217">
        <f t="shared" si="8"/>
        <v>0.25751852319631974</v>
      </c>
      <c r="J19" s="217">
        <f t="shared" si="9"/>
        <v>0.26493047176696782</v>
      </c>
      <c r="K19" s="195">
        <f t="shared" si="2"/>
        <v>0.2646517754212116</v>
      </c>
      <c r="M19" s="218">
        <f t="shared" si="10"/>
        <v>0.2646517754212116</v>
      </c>
      <c r="N19" s="218">
        <f>Calculations!F29</f>
        <v>0.48690278136506698</v>
      </c>
      <c r="O19" s="219">
        <f>Spectra!$C$10*$A19</f>
        <v>1686429197745.0662</v>
      </c>
      <c r="P19" s="219">
        <f t="shared" si="11"/>
        <v>217312736116.6698</v>
      </c>
      <c r="Q19" s="218">
        <f t="shared" si="3"/>
        <v>4.6330844453430003E-3</v>
      </c>
    </row>
    <row r="20" spans="1:17" x14ac:dyDescent="0.25">
      <c r="A20" s="214">
        <v>340</v>
      </c>
      <c r="C20" s="215">
        <f t="shared" si="0"/>
        <v>1.411764705882353</v>
      </c>
      <c r="D20" s="216">
        <f t="shared" si="4"/>
        <v>9.5563419121337469E-17</v>
      </c>
      <c r="E20" s="216">
        <f t="shared" si="5"/>
        <v>1.1074928791536625E-6</v>
      </c>
      <c r="F20" s="217">
        <f t="shared" si="6"/>
        <v>98.071236498169313</v>
      </c>
      <c r="G20" s="216">
        <f t="shared" si="1"/>
        <v>98.745237605662197</v>
      </c>
      <c r="H20" s="216">
        <f t="shared" si="7"/>
        <v>1.0127070674471278E-2</v>
      </c>
      <c r="I20" s="217">
        <f t="shared" si="8"/>
        <v>0.25999631157279507</v>
      </c>
      <c r="J20" s="217">
        <f t="shared" si="9"/>
        <v>0.27012338224726634</v>
      </c>
      <c r="K20" s="195">
        <f t="shared" si="2"/>
        <v>0.2698392231657023</v>
      </c>
      <c r="M20" s="218">
        <f t="shared" si="10"/>
        <v>0.2698392231657023</v>
      </c>
      <c r="N20" s="218">
        <f>Calculations!F30</f>
        <v>0.51900000000000002</v>
      </c>
      <c r="O20" s="219">
        <f>Spectra!$C$10*$A20</f>
        <v>1711599782786.0374</v>
      </c>
      <c r="P20" s="219">
        <f t="shared" si="11"/>
        <v>239703656238.17838</v>
      </c>
      <c r="Q20" s="218">
        <f t="shared" si="3"/>
        <v>5.1104564833821522E-3</v>
      </c>
    </row>
    <row r="21" spans="1:17" x14ac:dyDescent="0.25">
      <c r="A21" s="214">
        <v>345</v>
      </c>
      <c r="C21" s="215">
        <f t="shared" si="0"/>
        <v>1.3913043478260869</v>
      </c>
      <c r="D21" s="216">
        <f t="shared" si="4"/>
        <v>3.977712368210911E-16</v>
      </c>
      <c r="E21" s="216">
        <f t="shared" si="5"/>
        <v>1.9640110159135712E-6</v>
      </c>
      <c r="F21" s="217">
        <f t="shared" si="6"/>
        <v>72.300770248102268</v>
      </c>
      <c r="G21" s="216">
        <f t="shared" si="1"/>
        <v>72.974772212113294</v>
      </c>
      <c r="H21" s="216">
        <f t="shared" si="7"/>
        <v>1.3703365830226012E-2</v>
      </c>
      <c r="I21" s="217">
        <f t="shared" si="8"/>
        <v>0.25788410747516183</v>
      </c>
      <c r="J21" s="217">
        <f t="shared" si="9"/>
        <v>0.27158747330538785</v>
      </c>
      <c r="K21" s="195">
        <f t="shared" si="2"/>
        <v>0.27130177405811534</v>
      </c>
      <c r="M21" s="218">
        <f t="shared" si="10"/>
        <v>0.27130177405811534</v>
      </c>
      <c r="N21" s="218">
        <f>Calculations!F31</f>
        <v>0.54955621464828197</v>
      </c>
      <c r="O21" s="219">
        <f>Spectra!$C$10*$A21</f>
        <v>1736770367827.0083</v>
      </c>
      <c r="P21" s="219">
        <f t="shared" si="11"/>
        <v>258944778333.97821</v>
      </c>
      <c r="Q21" s="218">
        <f t="shared" si="3"/>
        <v>5.5206751621674375E-3</v>
      </c>
    </row>
    <row r="22" spans="1:17" x14ac:dyDescent="0.25">
      <c r="A22" s="214">
        <v>350</v>
      </c>
      <c r="C22" s="215">
        <f t="shared" si="0"/>
        <v>1.3714285714285714</v>
      </c>
      <c r="D22" s="216">
        <f t="shared" si="4"/>
        <v>1.5895697690309638E-15</v>
      </c>
      <c r="E22" s="216">
        <f t="shared" si="5"/>
        <v>3.4264014070351744E-6</v>
      </c>
      <c r="F22" s="217">
        <f t="shared" si="6"/>
        <v>53.768388185824499</v>
      </c>
      <c r="G22" s="216">
        <f t="shared" si="1"/>
        <v>54.442391612225904</v>
      </c>
      <c r="H22" s="216">
        <f t="shared" si="7"/>
        <v>1.836803950720332E-2</v>
      </c>
      <c r="I22" s="217">
        <f t="shared" si="8"/>
        <v>0.25129314921598755</v>
      </c>
      <c r="J22" s="217">
        <f t="shared" si="9"/>
        <v>0.26966118872319089</v>
      </c>
      <c r="K22" s="195">
        <f t="shared" si="2"/>
        <v>0.26937751585087766</v>
      </c>
      <c r="M22" s="218">
        <f t="shared" si="10"/>
        <v>0.26937751585087766</v>
      </c>
      <c r="N22" s="218">
        <f>Calculations!F32</f>
        <v>0.58099999999999996</v>
      </c>
      <c r="O22" s="219">
        <f>Spectra!$C$10*$A22</f>
        <v>1761940952867.9795</v>
      </c>
      <c r="P22" s="219">
        <f t="shared" si="11"/>
        <v>275758447913.47217</v>
      </c>
      <c r="Q22" s="218">
        <f t="shared" si="3"/>
        <v>5.8791408112128215E-3</v>
      </c>
    </row>
    <row r="23" spans="1:17" x14ac:dyDescent="0.25">
      <c r="A23" s="214">
        <v>355</v>
      </c>
      <c r="C23" s="215">
        <f t="shared" si="0"/>
        <v>1.352112676056338</v>
      </c>
      <c r="D23" s="216">
        <f t="shared" si="4"/>
        <v>6.1091112329466812E-15</v>
      </c>
      <c r="E23" s="216">
        <f t="shared" si="5"/>
        <v>5.88469921165191E-6</v>
      </c>
      <c r="F23" s="217">
        <f t="shared" si="6"/>
        <v>40.321259998572337</v>
      </c>
      <c r="G23" s="216">
        <f t="shared" si="1"/>
        <v>40.995265883271557</v>
      </c>
      <c r="H23" s="216">
        <f t="shared" si="7"/>
        <v>2.4393060477943086E-2</v>
      </c>
      <c r="I23" s="217">
        <f t="shared" si="8"/>
        <v>0.2405666371103487</v>
      </c>
      <c r="J23" s="217">
        <f t="shared" si="9"/>
        <v>0.2649596975882918</v>
      </c>
      <c r="K23" s="195">
        <f t="shared" si="2"/>
        <v>0.264680970498131</v>
      </c>
      <c r="M23" s="218">
        <f t="shared" si="10"/>
        <v>0.264680970498131</v>
      </c>
      <c r="N23" s="218">
        <f>Calculations!F33</f>
        <v>0.61119378535171798</v>
      </c>
      <c r="O23" s="219">
        <f>Spectra!$C$10*$A23</f>
        <v>1787111537908.9507</v>
      </c>
      <c r="P23" s="219">
        <f t="shared" si="11"/>
        <v>289103471588.97186</v>
      </c>
      <c r="Q23" s="218">
        <f t="shared" si="3"/>
        <v>6.1636552981156854E-3</v>
      </c>
    </row>
    <row r="24" spans="1:17" x14ac:dyDescent="0.25">
      <c r="A24" s="214">
        <v>360</v>
      </c>
      <c r="C24" s="215">
        <f t="shared" si="0"/>
        <v>1.3333333333333333</v>
      </c>
      <c r="D24" s="216">
        <f t="shared" si="4"/>
        <v>2.2616992161912351E-14</v>
      </c>
      <c r="E24" s="216">
        <f t="shared" si="5"/>
        <v>9.9560183203073184E-6</v>
      </c>
      <c r="F24" s="217">
        <f t="shared" si="6"/>
        <v>30.479876124905431</v>
      </c>
      <c r="G24" s="216">
        <f t="shared" si="1"/>
        <v>31.153886080923773</v>
      </c>
      <c r="H24" s="216">
        <f t="shared" si="7"/>
        <v>3.2098724294055969E-2</v>
      </c>
      <c r="I24" s="217">
        <f t="shared" si="8"/>
        <v>0.22625012281614745</v>
      </c>
      <c r="J24" s="217">
        <f t="shared" si="9"/>
        <v>0.25834884711020345</v>
      </c>
      <c r="K24" s="195">
        <f t="shared" si="2"/>
        <v>0.25807707437247446</v>
      </c>
      <c r="M24" s="218">
        <f t="shared" si="10"/>
        <v>0.25807707437247446</v>
      </c>
      <c r="N24" s="218">
        <f>Calculations!F34</f>
        <v>0.63800000000000001</v>
      </c>
      <c r="O24" s="219">
        <f>Spectra!$C$10*$A24</f>
        <v>1812282122949.9219</v>
      </c>
      <c r="P24" s="219">
        <f t="shared" si="11"/>
        <v>298398002729.75293</v>
      </c>
      <c r="Q24" s="218">
        <f t="shared" si="3"/>
        <v>6.3618137145280106E-3</v>
      </c>
    </row>
    <row r="25" spans="1:17" x14ac:dyDescent="0.25">
      <c r="A25" s="214">
        <v>365</v>
      </c>
      <c r="C25" s="215">
        <f t="shared" si="0"/>
        <v>1.3150684931506849</v>
      </c>
      <c r="D25" s="216">
        <f t="shared" si="4"/>
        <v>8.0782539757921416E-14</v>
      </c>
      <c r="E25" s="216">
        <f t="shared" si="5"/>
        <v>1.6603155202571721E-5</v>
      </c>
      <c r="F25" s="217">
        <f t="shared" si="6"/>
        <v>23.217830695642938</v>
      </c>
      <c r="G25" s="216">
        <f t="shared" si="1"/>
        <v>23.891847298798222</v>
      </c>
      <c r="H25" s="216">
        <f t="shared" si="7"/>
        <v>4.1855281740826325E-2</v>
      </c>
      <c r="I25" s="217">
        <f t="shared" si="8"/>
        <v>0.20904555054205384</v>
      </c>
      <c r="J25" s="217">
        <f t="shared" si="9"/>
        <v>0.25090083228288018</v>
      </c>
      <c r="K25" s="195">
        <f t="shared" si="2"/>
        <v>0.25063689456126564</v>
      </c>
      <c r="M25" s="218">
        <f t="shared" si="10"/>
        <v>0.25063689456126564</v>
      </c>
      <c r="N25" s="218">
        <f>Calculations!F35</f>
        <v>0.66016864394484598</v>
      </c>
      <c r="O25" s="219">
        <f>Spectra!$C$10*$A25</f>
        <v>1837452707990.8928</v>
      </c>
      <c r="P25" s="219">
        <f t="shared" si="11"/>
        <v>304029736994.61877</v>
      </c>
      <c r="Q25" s="218">
        <f t="shared" si="3"/>
        <v>6.4818816907042751E-3</v>
      </c>
    </row>
    <row r="26" spans="1:17" x14ac:dyDescent="0.25">
      <c r="A26" s="214">
        <v>370</v>
      </c>
      <c r="C26" s="215">
        <f t="shared" si="0"/>
        <v>1.2972972972972974</v>
      </c>
      <c r="D26" s="216">
        <f t="shared" si="4"/>
        <v>2.7877728490516855E-13</v>
      </c>
      <c r="E26" s="216">
        <f t="shared" si="5"/>
        <v>2.7308178433346488E-5</v>
      </c>
      <c r="F26" s="217">
        <f t="shared" si="6"/>
        <v>17.816584370368954</v>
      </c>
      <c r="G26" s="216">
        <f t="shared" si="1"/>
        <v>18.490611678547666</v>
      </c>
      <c r="H26" s="216">
        <f t="shared" si="7"/>
        <v>5.4081499162095023E-2</v>
      </c>
      <c r="I26" s="217">
        <f t="shared" si="8"/>
        <v>0.1897543370170382</v>
      </c>
      <c r="J26" s="217">
        <f t="shared" si="9"/>
        <v>0.24383583617913324</v>
      </c>
      <c r="K26" s="195">
        <f t="shared" si="2"/>
        <v>0.24357933055313144</v>
      </c>
      <c r="M26" s="218">
        <f t="shared" si="10"/>
        <v>0.24357933055313144</v>
      </c>
      <c r="N26" s="218">
        <f>Calculations!F36</f>
        <v>0.68</v>
      </c>
      <c r="O26" s="219">
        <f>Spectra!$C$10*$A26</f>
        <v>1862623293031.864</v>
      </c>
      <c r="P26" s="219">
        <f t="shared" si="11"/>
        <v>308513643656.77203</v>
      </c>
      <c r="Q26" s="218">
        <f t="shared" si="3"/>
        <v>6.5774781043430918E-3</v>
      </c>
    </row>
    <row r="27" spans="1:17" x14ac:dyDescent="0.25">
      <c r="A27" s="214">
        <v>375</v>
      </c>
      <c r="C27" s="215">
        <f t="shared" si="0"/>
        <v>1.28</v>
      </c>
      <c r="D27" s="216">
        <f t="shared" si="4"/>
        <v>9.3079105621423466E-13</v>
      </c>
      <c r="E27" s="216">
        <f t="shared" si="5"/>
        <v>4.4323302651126792E-5</v>
      </c>
      <c r="F27" s="217">
        <f t="shared" si="6"/>
        <v>13.768728912232127</v>
      </c>
      <c r="G27" s="216">
        <f t="shared" si="1"/>
        <v>14.442773235535709</v>
      </c>
      <c r="H27" s="216">
        <f t="shared" si="7"/>
        <v>6.9238780093808502E-2</v>
      </c>
      <c r="I27" s="217">
        <f t="shared" si="8"/>
        <v>0.16921590140818971</v>
      </c>
      <c r="J27" s="217">
        <f t="shared" si="9"/>
        <v>0.23845468150199822</v>
      </c>
      <c r="K27" s="195">
        <f t="shared" si="2"/>
        <v>0.2382038366372311</v>
      </c>
      <c r="M27" s="218">
        <f t="shared" si="10"/>
        <v>0.2382038366372311</v>
      </c>
      <c r="N27" s="218">
        <f>Calculations!F37</f>
        <v>0.69988163886889698</v>
      </c>
      <c r="O27" s="219">
        <f>Spectra!$C$10*$A27</f>
        <v>1887793878072.8352</v>
      </c>
      <c r="P27" s="219">
        <f t="shared" si="11"/>
        <v>314722596572.86108</v>
      </c>
      <c r="Q27" s="218">
        <f t="shared" si="3"/>
        <v>6.7098523208361143E-3</v>
      </c>
    </row>
    <row r="28" spans="1:17" x14ac:dyDescent="0.25">
      <c r="A28" s="214">
        <v>380</v>
      </c>
      <c r="C28" s="215">
        <f t="shared" si="0"/>
        <v>1.263157894736842</v>
      </c>
      <c r="D28" s="216">
        <f t="shared" si="4"/>
        <v>3.0107050298924621E-12</v>
      </c>
      <c r="E28" s="216">
        <f t="shared" si="5"/>
        <v>7.1029089566236047E-5</v>
      </c>
      <c r="F28" s="217">
        <f t="shared" si="6"/>
        <v>10.712942945912012</v>
      </c>
      <c r="G28" s="216">
        <f t="shared" si="1"/>
        <v>11.387013975004589</v>
      </c>
      <c r="H28" s="216">
        <f t="shared" si="7"/>
        <v>8.7819335446068694E-2</v>
      </c>
      <c r="I28" s="217">
        <f t="shared" si="8"/>
        <v>0.14824815966039853</v>
      </c>
      <c r="J28" s="217">
        <f t="shared" si="9"/>
        <v>0.23606749510646724</v>
      </c>
      <c r="K28" s="195">
        <f t="shared" si="2"/>
        <v>0.23581916146708179</v>
      </c>
      <c r="M28" s="218">
        <f t="shared" si="10"/>
        <v>0.23581916146708179</v>
      </c>
      <c r="N28" s="218">
        <f>Calculations!F38</f>
        <v>0.71900000000000008</v>
      </c>
      <c r="O28" s="219">
        <f>Spectra!$C$10*$A28</f>
        <v>1912964463113.8064</v>
      </c>
      <c r="P28" s="219">
        <f t="shared" si="11"/>
        <v>324350732762.02557</v>
      </c>
      <c r="Q28" s="218">
        <f t="shared" si="3"/>
        <v>6.9151231614356873E-3</v>
      </c>
    </row>
    <row r="29" spans="1:17" x14ac:dyDescent="0.25">
      <c r="A29" s="214">
        <v>385</v>
      </c>
      <c r="C29" s="215">
        <f t="shared" si="0"/>
        <v>1.2467532467532467</v>
      </c>
      <c r="D29" s="216">
        <f t="shared" si="4"/>
        <v>9.4458760080480823E-12</v>
      </c>
      <c r="E29" s="216">
        <f t="shared" si="5"/>
        <v>1.1243998907477191E-4</v>
      </c>
      <c r="F29" s="217">
        <f t="shared" si="6"/>
        <v>8.3898561642832963</v>
      </c>
      <c r="G29" s="216">
        <f t="shared" si="1"/>
        <v>9.0639686042818166</v>
      </c>
      <c r="H29" s="216">
        <f t="shared" si="7"/>
        <v>0.11032694878572287</v>
      </c>
      <c r="I29" s="217">
        <f t="shared" si="8"/>
        <v>0.12759572618384443</v>
      </c>
      <c r="J29" s="217">
        <f t="shared" si="9"/>
        <v>0.23792267496956732</v>
      </c>
      <c r="K29" s="195">
        <f t="shared" si="2"/>
        <v>0.23767238975456612</v>
      </c>
      <c r="M29" s="218">
        <f t="shared" si="10"/>
        <v>0.23767238975456612</v>
      </c>
      <c r="N29" s="218">
        <f>Calculations!F39</f>
        <v>0.736179800579567</v>
      </c>
      <c r="O29" s="219">
        <f>Spectra!$C$10*$A29</f>
        <v>1938135048154.7776</v>
      </c>
      <c r="P29" s="219">
        <f t="shared" si="11"/>
        <v>339114738334.32782</v>
      </c>
      <c r="Q29" s="218">
        <f t="shared" si="3"/>
        <v>7.2298901916168692E-3</v>
      </c>
    </row>
    <row r="30" spans="1:17" x14ac:dyDescent="0.25">
      <c r="A30" s="214">
        <v>390</v>
      </c>
      <c r="C30" s="215">
        <f t="shared" si="0"/>
        <v>1.2307692307692308</v>
      </c>
      <c r="D30" s="216">
        <f t="shared" si="4"/>
        <v>2.8779523914150475E-11</v>
      </c>
      <c r="E30" s="216">
        <f t="shared" si="5"/>
        <v>1.7590992889983053E-4</v>
      </c>
      <c r="F30" s="217">
        <f t="shared" si="6"/>
        <v>6.6118370724276501</v>
      </c>
      <c r="G30" s="216">
        <f t="shared" si="1"/>
        <v>7.2860129823853299</v>
      </c>
      <c r="H30" s="216">
        <f t="shared" si="7"/>
        <v>0.13724927507233389</v>
      </c>
      <c r="I30" s="217">
        <f t="shared" si="8"/>
        <v>0.10789010686469826</v>
      </c>
      <c r="J30" s="217">
        <f t="shared" si="9"/>
        <v>0.24513938193703216</v>
      </c>
      <c r="K30" s="195">
        <f t="shared" si="2"/>
        <v>0.24488150503260842</v>
      </c>
      <c r="M30" s="218">
        <f t="shared" si="10"/>
        <v>0.24488150503260842</v>
      </c>
      <c r="N30" s="218">
        <f>Calculations!F40</f>
        <v>0.752</v>
      </c>
      <c r="O30" s="219">
        <f>Spectra!$C$10*$A30</f>
        <v>1963305633195.7485</v>
      </c>
      <c r="P30" s="219">
        <f t="shared" si="11"/>
        <v>361544483198.57184</v>
      </c>
      <c r="Q30" s="218">
        <f t="shared" si="3"/>
        <v>7.7080899690461571E-3</v>
      </c>
    </row>
    <row r="31" spans="1:17" x14ac:dyDescent="0.25">
      <c r="A31" s="214">
        <v>395</v>
      </c>
      <c r="C31" s="215">
        <f t="shared" si="0"/>
        <v>1.2151898734177216</v>
      </c>
      <c r="D31" s="216">
        <f t="shared" si="4"/>
        <v>8.5246355667049728E-11</v>
      </c>
      <c r="E31" s="216">
        <f t="shared" si="5"/>
        <v>2.7210665468927576E-4</v>
      </c>
      <c r="F31" s="217">
        <f t="shared" si="6"/>
        <v>5.2421363410707436</v>
      </c>
      <c r="G31" s="216">
        <f t="shared" si="1"/>
        <v>5.9164084478106798</v>
      </c>
      <c r="H31" s="216">
        <f t="shared" si="7"/>
        <v>0.16902146104703811</v>
      </c>
      <c r="I31" s="217">
        <f t="shared" si="8"/>
        <v>8.9624304138388303E-2</v>
      </c>
      <c r="J31" s="217">
        <f t="shared" si="9"/>
        <v>0.25864576518542642</v>
      </c>
      <c r="K31" s="195">
        <f t="shared" si="2"/>
        <v>0.25837368010166184</v>
      </c>
      <c r="M31" s="218">
        <f t="shared" si="10"/>
        <v>0.25837368010166184</v>
      </c>
      <c r="N31" s="218">
        <f>Calculations!F41</f>
        <v>0.76714915881283607</v>
      </c>
      <c r="O31" s="219">
        <f>Spectra!$C$10*$A31</f>
        <v>1988476218236.7197</v>
      </c>
      <c r="P31" s="219">
        <f t="shared" si="11"/>
        <v>394138160647.53473</v>
      </c>
      <c r="Q31" s="218">
        <f t="shared" si="3"/>
        <v>8.4029837093018769E-3</v>
      </c>
    </row>
    <row r="32" spans="1:17" x14ac:dyDescent="0.25">
      <c r="A32" s="214">
        <v>400</v>
      </c>
      <c r="C32" s="215">
        <f t="shared" si="0"/>
        <v>1.2</v>
      </c>
      <c r="D32" s="216">
        <f t="shared" si="4"/>
        <v>2.4574134598359971E-10</v>
      </c>
      <c r="E32" s="216">
        <f t="shared" si="5"/>
        <v>4.1634346555562574E-4</v>
      </c>
      <c r="F32" s="217">
        <f t="shared" si="6"/>
        <v>4.1803710059405192</v>
      </c>
      <c r="G32" s="216">
        <f t="shared" si="1"/>
        <v>4.8547873496518168</v>
      </c>
      <c r="H32" s="216">
        <f t="shared" si="7"/>
        <v>0.20598224556050215</v>
      </c>
      <c r="I32" s="217">
        <f t="shared" si="8"/>
        <v>7.3142305981319114E-2</v>
      </c>
      <c r="J32" s="217">
        <f t="shared" si="9"/>
        <v>0.27912455154182125</v>
      </c>
      <c r="K32" s="195">
        <f t="shared" si="2"/>
        <v>0.27883092358726125</v>
      </c>
      <c r="M32" s="218">
        <f t="shared" si="10"/>
        <v>0.27883092358726125</v>
      </c>
      <c r="N32" s="218">
        <f>Calculations!F42</f>
        <v>0.78099999999999992</v>
      </c>
      <c r="O32" s="219">
        <f>Spectra!$C$10*$A32</f>
        <v>2013646803277.6909</v>
      </c>
      <c r="P32" s="219">
        <f t="shared" si="11"/>
        <v>438505725388.37103</v>
      </c>
      <c r="Q32" s="218">
        <f t="shared" si="3"/>
        <v>9.3488954756889044E-3</v>
      </c>
    </row>
    <row r="33" spans="1:17" x14ac:dyDescent="0.25">
      <c r="A33" s="214">
        <v>405</v>
      </c>
      <c r="C33" s="215">
        <f t="shared" si="0"/>
        <v>1.1851851851851851</v>
      </c>
      <c r="D33" s="216">
        <f t="shared" si="4"/>
        <v>6.9012458294367692E-10</v>
      </c>
      <c r="E33" s="216">
        <f t="shared" si="5"/>
        <v>6.3038161417012975E-4</v>
      </c>
      <c r="F33" s="217">
        <f t="shared" si="6"/>
        <v>3.3523421783592484</v>
      </c>
      <c r="G33" s="216">
        <f t="shared" si="1"/>
        <v>4.0269725606635429</v>
      </c>
      <c r="H33" s="216">
        <f t="shared" si="7"/>
        <v>0.24832550630422606</v>
      </c>
      <c r="I33" s="217">
        <f t="shared" si="8"/>
        <v>5.8642189651652077E-2</v>
      </c>
      <c r="J33" s="217">
        <f t="shared" si="9"/>
        <v>0.30696769595587814</v>
      </c>
      <c r="K33" s="195">
        <f t="shared" si="2"/>
        <v>0.306644778118011</v>
      </c>
      <c r="M33" s="218">
        <f t="shared" si="10"/>
        <v>0.306644778118011</v>
      </c>
      <c r="N33" s="218">
        <f>Calculations!F43</f>
        <v>0.792848564169089</v>
      </c>
      <c r="O33" s="219">
        <f>Spectra!$C$10*$A33</f>
        <v>2038817388318.6621</v>
      </c>
      <c r="P33" s="219">
        <f t="shared" si="11"/>
        <v>495683139014.78448</v>
      </c>
      <c r="Q33" s="218">
        <f t="shared" si="3"/>
        <v>1.0567911859317965E-2</v>
      </c>
    </row>
    <row r="34" spans="1:17" x14ac:dyDescent="0.25">
      <c r="A34" s="214">
        <v>410</v>
      </c>
      <c r="C34" s="215">
        <f t="shared" si="0"/>
        <v>1.1707317073170731</v>
      </c>
      <c r="D34" s="216">
        <f t="shared" si="4"/>
        <v>1.8899006559663835E-9</v>
      </c>
      <c r="E34" s="216">
        <f t="shared" si="5"/>
        <v>9.4484675761123205E-4</v>
      </c>
      <c r="F34" s="217">
        <f t="shared" si="6"/>
        <v>2.7028382890238913</v>
      </c>
      <c r="G34" s="216">
        <f t="shared" si="1"/>
        <v>3.3777831376714031</v>
      </c>
      <c r="H34" s="216">
        <f t="shared" si="7"/>
        <v>0.29605216180023508</v>
      </c>
      <c r="I34" s="217">
        <f t="shared" si="8"/>
        <v>4.6190257789614539E-2</v>
      </c>
      <c r="J34" s="217">
        <f t="shared" si="9"/>
        <v>0.34224241958984963</v>
      </c>
      <c r="K34" s="195">
        <f t="shared" si="2"/>
        <v>0.34188239414216781</v>
      </c>
      <c r="M34" s="218">
        <f t="shared" si="10"/>
        <v>0.34188239414216781</v>
      </c>
      <c r="N34" s="218">
        <f>Calculations!F44</f>
        <v>0.80299999999999994</v>
      </c>
      <c r="O34" s="219">
        <f>Spectra!$C$10*$A34</f>
        <v>2063987973359.6331</v>
      </c>
      <c r="P34" s="219">
        <f t="shared" si="11"/>
        <v>566629843299.70422</v>
      </c>
      <c r="Q34" s="218">
        <f t="shared" si="3"/>
        <v>1.2080488056850811E-2</v>
      </c>
    </row>
    <row r="35" spans="1:17" x14ac:dyDescent="0.25">
      <c r="A35" s="214">
        <v>415</v>
      </c>
      <c r="C35" s="215">
        <f t="shared" si="0"/>
        <v>1.1566265060240963</v>
      </c>
      <c r="D35" s="216">
        <f t="shared" si="4"/>
        <v>5.0513563674089212E-9</v>
      </c>
      <c r="E35" s="216">
        <f t="shared" si="5"/>
        <v>1.4024393458411477E-3</v>
      </c>
      <c r="F35" s="217">
        <f t="shared" si="6"/>
        <v>2.1905111967413671</v>
      </c>
      <c r="G35" s="216">
        <f t="shared" si="1"/>
        <v>2.8659136411385644</v>
      </c>
      <c r="H35" s="216">
        <f t="shared" si="7"/>
        <v>0.34892886709688919</v>
      </c>
      <c r="I35" s="217">
        <f t="shared" si="8"/>
        <v>3.5742857702985256E-2</v>
      </c>
      <c r="J35" s="217">
        <f t="shared" si="9"/>
        <v>0.38467172479987444</v>
      </c>
      <c r="K35" s="195">
        <f t="shared" si="2"/>
        <v>0.38426706540640243</v>
      </c>
      <c r="M35" s="218">
        <f t="shared" si="10"/>
        <v>0.38426706540640243</v>
      </c>
      <c r="N35" s="218">
        <f>Calculations!F45</f>
        <v>0.81195658451080899</v>
      </c>
      <c r="O35" s="219">
        <f>Spectra!$C$10*$A35</f>
        <v>2089158558400.6042</v>
      </c>
      <c r="P35" s="219">
        <f t="shared" si="11"/>
        <v>651834546934.8844</v>
      </c>
      <c r="Q35" s="218">
        <f t="shared" si="3"/>
        <v>1.3897043285672173E-2</v>
      </c>
    </row>
    <row r="36" spans="1:17" x14ac:dyDescent="0.25">
      <c r="A36" s="214">
        <v>420</v>
      </c>
      <c r="C36" s="215">
        <f t="shared" si="0"/>
        <v>1.1428571428571428</v>
      </c>
      <c r="D36" s="216">
        <f t="shared" si="4"/>
        <v>1.3188977034313883E-8</v>
      </c>
      <c r="E36" s="216">
        <f t="shared" si="5"/>
        <v>2.0621626845820445E-3</v>
      </c>
      <c r="F36" s="217">
        <f t="shared" si="6"/>
        <v>1.7842023071039086</v>
      </c>
      <c r="G36" s="216">
        <f t="shared" si="1"/>
        <v>2.4602644829774678</v>
      </c>
      <c r="H36" s="216">
        <f t="shared" si="7"/>
        <v>0.40646036510260775</v>
      </c>
      <c r="I36" s="217">
        <f t="shared" si="8"/>
        <v>2.7172327250351614E-2</v>
      </c>
      <c r="J36" s="217">
        <f t="shared" si="9"/>
        <v>0.43363269235295937</v>
      </c>
      <c r="K36" s="195">
        <f t="shared" si="2"/>
        <v>0.43317652796404188</v>
      </c>
      <c r="M36" s="218">
        <f t="shared" si="10"/>
        <v>0.43317652796404188</v>
      </c>
      <c r="N36" s="218">
        <f>Calculations!F46</f>
        <v>0.82</v>
      </c>
      <c r="O36" s="219">
        <f>Spectra!$C$10*$A36</f>
        <v>2114329143441.5754</v>
      </c>
      <c r="P36" s="219">
        <f t="shared" si="11"/>
        <v>751019761009.95081</v>
      </c>
      <c r="Q36" s="218">
        <f t="shared" si="3"/>
        <v>1.601166151169503E-2</v>
      </c>
    </row>
    <row r="37" spans="1:17" x14ac:dyDescent="0.25">
      <c r="A37" s="214">
        <v>425</v>
      </c>
      <c r="C37" s="215">
        <f t="shared" si="0"/>
        <v>1.1294117647058823</v>
      </c>
      <c r="D37" s="216">
        <f t="shared" si="4"/>
        <v>3.3667206567713297E-8</v>
      </c>
      <c r="E37" s="216">
        <f t="shared" si="5"/>
        <v>3.004844643203003E-3</v>
      </c>
      <c r="F37" s="217">
        <f t="shared" si="6"/>
        <v>1.4602903621297216</v>
      </c>
      <c r="G37" s="216">
        <f t="shared" si="1"/>
        <v>2.1372952404401313</v>
      </c>
      <c r="H37" s="216">
        <f t="shared" si="7"/>
        <v>0.46788107748467678</v>
      </c>
      <c r="I37" s="217">
        <f t="shared" si="8"/>
        <v>2.0293786111423285E-2</v>
      </c>
      <c r="J37" s="217">
        <f t="shared" si="9"/>
        <v>0.48817486359610007</v>
      </c>
      <c r="K37" s="195">
        <f t="shared" si="2"/>
        <v>0.48766132300687731</v>
      </c>
      <c r="M37" s="218">
        <f t="shared" si="10"/>
        <v>0.48766132300687731</v>
      </c>
      <c r="N37" s="218">
        <f>Calculations!F47</f>
        <v>0.82745009778767498</v>
      </c>
      <c r="O37" s="219">
        <f>Spectra!$C$10*$A37</f>
        <v>2139499728482.5466</v>
      </c>
      <c r="P37" s="219">
        <f t="shared" si="11"/>
        <v>863321108869.73718</v>
      </c>
      <c r="Q37" s="218">
        <f t="shared" si="3"/>
        <v>1.8405914316468024E-2</v>
      </c>
    </row>
    <row r="38" spans="1:17" x14ac:dyDescent="0.25">
      <c r="A38" s="214">
        <v>430</v>
      </c>
      <c r="C38" s="215">
        <f t="shared" si="0"/>
        <v>1.1162790697674418</v>
      </c>
      <c r="D38" s="216">
        <f t="shared" si="4"/>
        <v>8.4088776337430279E-8</v>
      </c>
      <c r="E38" s="216">
        <f t="shared" si="5"/>
        <v>4.3402906915702795E-3</v>
      </c>
      <c r="F38" s="217">
        <f t="shared" si="6"/>
        <v>1.2007641424832662</v>
      </c>
      <c r="G38" s="216">
        <f t="shared" si="1"/>
        <v>1.8791045172636127</v>
      </c>
      <c r="H38" s="216">
        <f t="shared" si="7"/>
        <v>0.53216837637973369</v>
      </c>
      <c r="I38" s="217">
        <f t="shared" si="8"/>
        <v>1.4890113195848372E-2</v>
      </c>
      <c r="J38" s="217">
        <f t="shared" si="9"/>
        <v>0.54705848957558201</v>
      </c>
      <c r="K38" s="195">
        <f t="shared" si="2"/>
        <v>0.54648300574790909</v>
      </c>
      <c r="M38" s="218">
        <f t="shared" si="10"/>
        <v>0.54648300574790909</v>
      </c>
      <c r="N38" s="218">
        <f>Calculations!F48</f>
        <v>0.83499999999999996</v>
      </c>
      <c r="O38" s="219">
        <f>Spectra!$C$10*$A38</f>
        <v>2164670313523.5178</v>
      </c>
      <c r="P38" s="219">
        <f t="shared" si="11"/>
        <v>987767875388.64661</v>
      </c>
      <c r="Q38" s="218">
        <f t="shared" si="3"/>
        <v>2.1059106156648268E-2</v>
      </c>
    </row>
    <row r="39" spans="1:17" x14ac:dyDescent="0.25">
      <c r="A39" s="214">
        <v>435</v>
      </c>
      <c r="C39" s="215">
        <f t="shared" si="0"/>
        <v>1.103448275862069</v>
      </c>
      <c r="D39" s="216">
        <f t="shared" si="4"/>
        <v>2.0565076963559921E-7</v>
      </c>
      <c r="E39" s="216">
        <f t="shared" si="5"/>
        <v>6.2164782884973468E-3</v>
      </c>
      <c r="F39" s="217">
        <f t="shared" si="6"/>
        <v>0.99181300781199999</v>
      </c>
      <c r="G39" s="216">
        <f t="shared" si="1"/>
        <v>1.6720296917512671</v>
      </c>
      <c r="H39" s="216">
        <f t="shared" si="7"/>
        <v>0.59807550364288686</v>
      </c>
      <c r="I39" s="217">
        <f t="shared" si="8"/>
        <v>1.0733258721292575E-2</v>
      </c>
      <c r="J39" s="217">
        <f t="shared" si="9"/>
        <v>0.60880876236417947</v>
      </c>
      <c r="K39" s="195">
        <f t="shared" si="2"/>
        <v>0.60816831969934126</v>
      </c>
      <c r="M39" s="218">
        <f t="shared" si="10"/>
        <v>0.60816831969934126</v>
      </c>
      <c r="N39" s="218">
        <f>Calculations!F49</f>
        <v>0.84311802433849192</v>
      </c>
      <c r="O39" s="219">
        <f>Spectra!$C$10*$A39</f>
        <v>2189840898564.4888</v>
      </c>
      <c r="P39" s="219">
        <f t="shared" si="11"/>
        <v>1122857721570.9585</v>
      </c>
      <c r="Q39" s="218">
        <f t="shared" si="3"/>
        <v>2.39392073244649E-2</v>
      </c>
    </row>
    <row r="40" spans="1:17" x14ac:dyDescent="0.25">
      <c r="A40" s="214">
        <v>440</v>
      </c>
      <c r="C40" s="215">
        <f t="shared" si="0"/>
        <v>1.0909090909090908</v>
      </c>
      <c r="D40" s="216">
        <f t="shared" si="4"/>
        <v>4.928281969137285E-7</v>
      </c>
      <c r="E40" s="216">
        <f t="shared" si="5"/>
        <v>8.8312867917432099E-3</v>
      </c>
      <c r="F40" s="217">
        <f t="shared" si="6"/>
        <v>0.82278977738960613</v>
      </c>
      <c r="G40" s="216">
        <f t="shared" si="1"/>
        <v>1.5056215570095461</v>
      </c>
      <c r="H40" s="216">
        <f t="shared" si="7"/>
        <v>0.66417752545081266</v>
      </c>
      <c r="I40" s="217">
        <f t="shared" si="8"/>
        <v>7.6008799779546162E-3</v>
      </c>
      <c r="J40" s="217">
        <f t="shared" si="9"/>
        <v>0.67177840542876732</v>
      </c>
      <c r="K40" s="195">
        <f t="shared" si="2"/>
        <v>0.67107172119760938</v>
      </c>
      <c r="M40" s="218">
        <f t="shared" si="10"/>
        <v>0.67107172119760938</v>
      </c>
      <c r="N40" s="218">
        <f>Calculations!F50</f>
        <v>0.85099999999999998</v>
      </c>
      <c r="O40" s="219">
        <f>Spectra!$C$10*$A40</f>
        <v>2215011483605.46</v>
      </c>
      <c r="P40" s="219">
        <f t="shared" si="11"/>
        <v>1264953265028.0239</v>
      </c>
      <c r="Q40" s="218">
        <f t="shared" si="3"/>
        <v>2.6968669213850174E-2</v>
      </c>
    </row>
    <row r="41" spans="1:17" x14ac:dyDescent="0.25">
      <c r="A41" s="214">
        <v>445</v>
      </c>
      <c r="C41" s="215">
        <f t="shared" si="0"/>
        <v>1.0786516853932584</v>
      </c>
      <c r="D41" s="216">
        <f t="shared" si="4"/>
        <v>1.1580603735172971E-6</v>
      </c>
      <c r="E41" s="216">
        <f t="shared" si="5"/>
        <v>1.2447354221169498E-2</v>
      </c>
      <c r="F41" s="217">
        <f t="shared" si="6"/>
        <v>0.68544303206587032</v>
      </c>
      <c r="G41" s="216">
        <f t="shared" si="1"/>
        <v>1.3718915443474133</v>
      </c>
      <c r="H41" s="216">
        <f t="shared" si="7"/>
        <v>0.72892059443057788</v>
      </c>
      <c r="I41" s="217">
        <f t="shared" si="8"/>
        <v>5.2880411961495196E-3</v>
      </c>
      <c r="J41" s="217">
        <f t="shared" si="9"/>
        <v>0.73420863562672745</v>
      </c>
      <c r="K41" s="195">
        <f t="shared" si="2"/>
        <v>0.73343627727018545</v>
      </c>
      <c r="M41" s="218">
        <f t="shared" si="10"/>
        <v>0.73343627727018545</v>
      </c>
      <c r="N41" s="218">
        <f>Calculations!F51</f>
        <v>0.85782780485835697</v>
      </c>
      <c r="O41" s="219">
        <f>Spectra!$C$10*$A41</f>
        <v>2240182068646.4312</v>
      </c>
      <c r="P41" s="219">
        <f t="shared" si="11"/>
        <v>1409437501764.041</v>
      </c>
      <c r="Q41" s="218">
        <f t="shared" si="3"/>
        <v>3.0049057790152982E-2</v>
      </c>
    </row>
    <row r="42" spans="1:17" x14ac:dyDescent="0.25">
      <c r="A42" s="214">
        <v>450</v>
      </c>
      <c r="C42" s="215">
        <f t="shared" si="0"/>
        <v>1.0666666666666667</v>
      </c>
      <c r="D42" s="216">
        <f t="shared" si="4"/>
        <v>2.670063671310278E-6</v>
      </c>
      <c r="E42" s="216">
        <f t="shared" si="5"/>
        <v>1.7410763593845805E-2</v>
      </c>
      <c r="F42" s="217">
        <f t="shared" si="6"/>
        <v>0.57334556333805875</v>
      </c>
      <c r="G42" s="216">
        <f t="shared" si="1"/>
        <v>1.2647589969955759</v>
      </c>
      <c r="H42" s="216">
        <f t="shared" si="7"/>
        <v>0.79066446838922777</v>
      </c>
      <c r="I42" s="217">
        <f t="shared" si="8"/>
        <v>3.6143022074256108E-3</v>
      </c>
      <c r="J42" s="217">
        <f t="shared" si="9"/>
        <v>0.79427877059665342</v>
      </c>
      <c r="K42" s="195">
        <f t="shared" si="2"/>
        <v>0.7934432208412755</v>
      </c>
      <c r="M42" s="218">
        <f t="shared" si="10"/>
        <v>0.7934432208412755</v>
      </c>
      <c r="N42" s="218">
        <f>Calculations!F52</f>
        <v>0.8640000000000001</v>
      </c>
      <c r="O42" s="219">
        <f>Spectra!$C$10*$A42</f>
        <v>2265352653687.4023</v>
      </c>
      <c r="P42" s="219">
        <f t="shared" si="11"/>
        <v>1552978401882.9668</v>
      </c>
      <c r="Q42" s="218">
        <f t="shared" si="3"/>
        <v>3.3109334530005391E-2</v>
      </c>
    </row>
    <row r="43" spans="1:17" x14ac:dyDescent="0.25">
      <c r="A43" s="214">
        <v>455</v>
      </c>
      <c r="C43" s="215">
        <f t="shared" si="0"/>
        <v>1.054945054945055</v>
      </c>
      <c r="D43" s="216">
        <f t="shared" si="4"/>
        <v>6.0441971080045559E-6</v>
      </c>
      <c r="E43" s="216">
        <f t="shared" si="5"/>
        <v>2.4174388360444023E-2</v>
      </c>
      <c r="F43" s="217">
        <f t="shared" si="6"/>
        <v>0.48146647260109954</v>
      </c>
      <c r="G43" s="216">
        <f t="shared" si="1"/>
        <v>1.1796469051586516</v>
      </c>
      <c r="H43" s="216">
        <f t="shared" si="7"/>
        <v>0.84771129024028535</v>
      </c>
      <c r="I43" s="217">
        <f t="shared" si="8"/>
        <v>2.4269049880387104E-3</v>
      </c>
      <c r="J43" s="217">
        <f t="shared" si="9"/>
        <v>0.85013819522832401</v>
      </c>
      <c r="K43" s="195">
        <f t="shared" si="2"/>
        <v>0.84924388357433533</v>
      </c>
      <c r="M43" s="218">
        <f t="shared" si="10"/>
        <v>0.84924388357433533</v>
      </c>
      <c r="N43" s="218">
        <f>Calculations!F53</f>
        <v>0.87007075622808105</v>
      </c>
      <c r="O43" s="219">
        <f>Spectra!$C$10*$A43</f>
        <v>2290523238728.3735</v>
      </c>
      <c r="P43" s="219">
        <f t="shared" si="11"/>
        <v>1692472816011.3337</v>
      </c>
      <c r="Q43" s="218">
        <f t="shared" si="3"/>
        <v>3.6083340618463064E-2</v>
      </c>
    </row>
    <row r="44" spans="1:17" x14ac:dyDescent="0.25">
      <c r="A44" s="214">
        <v>460</v>
      </c>
      <c r="C44" s="215">
        <f t="shared" ref="C44:C75" si="12">$C$4/A44</f>
        <v>1.0434782608695652</v>
      </c>
      <c r="D44" s="216">
        <f t="shared" si="4"/>
        <v>1.3441328851924974E-5</v>
      </c>
      <c r="E44" s="216">
        <f t="shared" si="5"/>
        <v>3.3326869870537332E-2</v>
      </c>
      <c r="F44" s="217">
        <f t="shared" si="6"/>
        <v>0.40584907983011115</v>
      </c>
      <c r="G44" s="216">
        <f t="shared" ref="G44:G75" si="13">D44+E44+F44+$G$4</f>
        <v>1.1131893910295005</v>
      </c>
      <c r="H44" s="216">
        <f t="shared" si="7"/>
        <v>0.89831973611891802</v>
      </c>
      <c r="I44" s="217">
        <f t="shared" si="8"/>
        <v>1.6009573551553529E-3</v>
      </c>
      <c r="J44" s="217">
        <f t="shared" si="9"/>
        <v>0.89992069347407333</v>
      </c>
      <c r="K44" s="195">
        <f t="shared" si="2"/>
        <v>0.89897401260694287</v>
      </c>
      <c r="M44" s="218">
        <f t="shared" si="10"/>
        <v>0.89897401260694287</v>
      </c>
      <c r="N44" s="218">
        <f>Calculations!F54</f>
        <v>0.87599999999999989</v>
      </c>
      <c r="O44" s="219">
        <f>Spectra!$C$10*$A44</f>
        <v>2315693823769.3447</v>
      </c>
      <c r="P44" s="219">
        <f t="shared" si="11"/>
        <v>1823611746201.3853</v>
      </c>
      <c r="Q44" s="218">
        <f t="shared" ref="Q44:Q75" si="14">P44/SUM(P$12:P$108)</f>
        <v>3.8879208677094726E-2</v>
      </c>
    </row>
    <row r="45" spans="1:17" x14ac:dyDescent="0.25">
      <c r="A45" s="214">
        <v>465</v>
      </c>
      <c r="C45" s="215">
        <f t="shared" si="12"/>
        <v>1.032258064516129</v>
      </c>
      <c r="D45" s="216">
        <f t="shared" si="4"/>
        <v>2.9381989628295421E-5</v>
      </c>
      <c r="E45" s="216">
        <f t="shared" si="5"/>
        <v>4.5628360889927708E-2</v>
      </c>
      <c r="F45" s="217">
        <f t="shared" si="6"/>
        <v>0.34336720405340471</v>
      </c>
      <c r="G45" s="216">
        <f t="shared" si="13"/>
        <v>1.0630249469329607</v>
      </c>
      <c r="H45" s="216">
        <f t="shared" si="7"/>
        <v>0.94071169532304932</v>
      </c>
      <c r="I45" s="217">
        <f t="shared" si="8"/>
        <v>1.037541391347314E-3</v>
      </c>
      <c r="J45" s="217">
        <f t="shared" si="9"/>
        <v>0.94174923671439659</v>
      </c>
      <c r="K45" s="195">
        <f t="shared" si="2"/>
        <v>0.94075855387923413</v>
      </c>
      <c r="M45" s="218">
        <f t="shared" si="10"/>
        <v>0.94075855387923413</v>
      </c>
      <c r="N45" s="218">
        <f>Calculations!F55</f>
        <v>0.88163917022932092</v>
      </c>
      <c r="O45" s="219">
        <f>Spectra!$C$10*$A45</f>
        <v>2340864408810.3154</v>
      </c>
      <c r="P45" s="219">
        <f t="shared" si="11"/>
        <v>1941535391495.7158</v>
      </c>
      <c r="Q45" s="218">
        <f t="shared" si="14"/>
        <v>4.1393328265824154E-2</v>
      </c>
    </row>
    <row r="46" spans="1:17" x14ac:dyDescent="0.25">
      <c r="A46" s="214">
        <v>470</v>
      </c>
      <c r="C46" s="215">
        <f t="shared" si="12"/>
        <v>1.0212765957446808</v>
      </c>
      <c r="D46" s="216">
        <f t="shared" si="4"/>
        <v>6.3167521094375847E-5</v>
      </c>
      <c r="E46" s="216">
        <f t="shared" si="5"/>
        <v>6.205434901851449E-2</v>
      </c>
      <c r="F46" s="217">
        <f t="shared" si="6"/>
        <v>0.29153980698076282</v>
      </c>
      <c r="G46" s="216">
        <f t="shared" si="13"/>
        <v>1.0276573235203719</v>
      </c>
      <c r="H46" s="216">
        <f t="shared" si="7"/>
        <v>0.97308701754235727</v>
      </c>
      <c r="I46" s="217">
        <f t="shared" si="8"/>
        <v>6.6058662633175513E-4</v>
      </c>
      <c r="J46" s="217">
        <f t="shared" si="9"/>
        <v>0.973747604168689</v>
      </c>
      <c r="K46" s="195">
        <f t="shared" si="2"/>
        <v>0.97272326032043055</v>
      </c>
      <c r="M46" s="218">
        <f t="shared" si="10"/>
        <v>0.97272326032043055</v>
      </c>
      <c r="N46" s="218">
        <f>Calculations!F56</f>
        <v>0.88700000000000001</v>
      </c>
      <c r="O46" s="219">
        <f>Spectra!$C$10*$A46</f>
        <v>2366034993851.2866</v>
      </c>
      <c r="P46" s="219">
        <f t="shared" si="11"/>
        <v>2041428081373.8618</v>
      </c>
      <c r="Q46" s="218">
        <f t="shared" si="14"/>
        <v>4.3523029800802013E-2</v>
      </c>
    </row>
    <row r="47" spans="1:17" x14ac:dyDescent="0.25">
      <c r="A47" s="214">
        <v>475</v>
      </c>
      <c r="C47" s="215">
        <f t="shared" si="12"/>
        <v>1.0105263157894737</v>
      </c>
      <c r="D47" s="216">
        <f t="shared" si="4"/>
        <v>1.3363133475761258E-4</v>
      </c>
      <c r="E47" s="216">
        <f t="shared" si="5"/>
        <v>8.3849073345872396E-2</v>
      </c>
      <c r="F47" s="217">
        <f t="shared" si="6"/>
        <v>0.24838932752107254</v>
      </c>
      <c r="G47" s="216">
        <f t="shared" si="13"/>
        <v>1.0063720322017025</v>
      </c>
      <c r="H47" s="216">
        <f t="shared" si="7"/>
        <v>0.99366831350851237</v>
      </c>
      <c r="I47" s="217">
        <f t="shared" si="8"/>
        <v>4.1319285307886102E-4</v>
      </c>
      <c r="J47" s="217">
        <f t="shared" si="9"/>
        <v>0.99408150636159121</v>
      </c>
      <c r="K47" s="195">
        <f t="shared" si="2"/>
        <v>0.99303577205492943</v>
      </c>
      <c r="M47" s="218">
        <f t="shared" si="10"/>
        <v>0.99303577205492943</v>
      </c>
      <c r="N47" s="218">
        <f>Calculations!F57</f>
        <v>0.89199756285463494</v>
      </c>
      <c r="O47" s="219">
        <f>Spectra!$C$10*$A47</f>
        <v>2391205578892.2578</v>
      </c>
      <c r="P47" s="219">
        <f t="shared" si="11"/>
        <v>2118095201804.1228</v>
      </c>
      <c r="Q47" s="218">
        <f t="shared" si="14"/>
        <v>4.5157564662780744E-2</v>
      </c>
    </row>
    <row r="48" spans="1:17" x14ac:dyDescent="0.25">
      <c r="A48" s="214">
        <v>480</v>
      </c>
      <c r="C48" s="215">
        <f t="shared" si="12"/>
        <v>1</v>
      </c>
      <c r="D48" s="216">
        <f t="shared" si="4"/>
        <v>2.7831929164407468E-4</v>
      </c>
      <c r="E48" s="216">
        <f t="shared" si="5"/>
        <v>0.11259026764556181</v>
      </c>
      <c r="F48" s="217">
        <f t="shared" si="6"/>
        <v>0.21233288999837557</v>
      </c>
      <c r="G48" s="216">
        <f t="shared" si="13"/>
        <v>0.99920147693558148</v>
      </c>
      <c r="H48" s="216">
        <f t="shared" si="7"/>
        <v>1.0007991612130793</v>
      </c>
      <c r="I48" s="217">
        <f t="shared" si="8"/>
        <v>2.5390689996343188E-4</v>
      </c>
      <c r="J48" s="217">
        <f t="shared" si="9"/>
        <v>1.0010530681130427</v>
      </c>
      <c r="K48" s="195">
        <f t="shared" si="2"/>
        <v>1</v>
      </c>
      <c r="M48" s="218">
        <f t="shared" si="10"/>
        <v>1</v>
      </c>
      <c r="N48" s="218">
        <f>Calculations!F58</f>
        <v>0.89599999999999991</v>
      </c>
      <c r="O48" s="219">
        <f>Spectra!$C$10*$A48</f>
        <v>2416376163933.229</v>
      </c>
      <c r="P48" s="219">
        <f t="shared" si="11"/>
        <v>2165073042884.1729</v>
      </c>
      <c r="Q48" s="218">
        <f t="shared" si="14"/>
        <v>4.6159127243387721E-2</v>
      </c>
    </row>
    <row r="49" spans="1:17" x14ac:dyDescent="0.25">
      <c r="A49" s="214">
        <v>485</v>
      </c>
      <c r="C49" s="215">
        <f t="shared" si="12"/>
        <v>0.98969072164948457</v>
      </c>
      <c r="D49" s="216">
        <f t="shared" si="4"/>
        <v>5.7096372957730879E-4</v>
      </c>
      <c r="E49" s="216">
        <f t="shared" si="5"/>
        <v>0.15026720451696776</v>
      </c>
      <c r="F49" s="217">
        <f t="shared" si="6"/>
        <v>0.18209836927009695</v>
      </c>
      <c r="G49" s="216">
        <f t="shared" si="13"/>
        <v>1.0069365375166419</v>
      </c>
      <c r="H49" s="216">
        <f t="shared" si="7"/>
        <v>0.99311124657989946</v>
      </c>
      <c r="I49" s="217">
        <f t="shared" si="8"/>
        <v>1.5328331468796426E-4</v>
      </c>
      <c r="J49" s="217">
        <f t="shared" si="9"/>
        <v>0.99326452989458747</v>
      </c>
      <c r="K49" s="195">
        <f t="shared" si="2"/>
        <v>0.99221965501475717</v>
      </c>
      <c r="M49" s="218">
        <f t="shared" si="10"/>
        <v>0.99221965501475717</v>
      </c>
      <c r="N49" s="218">
        <f>Calculations!F59</f>
        <v>0.89874557835213809</v>
      </c>
      <c r="O49" s="219">
        <f>Spectra!$C$10*$A49</f>
        <v>2441546748974.2002</v>
      </c>
      <c r="P49" s="219">
        <f t="shared" si="11"/>
        <v>2177256705665.4092</v>
      </c>
      <c r="Q49" s="218">
        <f t="shared" si="14"/>
        <v>4.6418881639415141E-2</v>
      </c>
    </row>
    <row r="50" spans="1:17" x14ac:dyDescent="0.25">
      <c r="A50" s="214">
        <v>490</v>
      </c>
      <c r="C50" s="215">
        <f t="shared" si="12"/>
        <v>0.97959183673469385</v>
      </c>
      <c r="D50" s="216">
        <f t="shared" si="4"/>
        <v>1.1542637401951977E-3</v>
      </c>
      <c r="E50" s="216">
        <f t="shared" si="5"/>
        <v>0.19937427764008411</v>
      </c>
      <c r="F50" s="217">
        <f t="shared" si="6"/>
        <v>0.15665934115051997</v>
      </c>
      <c r="G50" s="216">
        <f t="shared" si="13"/>
        <v>1.0311878825307992</v>
      </c>
      <c r="H50" s="216">
        <f t="shared" si="7"/>
        <v>0.96975538303043662</v>
      </c>
      <c r="I50" s="217">
        <f t="shared" si="8"/>
        <v>9.0910478080010308E-5</v>
      </c>
      <c r="J50" s="217">
        <f t="shared" si="9"/>
        <v>0.96984629350851659</v>
      </c>
      <c r="K50" s="195">
        <f t="shared" si="2"/>
        <v>0.96882605368429664</v>
      </c>
      <c r="M50" s="218">
        <f t="shared" si="10"/>
        <v>0.96882605368429664</v>
      </c>
      <c r="N50" s="218">
        <f>Calculations!F60</f>
        <v>0.90200000000000002</v>
      </c>
      <c r="O50" s="219">
        <f>Spectra!$C$10*$A50</f>
        <v>2466717334015.1714</v>
      </c>
      <c r="P50" s="219">
        <f t="shared" si="11"/>
        <v>2155617658282.248</v>
      </c>
      <c r="Q50" s="218">
        <f t="shared" si="14"/>
        <v>4.5957539448273889E-2</v>
      </c>
    </row>
    <row r="51" spans="1:17" x14ac:dyDescent="0.25">
      <c r="A51" s="214">
        <v>495</v>
      </c>
      <c r="C51" s="215">
        <f t="shared" si="12"/>
        <v>0.96969696969696972</v>
      </c>
      <c r="D51" s="216">
        <f t="shared" si="4"/>
        <v>2.3005193892774267E-3</v>
      </c>
      <c r="E51" s="216">
        <f t="shared" si="5"/>
        <v>0.26302264403582365</v>
      </c>
      <c r="F51" s="217">
        <f t="shared" si="6"/>
        <v>0.13518444800815568</v>
      </c>
      <c r="G51" s="216">
        <f t="shared" si="13"/>
        <v>1.0745076114332568</v>
      </c>
      <c r="H51" s="216">
        <f t="shared" si="7"/>
        <v>0.93065883327352783</v>
      </c>
      <c r="I51" s="217">
        <f t="shared" si="8"/>
        <v>5.297020798260039E-5</v>
      </c>
      <c r="J51" s="217">
        <f t="shared" si="9"/>
        <v>0.93071180348151039</v>
      </c>
      <c r="K51" s="195">
        <f t="shared" si="2"/>
        <v>0.92973273158822267</v>
      </c>
      <c r="M51" s="218">
        <f t="shared" si="10"/>
        <v>0.92973273158822267</v>
      </c>
      <c r="N51" s="218">
        <f>Calculations!F61</f>
        <v>0.90727012373681504</v>
      </c>
      <c r="O51" s="219">
        <f>Spectra!$C$10*$A51</f>
        <v>2491887919056.1426</v>
      </c>
      <c r="P51" s="219">
        <f t="shared" si="11"/>
        <v>2101954133856.625</v>
      </c>
      <c r="Q51" s="218">
        <f t="shared" si="14"/>
        <v>4.4813438809068115E-2</v>
      </c>
    </row>
    <row r="52" spans="1:17" x14ac:dyDescent="0.25">
      <c r="A52" s="214">
        <v>500</v>
      </c>
      <c r="C52" s="215">
        <f t="shared" si="12"/>
        <v>0.96</v>
      </c>
      <c r="D52" s="216">
        <f t="shared" si="4"/>
        <v>4.5222683112850215E-3</v>
      </c>
      <c r="E52" s="216">
        <f t="shared" si="5"/>
        <v>0.34507275504338453</v>
      </c>
      <c r="F52" s="217">
        <f t="shared" si="6"/>
        <v>0.1169978172899325</v>
      </c>
      <c r="G52" s="216">
        <f t="shared" si="13"/>
        <v>1.1405928406446022</v>
      </c>
      <c r="H52" s="216">
        <f t="shared" si="7"/>
        <v>0.87673704793276919</v>
      </c>
      <c r="I52" s="217">
        <f t="shared" si="8"/>
        <v>3.0321319231822431E-5</v>
      </c>
      <c r="J52" s="217">
        <f t="shared" si="9"/>
        <v>0.87676736925200105</v>
      </c>
      <c r="K52" s="195">
        <f t="shared" si="2"/>
        <v>0.8758450447633942</v>
      </c>
      <c r="M52" s="218">
        <f t="shared" si="10"/>
        <v>0.8758450447633942</v>
      </c>
      <c r="N52" s="218">
        <f>Calculations!F62</f>
        <v>0.91299999999999992</v>
      </c>
      <c r="O52" s="219">
        <f>Spectra!$C$10*$A52</f>
        <v>2517058504097.1138</v>
      </c>
      <c r="P52" s="219">
        <f t="shared" si="11"/>
        <v>2012757088210.2261</v>
      </c>
      <c r="Q52" s="218">
        <f t="shared" si="14"/>
        <v>4.2911767272738953E-2</v>
      </c>
    </row>
    <row r="53" spans="1:17" x14ac:dyDescent="0.25">
      <c r="A53" s="214">
        <v>505</v>
      </c>
      <c r="C53" s="215">
        <f t="shared" si="12"/>
        <v>0.95049504950495045</v>
      </c>
      <c r="D53" s="216">
        <f t="shared" si="4"/>
        <v>8.7715081299816269E-3</v>
      </c>
      <c r="E53" s="216">
        <f t="shared" si="5"/>
        <v>0.45029093354213506</v>
      </c>
      <c r="F53" s="217">
        <f t="shared" si="6"/>
        <v>0.10154799223209685</v>
      </c>
      <c r="G53" s="216">
        <f t="shared" si="13"/>
        <v>1.2346104339042134</v>
      </c>
      <c r="H53" s="216">
        <f t="shared" si="7"/>
        <v>0.80997209527680414</v>
      </c>
      <c r="I53" s="217">
        <f t="shared" si="8"/>
        <v>1.7051523411220398E-5</v>
      </c>
      <c r="J53" s="217">
        <f t="shared" si="9"/>
        <v>0.80998914680021539</v>
      </c>
      <c r="K53" s="195">
        <f t="shared" si="2"/>
        <v>0.8091370703523465</v>
      </c>
      <c r="M53" s="218">
        <f t="shared" si="10"/>
        <v>0.8091370703523465</v>
      </c>
      <c r="N53" s="218">
        <f>Calculations!F63</f>
        <v>0.91742392670060402</v>
      </c>
      <c r="O53" s="219">
        <f>Spectra!$C$10*$A53</f>
        <v>2542229089138.085</v>
      </c>
      <c r="P53" s="219">
        <f t="shared" si="11"/>
        <v>1887151840394.033</v>
      </c>
      <c r="Q53" s="218">
        <f t="shared" si="14"/>
        <v>4.0233876734384923E-2</v>
      </c>
    </row>
    <row r="54" spans="1:17" x14ac:dyDescent="0.25">
      <c r="A54" s="214">
        <v>510</v>
      </c>
      <c r="C54" s="215">
        <f t="shared" si="12"/>
        <v>0.94117647058823528</v>
      </c>
      <c r="D54" s="216">
        <f t="shared" si="4"/>
        <v>1.6793866101697551E-2</v>
      </c>
      <c r="E54" s="216">
        <f t="shared" si="5"/>
        <v>0.58453350543514859</v>
      </c>
      <c r="F54" s="217">
        <f t="shared" si="6"/>
        <v>8.8383446095673585E-2</v>
      </c>
      <c r="G54" s="216">
        <f t="shared" si="13"/>
        <v>1.3637108176325197</v>
      </c>
      <c r="H54" s="216">
        <f t="shared" si="7"/>
        <v>0.73329329581476621</v>
      </c>
      <c r="I54" s="217">
        <f t="shared" si="8"/>
        <v>9.4205651336434576E-6</v>
      </c>
      <c r="J54" s="217">
        <f t="shared" si="9"/>
        <v>0.73330271637989985</v>
      </c>
      <c r="K54" s="195">
        <f t="shared" si="2"/>
        <v>0.73253131101446511</v>
      </c>
      <c r="M54" s="218">
        <f t="shared" si="10"/>
        <v>0.73253131101446511</v>
      </c>
      <c r="N54" s="218">
        <f>Calculations!F64</f>
        <v>0.92099999999999993</v>
      </c>
      <c r="O54" s="219">
        <f>Spectra!$C$10*$A54</f>
        <v>2567399674179.0557</v>
      </c>
      <c r="P54" s="219">
        <f t="shared" si="11"/>
        <v>1732125297935.759</v>
      </c>
      <c r="Q54" s="218">
        <f t="shared" si="14"/>
        <v>3.6928727320164098E-2</v>
      </c>
    </row>
    <row r="55" spans="1:17" x14ac:dyDescent="0.25">
      <c r="A55" s="214">
        <v>515</v>
      </c>
      <c r="C55" s="215">
        <f t="shared" si="12"/>
        <v>0.93203883495145634</v>
      </c>
      <c r="D55" s="216">
        <f t="shared" si="4"/>
        <v>3.1750450386146649E-2</v>
      </c>
      <c r="E55" s="216">
        <f t="shared" si="5"/>
        <v>0.75496236501275293</v>
      </c>
      <c r="F55" s="217">
        <f t="shared" si="6"/>
        <v>7.7133209431642549E-2</v>
      </c>
      <c r="G55" s="216">
        <f t="shared" si="13"/>
        <v>1.5378460248305421</v>
      </c>
      <c r="H55" s="216">
        <f t="shared" si="7"/>
        <v>0.6502601585943506</v>
      </c>
      <c r="I55" s="217">
        <f t="shared" si="8"/>
        <v>5.1131602702047326E-6</v>
      </c>
      <c r="J55" s="217">
        <f t="shared" si="9"/>
        <v>0.65026527175462079</v>
      </c>
      <c r="K55" s="195">
        <f t="shared" si="2"/>
        <v>0.64958121848660111</v>
      </c>
      <c r="M55" s="218">
        <f t="shared" si="10"/>
        <v>0.64958121848660111</v>
      </c>
      <c r="N55" s="218">
        <f>Calculations!F65</f>
        <v>0.92453416946076994</v>
      </c>
      <c r="O55" s="219">
        <f>Spectra!$C$10*$A55</f>
        <v>2592570259220.0269</v>
      </c>
      <c r="P55" s="219">
        <f t="shared" si="11"/>
        <v>1556994078697.1138</v>
      </c>
      <c r="Q55" s="218">
        <f t="shared" si="14"/>
        <v>3.3194948333032381E-2</v>
      </c>
    </row>
    <row r="56" spans="1:17" x14ac:dyDescent="0.25">
      <c r="A56" s="214">
        <v>520</v>
      </c>
      <c r="C56" s="215">
        <f t="shared" si="12"/>
        <v>0.92307692307692313</v>
      </c>
      <c r="D56" s="216">
        <f t="shared" si="4"/>
        <v>5.9296611829990388E-2</v>
      </c>
      <c r="E56" s="216">
        <f t="shared" si="5"/>
        <v>0.97029624571962791</v>
      </c>
      <c r="F56" s="217">
        <f t="shared" si="6"/>
        <v>6.749148439630899E-2</v>
      </c>
      <c r="G56" s="216">
        <f t="shared" si="13"/>
        <v>1.7710843419459272</v>
      </c>
      <c r="H56" s="216">
        <f t="shared" si="7"/>
        <v>0.56462584887475165</v>
      </c>
      <c r="I56" s="217">
        <f t="shared" si="8"/>
        <v>2.726468804822646E-6</v>
      </c>
      <c r="J56" s="217">
        <f t="shared" si="9"/>
        <v>0.56462857534355648</v>
      </c>
      <c r="K56" s="195">
        <f t="shared" si="2"/>
        <v>0.56403460848271081</v>
      </c>
      <c r="M56" s="218">
        <f t="shared" si="10"/>
        <v>0.56403460848271081</v>
      </c>
      <c r="N56" s="218">
        <f>Calculations!F66</f>
        <v>0.92799999999999994</v>
      </c>
      <c r="O56" s="219">
        <f>Spectra!$C$10*$A56</f>
        <v>2617740844260.998</v>
      </c>
      <c r="P56" s="219">
        <f t="shared" si="11"/>
        <v>1370188689083.4121</v>
      </c>
      <c r="Q56" s="218">
        <f t="shared" si="14"/>
        <v>2.921227727384134E-2</v>
      </c>
    </row>
    <row r="57" spans="1:17" x14ac:dyDescent="0.25">
      <c r="A57" s="214">
        <v>525</v>
      </c>
      <c r="C57" s="215">
        <f t="shared" si="12"/>
        <v>0.91428571428571426</v>
      </c>
      <c r="D57" s="216">
        <f t="shared" si="4"/>
        <v>0.10943156985031266</v>
      </c>
      <c r="E57" s="216">
        <f t="shared" si="5"/>
        <v>1.2411023790006741</v>
      </c>
      <c r="F57" s="217">
        <f t="shared" si="6"/>
        <v>5.9205380337478311E-2</v>
      </c>
      <c r="G57" s="216">
        <f t="shared" si="13"/>
        <v>2.0837393291884649</v>
      </c>
      <c r="H57" s="216">
        <f t="shared" si="7"/>
        <v>0.47990647678059661</v>
      </c>
      <c r="I57" s="217">
        <f t="shared" si="8"/>
        <v>1.4282700798342145E-6</v>
      </c>
      <c r="J57" s="217">
        <f t="shared" si="9"/>
        <v>0.47990790505067643</v>
      </c>
      <c r="K57" s="195">
        <f t="shared" si="2"/>
        <v>0.47940306097386975</v>
      </c>
      <c r="M57" s="218">
        <f t="shared" si="10"/>
        <v>0.47940306097386975</v>
      </c>
      <c r="N57" s="218">
        <f>Calculations!F67</f>
        <v>0.93118939545631607</v>
      </c>
      <c r="O57" s="219">
        <f>Spectra!$C$10*$A57</f>
        <v>2642911429301.9692</v>
      </c>
      <c r="P57" s="219">
        <f t="shared" si="11"/>
        <v>1179835428681.6582</v>
      </c>
      <c r="Q57" s="218">
        <f t="shared" si="14"/>
        <v>2.5153965986397013E-2</v>
      </c>
    </row>
    <row r="58" spans="1:17" x14ac:dyDescent="0.25">
      <c r="A58" s="214">
        <v>530</v>
      </c>
      <c r="C58" s="215">
        <f t="shared" si="12"/>
        <v>0.90566037735849059</v>
      </c>
      <c r="D58" s="216">
        <f t="shared" si="4"/>
        <v>0.19963394306555876</v>
      </c>
      <c r="E58" s="216">
        <f t="shared" si="5"/>
        <v>1.5801336529915231</v>
      </c>
      <c r="F58" s="217">
        <f t="shared" si="6"/>
        <v>5.2065102237109979E-2</v>
      </c>
      <c r="G58" s="216">
        <f t="shared" si="13"/>
        <v>2.5058326982941916</v>
      </c>
      <c r="H58" s="216">
        <f t="shared" si="7"/>
        <v>0.39906894050857233</v>
      </c>
      <c r="I58" s="217">
        <f t="shared" si="8"/>
        <v>7.3505328368573776E-7</v>
      </c>
      <c r="J58" s="217">
        <f t="shared" si="9"/>
        <v>0.39906967556185602</v>
      </c>
      <c r="K58" s="195">
        <f t="shared" si="2"/>
        <v>0.39864987009538994</v>
      </c>
      <c r="M58" s="218">
        <f t="shared" si="10"/>
        <v>0.39864987009538994</v>
      </c>
      <c r="N58" s="218">
        <f>Calculations!F68</f>
        <v>0.93400000000000005</v>
      </c>
      <c r="O58" s="219">
        <f>Spectra!$C$10*$A58</f>
        <v>2668082014342.9404</v>
      </c>
      <c r="P58" s="219">
        <f t="shared" si="11"/>
        <v>993430932225.82996</v>
      </c>
      <c r="Q58" s="218">
        <f t="shared" si="14"/>
        <v>2.1179841926738437E-2</v>
      </c>
    </row>
    <row r="59" spans="1:17" x14ac:dyDescent="0.25">
      <c r="A59" s="214">
        <v>535</v>
      </c>
      <c r="C59" s="215">
        <f t="shared" si="12"/>
        <v>0.89719626168224298</v>
      </c>
      <c r="D59" s="216">
        <f t="shared" si="4"/>
        <v>0.36011890460753099</v>
      </c>
      <c r="E59" s="216">
        <f t="shared" si="5"/>
        <v>2.0027168282940893</v>
      </c>
      <c r="F59" s="217">
        <f t="shared" si="6"/>
        <v>4.589607392694911E-2</v>
      </c>
      <c r="G59" s="216">
        <f t="shared" si="13"/>
        <v>3.0827318068285692</v>
      </c>
      <c r="H59" s="216">
        <f t="shared" si="7"/>
        <v>0.32438760899825825</v>
      </c>
      <c r="I59" s="217">
        <f t="shared" si="8"/>
        <v>3.7164302277685252E-7</v>
      </c>
      <c r="J59" s="217">
        <f t="shared" si="9"/>
        <v>0.32438798064128105</v>
      </c>
      <c r="K59" s="195">
        <f t="shared" si="2"/>
        <v>0.32404673735503692</v>
      </c>
      <c r="M59" s="218">
        <f t="shared" si="10"/>
        <v>0.32404673735503692</v>
      </c>
      <c r="N59" s="218">
        <f>Calculations!F69</f>
        <v>0.93645824871396799</v>
      </c>
      <c r="O59" s="219">
        <f>Spectra!$C$10*$A59</f>
        <v>2693252599383.9116</v>
      </c>
      <c r="P59" s="219">
        <f t="shared" si="11"/>
        <v>817284307623.58215</v>
      </c>
      <c r="Q59" s="218">
        <f t="shared" si="14"/>
        <v>1.7424414605137727E-2</v>
      </c>
    </row>
    <row r="60" spans="1:17" x14ac:dyDescent="0.25">
      <c r="A60" s="214">
        <v>540</v>
      </c>
      <c r="C60" s="215">
        <f t="shared" si="12"/>
        <v>0.88888888888888884</v>
      </c>
      <c r="D60" s="216">
        <f t="shared" si="4"/>
        <v>0.64255868504486513</v>
      </c>
      <c r="E60" s="216">
        <f t="shared" si="5"/>
        <v>2.5271978281388376</v>
      </c>
      <c r="F60" s="217">
        <f t="shared" si="6"/>
        <v>4.0552592966082095E-2</v>
      </c>
      <c r="G60" s="216">
        <f t="shared" si="13"/>
        <v>3.8843091061497845</v>
      </c>
      <c r="H60" s="216">
        <f t="shared" si="7"/>
        <v>0.25744604063995896</v>
      </c>
      <c r="I60" s="217">
        <f t="shared" si="8"/>
        <v>1.8460005397031158E-7</v>
      </c>
      <c r="J60" s="217">
        <f t="shared" si="9"/>
        <v>0.25744622524001293</v>
      </c>
      <c r="K60" s="195">
        <f t="shared" si="2"/>
        <v>0.25717540202468181</v>
      </c>
      <c r="M60" s="218">
        <f t="shared" si="10"/>
        <v>0.25717540202468181</v>
      </c>
      <c r="N60" s="218">
        <f>Calculations!F70</f>
        <v>0.93900000000000006</v>
      </c>
      <c r="O60" s="219">
        <f>Spectra!$C$10*$A60</f>
        <v>2718423184424.8828</v>
      </c>
      <c r="P60" s="219">
        <f t="shared" si="11"/>
        <v>656465769232.69629</v>
      </c>
      <c r="Q60" s="218">
        <f t="shared" si="14"/>
        <v>1.3995780453011497E-2</v>
      </c>
    </row>
    <row r="61" spans="1:17" x14ac:dyDescent="0.25">
      <c r="A61" s="214">
        <v>545</v>
      </c>
      <c r="C61" s="215">
        <f t="shared" si="12"/>
        <v>0.88073394495412849</v>
      </c>
      <c r="D61" s="216">
        <f t="shared" si="4"/>
        <v>1.1343983978476528</v>
      </c>
      <c r="E61" s="216">
        <f t="shared" si="5"/>
        <v>3.1754505928545225</v>
      </c>
      <c r="F61" s="217">
        <f t="shared" si="6"/>
        <v>3.5912702349308621E-2</v>
      </c>
      <c r="G61" s="216">
        <f t="shared" si="13"/>
        <v>5.0197616930514837</v>
      </c>
      <c r="H61" s="216">
        <f t="shared" si="7"/>
        <v>0.19921264417476875</v>
      </c>
      <c r="I61" s="217">
        <f t="shared" si="8"/>
        <v>9.0081651923322932E-8</v>
      </c>
      <c r="J61" s="217">
        <f t="shared" si="9"/>
        <v>0.19921273425642066</v>
      </c>
      <c r="K61" s="195">
        <f t="shared" si="2"/>
        <v>0.19900317036331663</v>
      </c>
      <c r="M61" s="218">
        <f t="shared" si="10"/>
        <v>0.19900317036331663</v>
      </c>
      <c r="N61" s="218">
        <f>Calculations!F71</f>
        <v>0.94197760968781497</v>
      </c>
      <c r="O61" s="219">
        <f>Spectra!$C$10*$A61</f>
        <v>2743593769465.854</v>
      </c>
      <c r="P61" s="219">
        <f t="shared" si="11"/>
        <v>514304569781.57245</v>
      </c>
      <c r="Q61" s="218">
        <f t="shared" si="14"/>
        <v>1.0964918784808601E-2</v>
      </c>
    </row>
    <row r="62" spans="1:17" x14ac:dyDescent="0.25">
      <c r="A62" s="214">
        <v>550</v>
      </c>
      <c r="C62" s="215">
        <f t="shared" si="12"/>
        <v>0.87272727272727268</v>
      </c>
      <c r="D62" s="216">
        <f t="shared" si="4"/>
        <v>1.9821210697362484</v>
      </c>
      <c r="E62" s="216">
        <f t="shared" si="5"/>
        <v>3.9734564714926845</v>
      </c>
      <c r="F62" s="217">
        <f t="shared" si="6"/>
        <v>3.1874032262275323E-2</v>
      </c>
      <c r="G62" s="216">
        <f t="shared" si="13"/>
        <v>6.6614515734912088</v>
      </c>
      <c r="H62" s="216">
        <f t="shared" si="7"/>
        <v>0.15011743145884773</v>
      </c>
      <c r="I62" s="217">
        <f t="shared" si="8"/>
        <v>4.3185657678205424E-8</v>
      </c>
      <c r="J62" s="217">
        <f t="shared" si="9"/>
        <v>0.15011747464450542</v>
      </c>
      <c r="K62" s="195">
        <f t="shared" si="2"/>
        <v>0.14995955701676505</v>
      </c>
      <c r="M62" s="218">
        <f t="shared" si="10"/>
        <v>0.14995955701676505</v>
      </c>
      <c r="N62" s="218">
        <f>Calculations!F72</f>
        <v>0.94499999999999995</v>
      </c>
      <c r="O62" s="219">
        <f>Spectra!$C$10*$A62</f>
        <v>2768764354506.8252</v>
      </c>
      <c r="P62" s="219">
        <f t="shared" si="11"/>
        <v>392366528900.94202</v>
      </c>
      <c r="Q62" s="218">
        <f t="shared" si="14"/>
        <v>8.3652127086937585E-3</v>
      </c>
    </row>
    <row r="63" spans="1:17" x14ac:dyDescent="0.25">
      <c r="A63" s="214">
        <v>555</v>
      </c>
      <c r="C63" s="215">
        <f t="shared" si="12"/>
        <v>0.86486486486486491</v>
      </c>
      <c r="D63" s="216">
        <f t="shared" si="4"/>
        <v>3.4286868547058518</v>
      </c>
      <c r="E63" s="216">
        <f t="shared" si="5"/>
        <v>4.951961614232947</v>
      </c>
      <c r="F63" s="217">
        <f t="shared" si="6"/>
        <v>2.8350417748687143E-2</v>
      </c>
      <c r="G63" s="216">
        <f t="shared" si="13"/>
        <v>9.0829988866874842</v>
      </c>
      <c r="H63" s="216">
        <f t="shared" si="7"/>
        <v>0.11009579682605181</v>
      </c>
      <c r="I63" s="217">
        <f t="shared" si="8"/>
        <v>2.0339553373978875E-8</v>
      </c>
      <c r="J63" s="217">
        <f t="shared" si="9"/>
        <v>0.11009581716560518</v>
      </c>
      <c r="K63" s="195">
        <f t="shared" si="2"/>
        <v>0.10998000073376005</v>
      </c>
      <c r="M63" s="218">
        <f t="shared" si="10"/>
        <v>0.10998000073376005</v>
      </c>
      <c r="N63" s="218">
        <f>Calculations!F73</f>
        <v>0.94763131253477395</v>
      </c>
      <c r="O63" s="219">
        <f>Spectra!$C$10*$A63</f>
        <v>2793934939547.7959</v>
      </c>
      <c r="P63" s="219">
        <f t="shared" si="11"/>
        <v>291185275267.08856</v>
      </c>
      <c r="Q63" s="218">
        <f t="shared" si="14"/>
        <v>6.2080391313492885E-3</v>
      </c>
    </row>
    <row r="64" spans="1:17" x14ac:dyDescent="0.25">
      <c r="A64" s="214">
        <v>560</v>
      </c>
      <c r="C64" s="215">
        <f t="shared" si="12"/>
        <v>0.8571428571428571</v>
      </c>
      <c r="D64" s="216">
        <f t="shared" si="4"/>
        <v>5.8732097189742314</v>
      </c>
      <c r="E64" s="216">
        <f t="shared" si="5"/>
        <v>6.1472203251842572</v>
      </c>
      <c r="F64" s="217">
        <f t="shared" si="6"/>
        <v>2.5269139040764901E-2</v>
      </c>
      <c r="G64" s="216">
        <f t="shared" si="13"/>
        <v>12.719699183199252</v>
      </c>
      <c r="H64" s="216">
        <f t="shared" si="7"/>
        <v>7.8618211452739756E-2</v>
      </c>
      <c r="I64" s="217">
        <f t="shared" si="8"/>
        <v>9.4111341644794372E-9</v>
      </c>
      <c r="J64" s="217">
        <f t="shared" si="9"/>
        <v>7.8618220863873919E-2</v>
      </c>
      <c r="K64" s="195">
        <f t="shared" si="2"/>
        <v>7.8535517614532743E-2</v>
      </c>
      <c r="M64" s="218">
        <f t="shared" si="10"/>
        <v>7.8535517614532743E-2</v>
      </c>
      <c r="N64" s="218">
        <f>Calculations!F74</f>
        <v>0.95</v>
      </c>
      <c r="O64" s="219">
        <f>Spectra!$C$10*$A64</f>
        <v>2819105524588.7671</v>
      </c>
      <c r="P64" s="219">
        <f t="shared" si="11"/>
        <v>210329916004.38931</v>
      </c>
      <c r="Q64" s="218">
        <f t="shared" si="14"/>
        <v>4.4842114624476671E-3</v>
      </c>
    </row>
    <row r="65" spans="1:17" x14ac:dyDescent="0.25">
      <c r="A65" s="214">
        <v>565</v>
      </c>
      <c r="C65" s="215">
        <f t="shared" si="12"/>
        <v>0.84955752212389379</v>
      </c>
      <c r="D65" s="216">
        <f t="shared" si="4"/>
        <v>9.9652011162847618</v>
      </c>
      <c r="E65" s="216">
        <f t="shared" si="5"/>
        <v>7.6018328335837086</v>
      </c>
      <c r="F65" s="217">
        <f t="shared" si="6"/>
        <v>2.256866316880898E-2</v>
      </c>
      <c r="G65" s="216">
        <f t="shared" si="13"/>
        <v>18.263602613037278</v>
      </c>
      <c r="H65" s="216">
        <f t="shared" si="7"/>
        <v>5.4753709943631858E-2</v>
      </c>
      <c r="I65" s="217">
        <f t="shared" si="8"/>
        <v>4.2780040893884324E-9</v>
      </c>
      <c r="J65" s="217">
        <f t="shared" si="9"/>
        <v>5.4753714221635948E-2</v>
      </c>
      <c r="K65" s="195">
        <f t="shared" si="2"/>
        <v>5.4696115486509801E-2</v>
      </c>
      <c r="M65" s="218">
        <f t="shared" si="10"/>
        <v>5.4696115486509801E-2</v>
      </c>
      <c r="N65" s="218">
        <f>Calculations!F75</f>
        <v>0.95237214017309002</v>
      </c>
      <c r="O65" s="219">
        <f>Spectra!$C$10*$A65</f>
        <v>2844276109629.7383</v>
      </c>
      <c r="P65" s="219">
        <f t="shared" si="11"/>
        <v>148161347713.31982</v>
      </c>
      <c r="Q65" s="218">
        <f t="shared" si="14"/>
        <v>3.1587841916596322E-3</v>
      </c>
    </row>
    <row r="66" spans="1:17" x14ac:dyDescent="0.25">
      <c r="A66" s="214">
        <v>570</v>
      </c>
      <c r="C66" s="215">
        <f t="shared" si="12"/>
        <v>0.84210526315789469</v>
      </c>
      <c r="D66" s="216">
        <f t="shared" si="4"/>
        <v>16.752065861111042</v>
      </c>
      <c r="E66" s="216">
        <f t="shared" si="5"/>
        <v>9.3656864392265486</v>
      </c>
      <c r="F66" s="217">
        <f t="shared" si="6"/>
        <v>2.019679038669522E-2</v>
      </c>
      <c r="G66" s="216">
        <f t="shared" si="13"/>
        <v>26.811949090724287</v>
      </c>
      <c r="H66" s="216">
        <f t="shared" si="7"/>
        <v>3.7296803623499138E-2</v>
      </c>
      <c r="I66" s="217">
        <f t="shared" si="8"/>
        <v>1.9104650810502273E-9</v>
      </c>
      <c r="J66" s="217">
        <f t="shared" si="9"/>
        <v>3.7296805533964215E-2</v>
      </c>
      <c r="K66" s="195">
        <f t="shared" si="2"/>
        <v>3.7257570774212462E-2</v>
      </c>
      <c r="M66" s="218">
        <f t="shared" si="10"/>
        <v>3.7257570774212462E-2</v>
      </c>
      <c r="N66" s="218">
        <f>Calculations!F76</f>
        <v>0.95499999999999996</v>
      </c>
      <c r="O66" s="219">
        <f>Spectra!$C$10*$A66</f>
        <v>2869446694670.7095</v>
      </c>
      <c r="P66" s="219">
        <f t="shared" si="11"/>
        <v>102097725710.59538</v>
      </c>
      <c r="Q66" s="218">
        <f t="shared" si="14"/>
        <v>2.1767126646488819E-3</v>
      </c>
    </row>
    <row r="67" spans="1:17" x14ac:dyDescent="0.25">
      <c r="A67" s="214">
        <v>575</v>
      </c>
      <c r="C67" s="215">
        <f t="shared" si="12"/>
        <v>0.83478260869565213</v>
      </c>
      <c r="D67" s="216">
        <f t="shared" si="4"/>
        <v>27.907922293043992</v>
      </c>
      <c r="E67" s="216">
        <f t="shared" si="5"/>
        <v>11.497009482156251</v>
      </c>
      <c r="F67" s="217">
        <f t="shared" si="6"/>
        <v>1.8109128507138007E-2</v>
      </c>
      <c r="G67" s="216">
        <f t="shared" si="13"/>
        <v>40.097040903707374</v>
      </c>
      <c r="H67" s="216">
        <f t="shared" si="7"/>
        <v>2.4939496218723212E-2</v>
      </c>
      <c r="I67" s="217">
        <f t="shared" si="8"/>
        <v>8.381769068492255E-10</v>
      </c>
      <c r="J67" s="217">
        <f t="shared" si="9"/>
        <v>2.4939497056900118E-2</v>
      </c>
      <c r="K67" s="195">
        <f t="shared" si="2"/>
        <v>2.4913261695416786E-2</v>
      </c>
      <c r="M67" s="218">
        <f t="shared" si="10"/>
        <v>2.4913261695416786E-2</v>
      </c>
      <c r="N67" s="218">
        <f>Calculations!F77</f>
        <v>0.95800512677286409</v>
      </c>
      <c r="O67" s="219">
        <f>Spectra!$C$10*$A67</f>
        <v>2894617279711.6807</v>
      </c>
      <c r="P67" s="219">
        <f t="shared" si="11"/>
        <v>69085924483.968857</v>
      </c>
      <c r="Q67" s="218">
        <f t="shared" si="14"/>
        <v>1.4729045698774589E-3</v>
      </c>
    </row>
    <row r="68" spans="1:17" x14ac:dyDescent="0.25">
      <c r="A68" s="214">
        <v>580</v>
      </c>
      <c r="C68" s="215">
        <f t="shared" si="12"/>
        <v>0.82758620689655171</v>
      </c>
      <c r="D68" s="216">
        <f t="shared" si="4"/>
        <v>46.085566370969239</v>
      </c>
      <c r="E68" s="216">
        <f t="shared" si="5"/>
        <v>14.063548074034431</v>
      </c>
      <c r="F68" s="217">
        <f t="shared" si="6"/>
        <v>1.626783363933355E-2</v>
      </c>
      <c r="G68" s="216">
        <f t="shared" si="13"/>
        <v>60.839382278643001</v>
      </c>
      <c r="H68" s="216">
        <f t="shared" si="7"/>
        <v>1.6436721783597712E-2</v>
      </c>
      <c r="I68" s="217">
        <f t="shared" si="8"/>
        <v>3.612692156925199E-10</v>
      </c>
      <c r="J68" s="217">
        <f t="shared" si="9"/>
        <v>1.6436722144866928E-2</v>
      </c>
      <c r="K68" s="195">
        <f t="shared" si="2"/>
        <v>1.6419431365261878E-2</v>
      </c>
      <c r="M68" s="218">
        <f t="shared" si="10"/>
        <v>1.6419431365261878E-2</v>
      </c>
      <c r="N68" s="218">
        <f>Calculations!F78</f>
        <v>0.96099999999999997</v>
      </c>
      <c r="O68" s="219">
        <f>Spectra!$C$10*$A68</f>
        <v>2919787864752.6519</v>
      </c>
      <c r="P68" s="219">
        <f t="shared" si="11"/>
        <v>46071547445.019905</v>
      </c>
      <c r="Q68" s="218">
        <f t="shared" si="14"/>
        <v>9.822404965984413E-4</v>
      </c>
    </row>
    <row r="69" spans="1:17" x14ac:dyDescent="0.25">
      <c r="A69" s="214">
        <v>585</v>
      </c>
      <c r="C69" s="215">
        <f t="shared" si="12"/>
        <v>0.82051282051282048</v>
      </c>
      <c r="D69" s="216">
        <f t="shared" si="4"/>
        <v>75.453369129391902</v>
      </c>
      <c r="E69" s="216">
        <f t="shared" si="5"/>
        <v>17.143876005949821</v>
      </c>
      <c r="F69" s="217">
        <f t="shared" si="6"/>
        <v>1.4640567985775274E-2</v>
      </c>
      <c r="G69" s="216">
        <f t="shared" si="13"/>
        <v>93.285885703327509</v>
      </c>
      <c r="H69" s="216">
        <f t="shared" si="7"/>
        <v>1.0719735278927946E-2</v>
      </c>
      <c r="I69" s="217">
        <f t="shared" si="8"/>
        <v>1.5297656310983352E-10</v>
      </c>
      <c r="J69" s="217">
        <f t="shared" si="9"/>
        <v>1.071973543190451E-2</v>
      </c>
      <c r="K69" s="195">
        <f t="shared" si="2"/>
        <v>1.0708458695512431E-2</v>
      </c>
      <c r="M69" s="218">
        <f t="shared" si="10"/>
        <v>1.0708458695512431E-2</v>
      </c>
      <c r="N69" s="218">
        <f>Calculations!F79</f>
        <v>0.96360735273545206</v>
      </c>
      <c r="O69" s="219">
        <f>Spectra!$C$10*$A69</f>
        <v>2944958449793.623</v>
      </c>
      <c r="P69" s="219">
        <f t="shared" si="11"/>
        <v>30388288635.755966</v>
      </c>
      <c r="Q69" s="218">
        <f t="shared" si="14"/>
        <v>6.4787508507245051E-4</v>
      </c>
    </row>
    <row r="70" spans="1:17" x14ac:dyDescent="0.25">
      <c r="A70" s="214">
        <v>590</v>
      </c>
      <c r="C70" s="215">
        <f t="shared" si="12"/>
        <v>0.81355932203389836</v>
      </c>
      <c r="D70" s="216">
        <f t="shared" si="4"/>
        <v>122.5076751123156</v>
      </c>
      <c r="E70" s="216">
        <f t="shared" si="5"/>
        <v>20.828848711432475</v>
      </c>
      <c r="F70" s="217">
        <f t="shared" si="6"/>
        <v>1.3199634994619274E-2</v>
      </c>
      <c r="G70" s="216">
        <f t="shared" si="13"/>
        <v>144.02372345874269</v>
      </c>
      <c r="H70" s="216">
        <f t="shared" si="7"/>
        <v>6.9433005617748934E-3</v>
      </c>
      <c r="I70" s="217">
        <f t="shared" si="8"/>
        <v>6.3638146330451807E-11</v>
      </c>
      <c r="J70" s="217">
        <f t="shared" si="9"/>
        <v>6.9433006254130394E-3</v>
      </c>
      <c r="K70" s="195">
        <f t="shared" si="2"/>
        <v>6.9359965486155183E-3</v>
      </c>
      <c r="M70" s="218">
        <f t="shared" si="10"/>
        <v>6.9359965486155183E-3</v>
      </c>
      <c r="N70" s="218">
        <f>Calculations!F80</f>
        <v>0.96599999999999997</v>
      </c>
      <c r="O70" s="219">
        <f>Spectra!$C$10*$A70</f>
        <v>2970129034834.5942</v>
      </c>
      <c r="P70" s="219">
        <f t="shared" si="11"/>
        <v>19900377373.580601</v>
      </c>
      <c r="Q70" s="218">
        <f t="shared" si="14"/>
        <v>4.242739312641672E-4</v>
      </c>
    </row>
    <row r="71" spans="1:17" x14ac:dyDescent="0.25">
      <c r="A71" s="214">
        <v>595</v>
      </c>
      <c r="C71" s="215">
        <f t="shared" si="12"/>
        <v>0.80672268907563027</v>
      </c>
      <c r="D71" s="216">
        <f t="shared" si="4"/>
        <v>197.29242109550958</v>
      </c>
      <c r="E71" s="216">
        <f t="shared" si="5"/>
        <v>25.22321261081489</v>
      </c>
      <c r="F71" s="217">
        <f t="shared" si="6"/>
        <v>1.1921259826667077E-2</v>
      </c>
      <c r="G71" s="216">
        <f t="shared" si="13"/>
        <v>223.20155496615115</v>
      </c>
      <c r="H71" s="216">
        <f t="shared" si="7"/>
        <v>4.4802555257809542E-3</v>
      </c>
      <c r="I71" s="217">
        <f t="shared" si="8"/>
        <v>2.6008111626030467E-11</v>
      </c>
      <c r="J71" s="217">
        <f t="shared" si="9"/>
        <v>4.4802555517890657E-3</v>
      </c>
      <c r="K71" s="195">
        <f t="shared" si="2"/>
        <v>4.4755425006930182E-3</v>
      </c>
      <c r="M71" s="218">
        <f t="shared" si="10"/>
        <v>4.4755425006930182E-3</v>
      </c>
      <c r="N71" s="218">
        <f>Calculations!F81</f>
        <v>0.96844046228532799</v>
      </c>
      <c r="O71" s="219">
        <f>Spectra!$C$10*$A71</f>
        <v>2995299619875.5654</v>
      </c>
      <c r="P71" s="219">
        <f t="shared" si="11"/>
        <v>12982516504.167112</v>
      </c>
      <c r="Q71" s="218">
        <f t="shared" si="14"/>
        <v>2.7678587252508239E-4</v>
      </c>
    </row>
    <row r="72" spans="1:17" x14ac:dyDescent="0.25">
      <c r="A72" s="214">
        <v>600</v>
      </c>
      <c r="C72" s="215">
        <f t="shared" si="12"/>
        <v>0.8</v>
      </c>
      <c r="D72" s="216">
        <f t="shared" si="4"/>
        <v>315.21609760544374</v>
      </c>
      <c r="E72" s="216">
        <f t="shared" si="5"/>
        <v>30.447381590538228</v>
      </c>
      <c r="F72" s="217">
        <f t="shared" si="6"/>
        <v>1.0784989205741261E-2</v>
      </c>
      <c r="G72" s="216">
        <f t="shared" si="13"/>
        <v>346.34826418518765</v>
      </c>
      <c r="H72" s="216">
        <f t="shared" si="7"/>
        <v>2.8872672492024206E-3</v>
      </c>
      <c r="I72" s="217">
        <f t="shared" si="8"/>
        <v>1.0442363288438814E-11</v>
      </c>
      <c r="J72" s="217">
        <f t="shared" si="9"/>
        <v>2.8872672596447838E-3</v>
      </c>
      <c r="K72" s="195">
        <f t="shared" si="2"/>
        <v>2.8842299690337121E-3</v>
      </c>
      <c r="M72" s="218">
        <f t="shared" si="10"/>
        <v>2.8842299690337121E-3</v>
      </c>
      <c r="N72" s="218">
        <f>Calculations!F82</f>
        <v>0.97099999999999997</v>
      </c>
      <c r="O72" s="219">
        <f>Spectra!$C$10*$A72</f>
        <v>3020470204916.5361</v>
      </c>
      <c r="P72" s="219">
        <f t="shared" si="11"/>
        <v>8459090495.7114534</v>
      </c>
      <c r="Q72" s="218">
        <f t="shared" si="14"/>
        <v>1.8034691062188141E-4</v>
      </c>
    </row>
    <row r="73" spans="1:17" x14ac:dyDescent="0.25">
      <c r="A73" s="214">
        <v>605</v>
      </c>
      <c r="C73" s="215">
        <f t="shared" si="12"/>
        <v>0.79338842975206614</v>
      </c>
      <c r="D73" s="216">
        <f t="shared" si="4"/>
        <v>499.73845623985392</v>
      </c>
      <c r="E73" s="216">
        <f t="shared" si="5"/>
        <v>36.639392775302831</v>
      </c>
      <c r="F73" s="217">
        <f t="shared" si="6"/>
        <v>9.7731896071401089E-3</v>
      </c>
      <c r="G73" s="216">
        <f t="shared" si="13"/>
        <v>537.06162220476381</v>
      </c>
      <c r="H73" s="216">
        <f t="shared" si="7"/>
        <v>1.8619837252469571E-3</v>
      </c>
      <c r="I73" s="217">
        <f t="shared" si="8"/>
        <v>4.1189588580072079E-12</v>
      </c>
      <c r="J73" s="217">
        <f t="shared" si="9"/>
        <v>1.861983729365916E-3</v>
      </c>
      <c r="K73" s="195">
        <f t="shared" si="2"/>
        <v>1.8600249963527944E-3</v>
      </c>
      <c r="M73" s="218">
        <f t="shared" si="10"/>
        <v>1.8600249963527944E-3</v>
      </c>
      <c r="N73" s="218">
        <f>Calculations!F83</f>
        <v>0.97363079812323805</v>
      </c>
      <c r="O73" s="219">
        <f>Spectra!$C$10*$A73</f>
        <v>3045640789957.5073</v>
      </c>
      <c r="P73" s="219">
        <f t="shared" si="11"/>
        <v>5515587314.4354725</v>
      </c>
      <c r="Q73" s="218">
        <f t="shared" si="14"/>
        <v>1.175917355332674E-4</v>
      </c>
    </row>
    <row r="74" spans="1:17" x14ac:dyDescent="0.25">
      <c r="A74" s="214">
        <v>610</v>
      </c>
      <c r="C74" s="215">
        <f t="shared" si="12"/>
        <v>0.78688524590163933</v>
      </c>
      <c r="D74" s="216">
        <f t="shared" si="4"/>
        <v>786.31445973482153</v>
      </c>
      <c r="E74" s="216">
        <f t="shared" si="5"/>
        <v>43.957054128922699</v>
      </c>
      <c r="F74" s="217">
        <f t="shared" si="6"/>
        <v>8.8706266574336435E-3</v>
      </c>
      <c r="G74" s="216">
        <f t="shared" si="13"/>
        <v>830.95438449040159</v>
      </c>
      <c r="H74" s="216">
        <f t="shared" si="7"/>
        <v>1.203435493770538E-3</v>
      </c>
      <c r="I74" s="217">
        <f t="shared" si="8"/>
        <v>1.5961539906994598E-12</v>
      </c>
      <c r="J74" s="217">
        <f t="shared" si="9"/>
        <v>1.203435495366692E-3</v>
      </c>
      <c r="K74" s="195">
        <f t="shared" si="2"/>
        <v>1.2021695289692628E-3</v>
      </c>
      <c r="M74" s="218">
        <f t="shared" si="10"/>
        <v>1.2021695289692628E-3</v>
      </c>
      <c r="N74" s="218">
        <f>Calculations!F84</f>
        <v>0.97599999999999998</v>
      </c>
      <c r="O74" s="219">
        <f>Spectra!$C$10*$A74</f>
        <v>3070811374998.4785</v>
      </c>
      <c r="P74" s="219">
        <f t="shared" si="11"/>
        <v>3603036603.4937258</v>
      </c>
      <c r="Q74" s="218">
        <f t="shared" si="14"/>
        <v>7.6816357577340097E-5</v>
      </c>
    </row>
    <row r="75" spans="1:17" x14ac:dyDescent="0.25">
      <c r="A75" s="214">
        <v>615</v>
      </c>
      <c r="C75" s="215">
        <f t="shared" si="12"/>
        <v>0.78048780487804881</v>
      </c>
      <c r="D75" s="216">
        <f t="shared" si="4"/>
        <v>1228.142848108359</v>
      </c>
      <c r="E75" s="216">
        <f t="shared" si="5"/>
        <v>52.580296768293749</v>
      </c>
      <c r="F75" s="217">
        <f t="shared" si="6"/>
        <v>8.0641117705244902E-3</v>
      </c>
      <c r="G75" s="216">
        <f t="shared" si="13"/>
        <v>1281.4052089884233</v>
      </c>
      <c r="H75" s="216">
        <f t="shared" si="7"/>
        <v>7.8039326903425624E-4</v>
      </c>
      <c r="I75" s="217">
        <f t="shared" si="8"/>
        <v>6.0766021120102703E-13</v>
      </c>
      <c r="J75" s="217">
        <f t="shared" si="9"/>
        <v>7.8039326964191643E-4</v>
      </c>
      <c r="K75" s="195">
        <f t="shared" si="2"/>
        <v>7.7957232688266576E-4</v>
      </c>
      <c r="M75" s="218">
        <f t="shared" si="10"/>
        <v>7.7957232688266576E-4</v>
      </c>
      <c r="N75" s="218">
        <f>Calculations!F85</f>
        <v>0.97778634522172103</v>
      </c>
      <c r="O75" s="219">
        <f>Spectra!$C$10*$A75</f>
        <v>3095981960039.4497</v>
      </c>
      <c r="P75" s="219">
        <f t="shared" si="11"/>
        <v>2359928274.8909783</v>
      </c>
      <c r="Q75" s="218">
        <f t="shared" si="14"/>
        <v>5.031342008713413E-5</v>
      </c>
    </row>
    <row r="76" spans="1:17" x14ac:dyDescent="0.25">
      <c r="A76" s="214">
        <v>620</v>
      </c>
      <c r="C76" s="215">
        <f t="shared" ref="C76:C108" si="15">$C$4/A76</f>
        <v>0.77419354838709675</v>
      </c>
      <c r="D76" s="216">
        <f t="shared" si="4"/>
        <v>1904.4872765800326</v>
      </c>
      <c r="E76" s="216">
        <f t="shared" si="5"/>
        <v>62.713745191056454</v>
      </c>
      <c r="F76" s="217">
        <f t="shared" si="6"/>
        <v>7.3422045867643547E-3</v>
      </c>
      <c r="G76" s="216">
        <f t="shared" ref="G76:G107" si="16">D76+E76+F76+$G$4</f>
        <v>1967.8823639756758</v>
      </c>
      <c r="H76" s="216">
        <f t="shared" si="7"/>
        <v>5.0816045628851447E-4</v>
      </c>
      <c r="I76" s="217">
        <f t="shared" si="8"/>
        <v>2.2727176806533024E-13</v>
      </c>
      <c r="J76" s="217">
        <f t="shared" si="9"/>
        <v>5.0816045651578623E-4</v>
      </c>
      <c r="K76" s="195">
        <f t="shared" ref="K76:K107" si="17">IF(J76="","",J76/MAX(J$12:J$108))</f>
        <v>5.0762589187569704E-4</v>
      </c>
      <c r="M76" s="218">
        <f t="shared" si="10"/>
        <v>5.0762589187569704E-4</v>
      </c>
      <c r="N76" s="218">
        <f>Calculations!F86</f>
        <v>0.97900000000000009</v>
      </c>
      <c r="O76" s="219">
        <f>Spectra!$C$10*$A76</f>
        <v>3121152545080.4209</v>
      </c>
      <c r="P76" s="219">
        <f t="shared" si="11"/>
        <v>1551105909.6446428</v>
      </c>
      <c r="Q76" s="218">
        <f t="shared" ref="Q76:Q107" si="18">P76/SUM(P$12:P$108)</f>
        <v>3.3069413194429611E-5</v>
      </c>
    </row>
    <row r="77" spans="1:17" x14ac:dyDescent="0.25">
      <c r="A77" s="214">
        <v>625</v>
      </c>
      <c r="C77" s="215">
        <f t="shared" si="15"/>
        <v>0.76800000000000002</v>
      </c>
      <c r="D77" s="216">
        <f t="shared" ref="D77:D108" si="19">EXP($D$7*($D$8-C77))</f>
        <v>2932.6403153742626</v>
      </c>
      <c r="E77" s="216">
        <f t="shared" ref="E77:E108" si="20">EXP($E$4*($E$5-C77))</f>
        <v>74.589518898507748</v>
      </c>
      <c r="F77" s="217">
        <f t="shared" ref="F77:F108" si="21">EXP($F$7*($F$8-C77))</f>
        <v>6.6949618375308721E-3</v>
      </c>
      <c r="G77" s="216">
        <f t="shared" si="16"/>
        <v>3007.910529234608</v>
      </c>
      <c r="H77" s="216">
        <f t="shared" ref="H77:H108" si="22">1/G77</f>
        <v>3.3245669719253907E-4</v>
      </c>
      <c r="I77" s="217">
        <f t="shared" ref="I77:I108" si="23">$I$4*(EXP(-(((A77-$C$5)/$I$5)^2)))</f>
        <v>8.3508149308386681E-14</v>
      </c>
      <c r="J77" s="217">
        <f t="shared" ref="J77:J108" si="24">IF(ISERROR(H77+I77),"",H77+I77)</f>
        <v>3.3245669727604719E-4</v>
      </c>
      <c r="K77" s="195">
        <f t="shared" si="17"/>
        <v>3.3210696602001217E-4</v>
      </c>
      <c r="M77" s="218">
        <f t="shared" ref="M77:M108" si="25">K77</f>
        <v>3.3210696602001217E-4</v>
      </c>
      <c r="N77" s="218">
        <f>Calculations!F87</f>
        <v>0.97984882098987991</v>
      </c>
      <c r="O77" s="219">
        <f>Spectra!$C$10*$A77</f>
        <v>3146323130121.3921</v>
      </c>
      <c r="P77" s="219">
        <f t="shared" ref="P77:P108" si="26">PRODUCT(M77:O77)</f>
        <v>1023859542.9452732</v>
      </c>
      <c r="Q77" s="218">
        <f t="shared" si="18"/>
        <v>2.1828576674351028E-5</v>
      </c>
    </row>
    <row r="78" spans="1:17" x14ac:dyDescent="0.25">
      <c r="A78" s="214">
        <v>630</v>
      </c>
      <c r="C78" s="215">
        <f t="shared" si="15"/>
        <v>0.76190476190476186</v>
      </c>
      <c r="D78" s="216">
        <f t="shared" si="19"/>
        <v>4485.0123270758022</v>
      </c>
      <c r="E78" s="216">
        <f t="shared" si="20"/>
        <v>88.470279138451829</v>
      </c>
      <c r="F78" s="217">
        <f t="shared" si="21"/>
        <v>6.1137249244547932E-3</v>
      </c>
      <c r="G78" s="216">
        <f t="shared" si="16"/>
        <v>4574.1627199391778</v>
      </c>
      <c r="H78" s="216">
        <f t="shared" si="22"/>
        <v>2.1861924492561492E-4</v>
      </c>
      <c r="I78" s="217">
        <f t="shared" si="23"/>
        <v>3.0144695803624026E-14</v>
      </c>
      <c r="J78" s="217">
        <f t="shared" si="24"/>
        <v>2.1861924495575962E-4</v>
      </c>
      <c r="K78" s="195">
        <f t="shared" si="17"/>
        <v>2.1838926618331116E-4</v>
      </c>
      <c r="M78" s="218">
        <f t="shared" si="25"/>
        <v>2.1838926618331116E-4</v>
      </c>
      <c r="N78" s="218">
        <f>Calculations!F88</f>
        <v>0.98099999999999998</v>
      </c>
      <c r="O78" s="219">
        <f>Spectra!$C$10*$A78</f>
        <v>3171493715162.3633</v>
      </c>
      <c r="P78" s="219">
        <f t="shared" si="26"/>
        <v>679460401.64126515</v>
      </c>
      <c r="Q78" s="218">
        <f t="shared" si="18"/>
        <v>1.4486023572868604E-5</v>
      </c>
    </row>
    <row r="79" spans="1:17" x14ac:dyDescent="0.25">
      <c r="A79" s="214">
        <v>635</v>
      </c>
      <c r="C79" s="215">
        <f t="shared" si="15"/>
        <v>0.75590551181102361</v>
      </c>
      <c r="D79" s="216">
        <f t="shared" si="19"/>
        <v>6813.3844259282232</v>
      </c>
      <c r="E79" s="216">
        <f t="shared" si="20"/>
        <v>104.65253469548551</v>
      </c>
      <c r="F79" s="217">
        <f t="shared" si="21"/>
        <v>5.5909398574997037E-3</v>
      </c>
      <c r="G79" s="216">
        <f t="shared" si="16"/>
        <v>6918.716551563567</v>
      </c>
      <c r="H79" s="216">
        <f t="shared" si="22"/>
        <v>1.4453547743244506E-4</v>
      </c>
      <c r="I79" s="217">
        <f t="shared" si="23"/>
        <v>1.0690342770165271E-14</v>
      </c>
      <c r="J79" s="217">
        <f t="shared" si="24"/>
        <v>1.445354774431354E-4</v>
      </c>
      <c r="K79" s="195">
        <f t="shared" si="17"/>
        <v>1.4438343185499723E-4</v>
      </c>
      <c r="M79" s="218">
        <f t="shared" si="25"/>
        <v>1.4438343185499723E-4</v>
      </c>
      <c r="N79" s="218">
        <f>Calculations!F89</f>
        <v>0.98294337081876093</v>
      </c>
      <c r="O79" s="219">
        <f>Spectra!$C$10*$A79</f>
        <v>3196664300203.3345</v>
      </c>
      <c r="P79" s="219">
        <f t="shared" si="26"/>
        <v>453672954.05916816</v>
      </c>
      <c r="Q79" s="218">
        <f t="shared" si="18"/>
        <v>9.6722591794890531E-6</v>
      </c>
    </row>
    <row r="80" spans="1:17" x14ac:dyDescent="0.25">
      <c r="A80" s="214">
        <v>640</v>
      </c>
      <c r="C80" s="215">
        <f t="shared" si="15"/>
        <v>0.75</v>
      </c>
      <c r="D80" s="216">
        <f t="shared" si="19"/>
        <v>10283.114167987953</v>
      </c>
      <c r="E80" s="216">
        <f t="shared" si="20"/>
        <v>123.47022081645788</v>
      </c>
      <c r="F80" s="217">
        <f t="shared" si="21"/>
        <v>5.1200043004470891E-3</v>
      </c>
      <c r="G80" s="216">
        <f t="shared" si="16"/>
        <v>10407.263508808712</v>
      </c>
      <c r="H80" s="216">
        <f t="shared" si="22"/>
        <v>9.6086737801305756E-5</v>
      </c>
      <c r="I80" s="217">
        <f t="shared" si="23"/>
        <v>3.7245261977305289E-15</v>
      </c>
      <c r="J80" s="217">
        <f t="shared" si="24"/>
        <v>9.6086737805030288E-5</v>
      </c>
      <c r="K80" s="195">
        <f t="shared" si="17"/>
        <v>9.5985658368892589E-5</v>
      </c>
      <c r="M80" s="218">
        <f t="shared" si="25"/>
        <v>9.5985658368892589E-5</v>
      </c>
      <c r="N80" s="218">
        <f>Calculations!F90</f>
        <v>0.98499999999999999</v>
      </c>
      <c r="O80" s="219">
        <f>Spectra!$C$10*$A80</f>
        <v>3221834885244.3057</v>
      </c>
      <c r="P80" s="219">
        <f t="shared" si="26"/>
        <v>304611193.47679955</v>
      </c>
      <c r="Q80" s="218">
        <f t="shared" si="18"/>
        <v>6.4942782811267959E-6</v>
      </c>
    </row>
    <row r="81" spans="1:17" x14ac:dyDescent="0.25">
      <c r="A81" s="214">
        <v>645</v>
      </c>
      <c r="C81" s="215">
        <f t="shared" si="15"/>
        <v>0.7441860465116279</v>
      </c>
      <c r="D81" s="216">
        <f t="shared" si="19"/>
        <v>15421.084662213014</v>
      </c>
      <c r="E81" s="216">
        <f t="shared" si="20"/>
        <v>145.29856547444737</v>
      </c>
      <c r="F81" s="217">
        <f t="shared" si="21"/>
        <v>4.6951373746352866E-3</v>
      </c>
      <c r="G81" s="216">
        <f t="shared" si="16"/>
        <v>15567.061922824838</v>
      </c>
      <c r="H81" s="216">
        <f t="shared" si="22"/>
        <v>6.4238197609644865E-5</v>
      </c>
      <c r="I81" s="217">
        <f t="shared" si="23"/>
        <v>1.2748207226467721E-15</v>
      </c>
      <c r="J81" s="217">
        <f t="shared" si="24"/>
        <v>6.4238197610919684E-5</v>
      </c>
      <c r="K81" s="195">
        <f t="shared" si="17"/>
        <v>6.4170621575544348E-5</v>
      </c>
      <c r="M81" s="218">
        <f t="shared" si="25"/>
        <v>6.4170621575544348E-5</v>
      </c>
      <c r="N81" s="218">
        <f>Calculations!F91</f>
        <v>0.98650269573507798</v>
      </c>
      <c r="O81" s="219">
        <f>Spectra!$C$10*$A81</f>
        <v>3247005470285.2764</v>
      </c>
      <c r="P81" s="219">
        <f t="shared" si="26"/>
        <v>205550029.12673986</v>
      </c>
      <c r="Q81" s="218">
        <f t="shared" si="18"/>
        <v>4.3823047820612618E-6</v>
      </c>
    </row>
    <row r="82" spans="1:17" x14ac:dyDescent="0.25">
      <c r="A82" s="214">
        <v>650</v>
      </c>
      <c r="C82" s="215">
        <f t="shared" si="15"/>
        <v>0.7384615384615385</v>
      </c>
      <c r="D82" s="216">
        <f t="shared" si="19"/>
        <v>22982.519793819058</v>
      </c>
      <c r="E82" s="216">
        <f t="shared" si="20"/>
        <v>170.55825724378465</v>
      </c>
      <c r="F82" s="217">
        <f t="shared" si="21"/>
        <v>4.3112686108016853E-3</v>
      </c>
      <c r="G82" s="216">
        <f t="shared" si="16"/>
        <v>23153.756362331453</v>
      </c>
      <c r="H82" s="216">
        <f t="shared" si="22"/>
        <v>4.3189536261463264E-5</v>
      </c>
      <c r="I82" s="217">
        <f t="shared" si="23"/>
        <v>4.2867274671996706E-16</v>
      </c>
      <c r="J82" s="217">
        <f t="shared" si="24"/>
        <v>4.3189536261891937E-5</v>
      </c>
      <c r="K82" s="195">
        <f t="shared" si="17"/>
        <v>4.3144102583195728E-5</v>
      </c>
      <c r="M82" s="218">
        <f t="shared" si="25"/>
        <v>4.3144102583195728E-5</v>
      </c>
      <c r="N82" s="218">
        <f>Calculations!F92</f>
        <v>0.98799999999999999</v>
      </c>
      <c r="O82" s="219">
        <f>Spectra!$C$10*$A82</f>
        <v>3272176055326.2476</v>
      </c>
      <c r="P82" s="219">
        <f t="shared" si="26"/>
        <v>139480998.20845708</v>
      </c>
      <c r="Q82" s="218">
        <f t="shared" si="18"/>
        <v>2.9737200624705867E-6</v>
      </c>
    </row>
    <row r="83" spans="1:17" x14ac:dyDescent="0.25">
      <c r="A83" s="214">
        <v>655</v>
      </c>
      <c r="C83" s="215">
        <f t="shared" si="15"/>
        <v>0.73282442748091603</v>
      </c>
      <c r="D83" s="216">
        <f t="shared" si="19"/>
        <v>34043.548843261284</v>
      </c>
      <c r="E83" s="216">
        <f t="shared" si="20"/>
        <v>199.7199290798288</v>
      </c>
      <c r="F83" s="217">
        <f t="shared" si="21"/>
        <v>3.9639430455780528E-3</v>
      </c>
      <c r="G83" s="216">
        <f t="shared" si="16"/>
        <v>34243.946736284161</v>
      </c>
      <c r="H83" s="216">
        <f t="shared" si="22"/>
        <v>2.9202241426816062E-5</v>
      </c>
      <c r="I83" s="217">
        <f t="shared" si="23"/>
        <v>1.4161240911823771E-16</v>
      </c>
      <c r="J83" s="217">
        <f t="shared" si="24"/>
        <v>2.9202241426957676E-5</v>
      </c>
      <c r="K83" s="195">
        <f t="shared" si="17"/>
        <v>2.9171521827512193E-5</v>
      </c>
      <c r="M83" s="218">
        <f t="shared" si="25"/>
        <v>2.9171521827512193E-5</v>
      </c>
      <c r="N83" s="218">
        <f>Calculations!F93</f>
        <v>0.99004584624092695</v>
      </c>
      <c r="O83" s="219">
        <f>Spectra!$C$10*$A83</f>
        <v>3297346640367.2188</v>
      </c>
      <c r="P83" s="219">
        <f t="shared" si="26"/>
        <v>95231143.184046522</v>
      </c>
      <c r="Q83" s="218">
        <f t="shared" si="18"/>
        <v>2.0303178547315388E-6</v>
      </c>
    </row>
    <row r="84" spans="1:17" x14ac:dyDescent="0.25">
      <c r="A84" s="214">
        <v>660</v>
      </c>
      <c r="C84" s="215">
        <f t="shared" si="15"/>
        <v>0.72727272727272729</v>
      </c>
      <c r="D84" s="216">
        <f t="shared" si="19"/>
        <v>50128.718021663066</v>
      </c>
      <c r="E84" s="216">
        <f t="shared" si="20"/>
        <v>233.30897226907155</v>
      </c>
      <c r="F84" s="217">
        <f t="shared" si="21"/>
        <v>3.6492399584354364E-3</v>
      </c>
      <c r="G84" s="216">
        <f t="shared" si="16"/>
        <v>50362.704643172096</v>
      </c>
      <c r="H84" s="216">
        <f t="shared" si="22"/>
        <v>1.9855963000501298E-5</v>
      </c>
      <c r="I84" s="217">
        <f t="shared" si="23"/>
        <v>4.5959513899271225E-17</v>
      </c>
      <c r="J84" s="217">
        <f t="shared" si="24"/>
        <v>1.9855963000547258E-5</v>
      </c>
      <c r="K84" s="195">
        <f t="shared" si="17"/>
        <v>1.9835075315213005E-5</v>
      </c>
      <c r="M84" s="218">
        <f t="shared" si="25"/>
        <v>1.9835075315213005E-5</v>
      </c>
      <c r="N84" s="218">
        <f>Calculations!F94</f>
        <v>0.99199999999999999</v>
      </c>
      <c r="O84" s="219">
        <f>Spectra!$C$10*$A84</f>
        <v>3322517225408.1899</v>
      </c>
      <c r="P84" s="219">
        <f t="shared" si="26"/>
        <v>65375160.366847478</v>
      </c>
      <c r="Q84" s="218">
        <f t="shared" si="18"/>
        <v>1.3937914731552222E-6</v>
      </c>
    </row>
    <row r="85" spans="1:17" x14ac:dyDescent="0.25">
      <c r="A85" s="214">
        <v>665</v>
      </c>
      <c r="C85" s="215">
        <f t="shared" si="15"/>
        <v>0.72180451127819545</v>
      </c>
      <c r="D85" s="216">
        <f t="shared" si="19"/>
        <v>73385.672035562617</v>
      </c>
      <c r="E85" s="216">
        <f t="shared" si="20"/>
        <v>271.9106947366792</v>
      </c>
      <c r="F85" s="217">
        <f t="shared" si="21"/>
        <v>3.3637031566369374E-3</v>
      </c>
      <c r="G85" s="216">
        <f t="shared" si="16"/>
        <v>73658.260094002457</v>
      </c>
      <c r="H85" s="216">
        <f t="shared" si="22"/>
        <v>1.3576209901290132E-5</v>
      </c>
      <c r="I85" s="217">
        <f t="shared" si="23"/>
        <v>1.4653731183399104E-17</v>
      </c>
      <c r="J85" s="217">
        <f t="shared" si="24"/>
        <v>1.3576209901304786E-5</v>
      </c>
      <c r="K85" s="195">
        <f t="shared" si="17"/>
        <v>1.3561928267095336E-5</v>
      </c>
      <c r="M85" s="218">
        <f t="shared" si="25"/>
        <v>1.3561928267095336E-5</v>
      </c>
      <c r="N85" s="218">
        <f>Calculations!F95</f>
        <v>0.993188919301215</v>
      </c>
      <c r="O85" s="219">
        <f>Spectra!$C$10*$A85</f>
        <v>3347687810449.1611</v>
      </c>
      <c r="P85" s="219">
        <f t="shared" si="26"/>
        <v>45091871.376773402</v>
      </c>
      <c r="Q85" s="218">
        <f t="shared" si="18"/>
        <v>9.6135390691033923E-7</v>
      </c>
    </row>
    <row r="86" spans="1:17" x14ac:dyDescent="0.25">
      <c r="A86" s="214">
        <v>670</v>
      </c>
      <c r="C86" s="215">
        <f t="shared" si="15"/>
        <v>0.71641791044776115</v>
      </c>
      <c r="D86" s="216">
        <f t="shared" si="19"/>
        <v>106823.16359166741</v>
      </c>
      <c r="E86" s="216">
        <f t="shared" si="20"/>
        <v>316.17583776894787</v>
      </c>
      <c r="F86" s="217">
        <f t="shared" si="21"/>
        <v>3.104281056124572E-3</v>
      </c>
      <c r="G86" s="216">
        <f t="shared" si="16"/>
        <v>107140.01653371743</v>
      </c>
      <c r="H86" s="216">
        <f t="shared" si="22"/>
        <v>9.3335807885123457E-6</v>
      </c>
      <c r="I86" s="217">
        <f t="shared" si="23"/>
        <v>4.5900740527583497E-18</v>
      </c>
      <c r="J86" s="217">
        <f t="shared" si="24"/>
        <v>9.3335807885169367E-6</v>
      </c>
      <c r="K86" s="195">
        <f t="shared" si="17"/>
        <v>9.3237622318170186E-6</v>
      </c>
      <c r="M86" s="218">
        <f t="shared" si="25"/>
        <v>9.3237622318170186E-6</v>
      </c>
      <c r="N86" s="218">
        <f>Calculations!F96</f>
        <v>0.99400000000000011</v>
      </c>
      <c r="O86" s="219">
        <f>Spectra!$C$10*$A86</f>
        <v>3372858395490.1323</v>
      </c>
      <c r="P86" s="219">
        <f t="shared" si="26"/>
        <v>31259043.342811022</v>
      </c>
      <c r="Q86" s="218">
        <f t="shared" si="18"/>
        <v>6.664394829124375E-7</v>
      </c>
    </row>
    <row r="87" spans="1:17" x14ac:dyDescent="0.25">
      <c r="A87" s="214">
        <v>675</v>
      </c>
      <c r="C87" s="215">
        <f t="shared" si="15"/>
        <v>0.71111111111111114</v>
      </c>
      <c r="D87" s="216">
        <f t="shared" si="19"/>
        <v>154633.6397004234</v>
      </c>
      <c r="E87" s="216">
        <f t="shared" si="20"/>
        <v>366.82646502690795</v>
      </c>
      <c r="F87" s="217">
        <f t="shared" si="21"/>
        <v>2.8682750882352034E-3</v>
      </c>
      <c r="G87" s="216">
        <f t="shared" si="16"/>
        <v>155001.14303372541</v>
      </c>
      <c r="H87" s="216">
        <f t="shared" si="22"/>
        <v>6.4515653267306438E-6</v>
      </c>
      <c r="I87" s="217">
        <f t="shared" si="23"/>
        <v>1.4125045067835356E-18</v>
      </c>
      <c r="J87" s="217">
        <f t="shared" si="24"/>
        <v>6.4515653267320567E-6</v>
      </c>
      <c r="K87" s="195">
        <f t="shared" si="17"/>
        <v>6.4447785359602146E-6</v>
      </c>
      <c r="M87" s="218">
        <f t="shared" si="25"/>
        <v>6.4447785359602146E-6</v>
      </c>
      <c r="N87" s="218">
        <f>Calculations!F97</f>
        <v>0.99494847655421392</v>
      </c>
      <c r="O87" s="219">
        <f>Spectra!$C$10*$A87</f>
        <v>3398028980531.1035</v>
      </c>
      <c r="P87" s="219">
        <f t="shared" si="26"/>
        <v>21788918.177125834</v>
      </c>
      <c r="Q87" s="218">
        <f t="shared" si="18"/>
        <v>4.6453742054536361E-7</v>
      </c>
    </row>
    <row r="88" spans="1:17" x14ac:dyDescent="0.25">
      <c r="A88" s="214">
        <v>680</v>
      </c>
      <c r="C88" s="215">
        <f t="shared" si="15"/>
        <v>0.70588235294117652</v>
      </c>
      <c r="D88" s="216">
        <f t="shared" si="19"/>
        <v>222628.20741953517</v>
      </c>
      <c r="E88" s="216">
        <f t="shared" si="20"/>
        <v>424.66223749417048</v>
      </c>
      <c r="F88" s="217">
        <f t="shared" si="21"/>
        <v>2.6532951962324695E-3</v>
      </c>
      <c r="G88" s="216">
        <f t="shared" si="16"/>
        <v>223053.54631032454</v>
      </c>
      <c r="H88" s="216">
        <f t="shared" si="22"/>
        <v>4.4832284289654116E-6</v>
      </c>
      <c r="I88" s="217">
        <f t="shared" si="23"/>
        <v>4.2703027912377808E-19</v>
      </c>
      <c r="J88" s="217">
        <f t="shared" si="24"/>
        <v>4.4832284289658385E-6</v>
      </c>
      <c r="K88" s="195">
        <f t="shared" si="17"/>
        <v>4.4785122505209436E-6</v>
      </c>
      <c r="M88" s="218">
        <f t="shared" si="25"/>
        <v>4.4785122505209436E-6</v>
      </c>
      <c r="N88" s="218">
        <f>Calculations!F98</f>
        <v>0.996</v>
      </c>
      <c r="O88" s="219">
        <f>Spectra!$C$10*$A88</f>
        <v>3423199565572.0747</v>
      </c>
      <c r="P88" s="219">
        <f t="shared" si="26"/>
        <v>15269517.825630939</v>
      </c>
      <c r="Q88" s="218">
        <f t="shared" si="18"/>
        <v>3.2554449771336532E-7</v>
      </c>
    </row>
    <row r="89" spans="1:17" x14ac:dyDescent="0.25">
      <c r="A89" s="214">
        <v>685</v>
      </c>
      <c r="C89" s="215">
        <f t="shared" si="15"/>
        <v>0.7007299270072993</v>
      </c>
      <c r="D89" s="216">
        <f t="shared" si="19"/>
        <v>318820.17731705488</v>
      </c>
      <c r="E89" s="216">
        <f t="shared" si="20"/>
        <v>490.56708771710851</v>
      </c>
      <c r="F89" s="217">
        <f t="shared" si="21"/>
        <v>2.4572213803948028E-3</v>
      </c>
      <c r="G89" s="216">
        <f t="shared" si="16"/>
        <v>319311.42086199339</v>
      </c>
      <c r="H89" s="216">
        <f t="shared" si="22"/>
        <v>3.1317389064896637E-6</v>
      </c>
      <c r="I89" s="217">
        <f t="shared" si="23"/>
        <v>1.2683122193706729E-19</v>
      </c>
      <c r="J89" s="217">
        <f t="shared" si="24"/>
        <v>3.1317389064897904E-6</v>
      </c>
      <c r="K89" s="195">
        <f t="shared" si="17"/>
        <v>3.1284444414051208E-6</v>
      </c>
      <c r="M89" s="218">
        <f t="shared" si="25"/>
        <v>3.1284444414051208E-6</v>
      </c>
      <c r="N89" s="218">
        <f>Calculations!F99</f>
        <v>0.99701717448192895</v>
      </c>
      <c r="O89" s="219">
        <f>Spectra!$C$10*$A89</f>
        <v>3448370150613.0454</v>
      </c>
      <c r="P89" s="219">
        <f t="shared" si="26"/>
        <v>10755855.605206303</v>
      </c>
      <c r="Q89" s="218">
        <f t="shared" si="18"/>
        <v>2.2931369873361984E-7</v>
      </c>
    </row>
    <row r="90" spans="1:17" x14ac:dyDescent="0.25">
      <c r="A90" s="214">
        <v>690</v>
      </c>
      <c r="C90" s="215">
        <f t="shared" si="15"/>
        <v>0.69565217391304346</v>
      </c>
      <c r="D90" s="216">
        <f t="shared" si="19"/>
        <v>454204.08662392019</v>
      </c>
      <c r="E90" s="216">
        <f t="shared" si="20"/>
        <v>565.5163063589481</v>
      </c>
      <c r="F90" s="217">
        <f t="shared" si="21"/>
        <v>2.2781704127594871E-3</v>
      </c>
      <c r="G90" s="216">
        <f t="shared" si="16"/>
        <v>454770.27920844959</v>
      </c>
      <c r="H90" s="216">
        <f t="shared" si="22"/>
        <v>2.1989123865802092E-6</v>
      </c>
      <c r="I90" s="217">
        <f t="shared" si="23"/>
        <v>3.700772268450661E-20</v>
      </c>
      <c r="J90" s="217">
        <f t="shared" si="24"/>
        <v>2.198912386580246E-6</v>
      </c>
      <c r="K90" s="195">
        <f t="shared" si="17"/>
        <v>2.1965992179866497E-6</v>
      </c>
      <c r="M90" s="218">
        <f t="shared" si="25"/>
        <v>2.1965992179866497E-6</v>
      </c>
      <c r="N90" s="218">
        <f>Calculations!F100</f>
        <v>0.998</v>
      </c>
      <c r="O90" s="219">
        <f>Spectra!$C$10*$A90</f>
        <v>3473540735654.0166</v>
      </c>
      <c r="P90" s="219">
        <f t="shared" si="26"/>
        <v>7614716.9098552195</v>
      </c>
      <c r="Q90" s="218">
        <f t="shared" si="18"/>
        <v>1.623449554829579E-7</v>
      </c>
    </row>
    <row r="91" spans="1:17" x14ac:dyDescent="0.25">
      <c r="A91" s="214">
        <v>695</v>
      </c>
      <c r="C91" s="215">
        <f t="shared" si="15"/>
        <v>0.69064748201438853</v>
      </c>
      <c r="D91" s="216">
        <f t="shared" si="19"/>
        <v>643790.68654315243</v>
      </c>
      <c r="E91" s="216">
        <f t="shared" si="20"/>
        <v>650.58405370177729</v>
      </c>
      <c r="F91" s="217">
        <f t="shared" si="21"/>
        <v>2.1144669782511565E-3</v>
      </c>
      <c r="G91" s="216">
        <f t="shared" si="16"/>
        <v>644441.94671132113</v>
      </c>
      <c r="H91" s="216">
        <f t="shared" si="22"/>
        <v>1.5517301521155508E-6</v>
      </c>
      <c r="I91" s="217">
        <f t="shared" si="23"/>
        <v>1.0608579216092601E-20</v>
      </c>
      <c r="J91" s="217">
        <f t="shared" si="24"/>
        <v>1.5517301521155613E-6</v>
      </c>
      <c r="K91" s="195">
        <f t="shared" si="17"/>
        <v>1.5500977935570685E-6</v>
      </c>
      <c r="M91" s="218">
        <f t="shared" si="25"/>
        <v>1.5500977935570685E-6</v>
      </c>
      <c r="N91" s="218">
        <f>Calculations!F101</f>
        <v>0.99898282551807105</v>
      </c>
      <c r="O91" s="219">
        <f>Spectra!$C$10*$A91</f>
        <v>3498711320694.9878</v>
      </c>
      <c r="P91" s="219">
        <f t="shared" si="26"/>
        <v>5417828.2106684167</v>
      </c>
      <c r="Q91" s="218">
        <f t="shared" si="18"/>
        <v>1.1550752182749244E-7</v>
      </c>
    </row>
    <row r="92" spans="1:17" x14ac:dyDescent="0.25">
      <c r="A92" s="214">
        <v>700</v>
      </c>
      <c r="C92" s="215">
        <f t="shared" si="15"/>
        <v>0.68571428571428572</v>
      </c>
      <c r="D92" s="216">
        <f t="shared" si="19"/>
        <v>907975.53508112894</v>
      </c>
      <c r="E92" s="216">
        <f t="shared" si="20"/>
        <v>746.95130829279151</v>
      </c>
      <c r="F92" s="217">
        <f t="shared" si="21"/>
        <v>1.9646186124460184E-3</v>
      </c>
      <c r="G92" s="216">
        <f t="shared" si="16"/>
        <v>908723.16235404031</v>
      </c>
      <c r="H92" s="216">
        <f t="shared" si="22"/>
        <v>1.1004451536257838E-6</v>
      </c>
      <c r="I92" s="217">
        <f t="shared" si="23"/>
        <v>2.9875883994450997E-21</v>
      </c>
      <c r="J92" s="217">
        <f t="shared" si="24"/>
        <v>1.1004451536257868E-6</v>
      </c>
      <c r="K92" s="195">
        <f t="shared" si="17"/>
        <v>1.0992875289819503E-6</v>
      </c>
      <c r="M92" s="218">
        <f t="shared" si="25"/>
        <v>1.0992875289819503E-6</v>
      </c>
      <c r="N92" s="218">
        <f>Calculations!F102</f>
        <v>1</v>
      </c>
      <c r="O92" s="219">
        <f>Spectra!$C$10*$A92</f>
        <v>3523881905735.959</v>
      </c>
      <c r="P92" s="219">
        <f t="shared" si="26"/>
        <v>3873759.4325806885</v>
      </c>
      <c r="Q92" s="218">
        <f t="shared" si="18"/>
        <v>8.2588139530187382E-8</v>
      </c>
    </row>
    <row r="93" spans="1:17" x14ac:dyDescent="0.25">
      <c r="A93" s="214">
        <v>705</v>
      </c>
      <c r="C93" s="215">
        <f t="shared" si="15"/>
        <v>0.68085106382978722</v>
      </c>
      <c r="D93" s="216">
        <f t="shared" si="19"/>
        <v>1274340.4120405614</v>
      </c>
      <c r="E93" s="216">
        <f t="shared" si="20"/>
        <v>855.91426444418278</v>
      </c>
      <c r="F93" s="217">
        <f t="shared" si="21"/>
        <v>1.8272939014285028E-3</v>
      </c>
      <c r="G93" s="216">
        <f t="shared" si="16"/>
        <v>1275197.0021322998</v>
      </c>
      <c r="H93" s="216">
        <f t="shared" si="22"/>
        <v>7.8419255874023104E-7</v>
      </c>
      <c r="I93" s="217">
        <f t="shared" si="23"/>
        <v>8.265763657232439E-22</v>
      </c>
      <c r="J93" s="217">
        <f t="shared" si="24"/>
        <v>7.8419255874023188E-7</v>
      </c>
      <c r="K93" s="195">
        <f t="shared" si="17"/>
        <v>7.8336761927957831E-7</v>
      </c>
      <c r="M93" s="218">
        <f t="shared" si="25"/>
        <v>7.8336761927957831E-7</v>
      </c>
      <c r="N93" s="218">
        <f>Calculations!F103</f>
        <v>1</v>
      </c>
      <c r="O93" s="219">
        <f>Spectra!$C$10*$A93</f>
        <v>3549052490776.9302</v>
      </c>
      <c r="P93" s="219">
        <f t="shared" si="26"/>
        <v>2780212.8003981812</v>
      </c>
      <c r="Q93" s="218">
        <f t="shared" si="18"/>
        <v>5.9273841517290774E-8</v>
      </c>
    </row>
    <row r="94" spans="1:17" x14ac:dyDescent="0.25">
      <c r="A94" s="214">
        <v>710</v>
      </c>
      <c r="C94" s="215">
        <f t="shared" si="15"/>
        <v>0.676056338028169</v>
      </c>
      <c r="D94" s="216">
        <f t="shared" si="19"/>
        <v>1780013.7860310234</v>
      </c>
      <c r="E94" s="216">
        <f t="shared" si="20"/>
        <v>978.89318976145773</v>
      </c>
      <c r="F94" s="217">
        <f t="shared" si="21"/>
        <v>1.7013034891927698E-3</v>
      </c>
      <c r="G94" s="216">
        <f t="shared" si="16"/>
        <v>1780993.3549220886</v>
      </c>
      <c r="H94" s="216">
        <f t="shared" si="22"/>
        <v>5.6148440825807911E-7</v>
      </c>
      <c r="I94" s="217">
        <f t="shared" si="23"/>
        <v>2.2466937668482957E-22</v>
      </c>
      <c r="J94" s="217">
        <f t="shared" si="24"/>
        <v>5.6148440825807932E-7</v>
      </c>
      <c r="K94" s="195">
        <f t="shared" si="17"/>
        <v>5.6089374893626954E-7</v>
      </c>
      <c r="M94" s="218">
        <f t="shared" si="25"/>
        <v>5.6089374893626954E-7</v>
      </c>
      <c r="N94" s="218">
        <f>Calculations!F104</f>
        <v>1</v>
      </c>
      <c r="O94" s="219">
        <f>Spectra!$C$10*$A94</f>
        <v>3574223075817.9014</v>
      </c>
      <c r="P94" s="219">
        <f t="shared" si="26"/>
        <v>2004759.380530027</v>
      </c>
      <c r="Q94" s="218">
        <f t="shared" si="18"/>
        <v>4.2741256994723598E-8</v>
      </c>
    </row>
    <row r="95" spans="1:17" x14ac:dyDescent="0.25">
      <c r="A95" s="214">
        <v>715</v>
      </c>
      <c r="C95" s="215">
        <f t="shared" si="15"/>
        <v>0.67132867132867136</v>
      </c>
      <c r="D95" s="216">
        <f t="shared" si="19"/>
        <v>2474750.2409724998</v>
      </c>
      <c r="E95" s="216">
        <f t="shared" si="20"/>
        <v>1117.441753293873</v>
      </c>
      <c r="F95" s="217">
        <f t="shared" si="21"/>
        <v>1.5855835053835247E-3</v>
      </c>
      <c r="G95" s="216">
        <f t="shared" si="16"/>
        <v>2475868.3583113775</v>
      </c>
      <c r="H95" s="216">
        <f t="shared" si="22"/>
        <v>4.0389869543873182E-7</v>
      </c>
      <c r="I95" s="217">
        <f t="shared" si="23"/>
        <v>5.9993397274312936E-23</v>
      </c>
      <c r="J95" s="217">
        <f t="shared" si="24"/>
        <v>4.0389869543873187E-7</v>
      </c>
      <c r="K95" s="195">
        <f t="shared" si="17"/>
        <v>4.0347381003493625E-7</v>
      </c>
      <c r="M95" s="218">
        <f t="shared" si="25"/>
        <v>4.0347381003493625E-7</v>
      </c>
      <c r="N95" s="218">
        <f>Calculations!F105</f>
        <v>1</v>
      </c>
      <c r="O95" s="219">
        <f>Spectra!$C$10*$A95</f>
        <v>3599393660858.8726</v>
      </c>
      <c r="P95" s="219">
        <f t="shared" si="26"/>
        <v>1452261.0741623265</v>
      </c>
      <c r="Q95" s="218">
        <f t="shared" si="18"/>
        <v>3.0962051803840232E-8</v>
      </c>
    </row>
    <row r="96" spans="1:17" x14ac:dyDescent="0.25">
      <c r="A96" s="214">
        <v>720</v>
      </c>
      <c r="C96" s="215">
        <f t="shared" si="15"/>
        <v>0.66666666666666663</v>
      </c>
      <c r="D96" s="216">
        <f t="shared" si="19"/>
        <v>3424930.5808094088</v>
      </c>
      <c r="E96" s="216">
        <f t="shared" si="20"/>
        <v>1273.256834275089</v>
      </c>
      <c r="F96" s="217">
        <f t="shared" si="21"/>
        <v>1.4791810829645254E-3</v>
      </c>
      <c r="G96" s="216">
        <f t="shared" si="16"/>
        <v>3426204.513122865</v>
      </c>
      <c r="H96" s="216">
        <f t="shared" si="22"/>
        <v>2.9186815794849772E-7</v>
      </c>
      <c r="I96" s="217">
        <f t="shared" si="23"/>
        <v>1.5738440952114978E-23</v>
      </c>
      <c r="J96" s="217">
        <f t="shared" si="24"/>
        <v>2.9186815794849772E-7</v>
      </c>
      <c r="K96" s="195">
        <f t="shared" si="17"/>
        <v>2.9156112422557287E-7</v>
      </c>
      <c r="M96" s="218">
        <f t="shared" si="25"/>
        <v>2.9156112422557287E-7</v>
      </c>
      <c r="N96" s="218">
        <f>Calculations!F106</f>
        <v>1</v>
      </c>
      <c r="O96" s="219">
        <f>Spectra!$C$10*$A96</f>
        <v>3624564245899.8438</v>
      </c>
      <c r="P96" s="219">
        <f t="shared" si="26"/>
        <v>1056782.0263623742</v>
      </c>
      <c r="Q96" s="218">
        <f t="shared" si="18"/>
        <v>2.2530480522913052E-8</v>
      </c>
    </row>
    <row r="97" spans="1:17" x14ac:dyDescent="0.25">
      <c r="A97" s="214">
        <v>725</v>
      </c>
      <c r="C97" s="215">
        <f t="shared" si="15"/>
        <v>0.66206896551724137</v>
      </c>
      <c r="D97" s="216">
        <f t="shared" si="19"/>
        <v>4718736.0288953139</v>
      </c>
      <c r="E97" s="216">
        <f t="shared" si="20"/>
        <v>1448.1888207537932</v>
      </c>
      <c r="F97" s="217">
        <f t="shared" si="21"/>
        <v>1.3812416833877158E-3</v>
      </c>
      <c r="G97" s="216">
        <f t="shared" si="16"/>
        <v>4720184.8930973094</v>
      </c>
      <c r="H97" s="216">
        <f t="shared" si="22"/>
        <v>2.1185610789576848E-7</v>
      </c>
      <c r="I97" s="217">
        <f t="shared" si="23"/>
        <v>4.0561932735890268E-24</v>
      </c>
      <c r="J97" s="217">
        <f t="shared" si="24"/>
        <v>2.1185610789576848E-7</v>
      </c>
      <c r="K97" s="195">
        <f t="shared" si="17"/>
        <v>2.1163324367519432E-7</v>
      </c>
      <c r="M97" s="218">
        <f t="shared" si="25"/>
        <v>2.1163324367519432E-7</v>
      </c>
      <c r="N97" s="218">
        <f>Calculations!F107</f>
        <v>1</v>
      </c>
      <c r="O97" s="219">
        <f>Spectra!$C$10*$A97</f>
        <v>3649734830940.8149</v>
      </c>
      <c r="P97" s="219">
        <f t="shared" si="26"/>
        <v>772405.22082634165</v>
      </c>
      <c r="Q97" s="218">
        <f t="shared" si="18"/>
        <v>1.6467597242855466E-8</v>
      </c>
    </row>
    <row r="98" spans="1:17" x14ac:dyDescent="0.25">
      <c r="A98" s="214">
        <v>730</v>
      </c>
      <c r="C98" s="215">
        <f t="shared" si="15"/>
        <v>0.65753424657534243</v>
      </c>
      <c r="D98" s="216">
        <f t="shared" si="19"/>
        <v>6472813.6057477947</v>
      </c>
      <c r="E98" s="216">
        <f t="shared" si="20"/>
        <v>1644.2524067052061</v>
      </c>
      <c r="F98" s="217">
        <f t="shared" si="21"/>
        <v>1.2909979874490584E-3</v>
      </c>
      <c r="G98" s="216">
        <f t="shared" si="16"/>
        <v>6474458.533445498</v>
      </c>
      <c r="H98" s="216">
        <f t="shared" si="22"/>
        <v>1.5445307045125707E-7</v>
      </c>
      <c r="I98" s="217">
        <f t="shared" si="23"/>
        <v>1.0270090017039256E-24</v>
      </c>
      <c r="J98" s="217">
        <f t="shared" si="24"/>
        <v>1.5445307045125707E-7</v>
      </c>
      <c r="K98" s="195">
        <f t="shared" si="17"/>
        <v>1.5429059194873337E-7</v>
      </c>
      <c r="M98" s="218">
        <f t="shared" si="25"/>
        <v>1.5429059194873337E-7</v>
      </c>
      <c r="N98" s="218">
        <f>Calculations!F108</f>
        <v>1</v>
      </c>
      <c r="O98" s="219">
        <f>Spectra!$C$10*$A98</f>
        <v>3674905415981.7856</v>
      </c>
      <c r="P98" s="219">
        <f t="shared" si="26"/>
        <v>567003.33198743593</v>
      </c>
      <c r="Q98" s="218">
        <f t="shared" si="18"/>
        <v>1.2088450795991476E-8</v>
      </c>
    </row>
    <row r="99" spans="1:17" x14ac:dyDescent="0.25">
      <c r="A99" s="214">
        <v>735</v>
      </c>
      <c r="C99" s="215">
        <f t="shared" si="15"/>
        <v>0.65306122448979587</v>
      </c>
      <c r="D99" s="216">
        <f t="shared" si="19"/>
        <v>8840827.8712620195</v>
      </c>
      <c r="E99" s="216">
        <f t="shared" si="20"/>
        <v>1863.6378954670433</v>
      </c>
      <c r="F99" s="217">
        <f t="shared" si="21"/>
        <v>1.2077601444514261E-3</v>
      </c>
      <c r="G99" s="216">
        <f t="shared" si="16"/>
        <v>8842692.1843652464</v>
      </c>
      <c r="H99" s="216">
        <f t="shared" si="22"/>
        <v>1.1308773155850645E-7</v>
      </c>
      <c r="I99" s="217">
        <f t="shared" si="23"/>
        <v>2.5546331179541533E-25</v>
      </c>
      <c r="J99" s="217">
        <f t="shared" si="24"/>
        <v>1.1308773155850645E-7</v>
      </c>
      <c r="K99" s="195">
        <f t="shared" si="17"/>
        <v>1.129687677514177E-7</v>
      </c>
      <c r="M99" s="218">
        <f t="shared" si="25"/>
        <v>1.129687677514177E-7</v>
      </c>
      <c r="N99" s="218">
        <f>Calculations!F109</f>
        <v>1</v>
      </c>
      <c r="O99" s="219">
        <f>Spectra!$C$10*$A99</f>
        <v>3700076001022.7568</v>
      </c>
      <c r="P99" s="219">
        <f t="shared" si="26"/>
        <v>417993.02642213419</v>
      </c>
      <c r="Q99" s="218">
        <f t="shared" si="18"/>
        <v>8.9115669131261816E-9</v>
      </c>
    </row>
    <row r="100" spans="1:17" x14ac:dyDescent="0.25">
      <c r="A100" s="214">
        <v>740</v>
      </c>
      <c r="C100" s="215">
        <f t="shared" si="15"/>
        <v>0.64864864864864868</v>
      </c>
      <c r="D100" s="216">
        <f t="shared" si="19"/>
        <v>12024389.662516376</v>
      </c>
      <c r="E100" s="216">
        <f t="shared" si="20"/>
        <v>2108.7230165605301</v>
      </c>
      <c r="F100" s="217">
        <f t="shared" si="21"/>
        <v>1.130907201539684E-3</v>
      </c>
      <c r="G100" s="216">
        <f t="shared" si="16"/>
        <v>12026499.060663844</v>
      </c>
      <c r="H100" s="216">
        <f t="shared" si="22"/>
        <v>8.3149717549206838E-8</v>
      </c>
      <c r="I100" s="217">
        <f t="shared" si="23"/>
        <v>6.2428299321369499E-26</v>
      </c>
      <c r="J100" s="217">
        <f t="shared" si="24"/>
        <v>8.3149717549206838E-8</v>
      </c>
      <c r="K100" s="195">
        <f t="shared" si="17"/>
        <v>8.3062247345130009E-8</v>
      </c>
      <c r="M100" s="218">
        <f t="shared" si="25"/>
        <v>8.3062247345130009E-8</v>
      </c>
      <c r="N100" s="218">
        <f>Calculations!F110</f>
        <v>1</v>
      </c>
      <c r="O100" s="219">
        <f>Spectra!$C$10*$A100</f>
        <v>3725246586063.728</v>
      </c>
      <c r="P100" s="219">
        <f t="shared" si="26"/>
        <v>309427.3533532265</v>
      </c>
      <c r="Q100" s="218">
        <f t="shared" si="18"/>
        <v>6.5969582979932675E-9</v>
      </c>
    </row>
    <row r="101" spans="1:17" x14ac:dyDescent="0.25">
      <c r="A101" s="214">
        <v>745</v>
      </c>
      <c r="C101" s="215">
        <f t="shared" si="15"/>
        <v>0.64429530201342278</v>
      </c>
      <c r="D101" s="216">
        <f t="shared" si="19"/>
        <v>16286968.661751539</v>
      </c>
      <c r="E101" s="216">
        <f t="shared" si="20"/>
        <v>2382.0852621405566</v>
      </c>
      <c r="F101" s="217">
        <f t="shared" si="21"/>
        <v>1.0598795599525276E-3</v>
      </c>
      <c r="G101" s="216">
        <f t="shared" si="16"/>
        <v>16289351.42207356</v>
      </c>
      <c r="H101" s="216">
        <f t="shared" si="22"/>
        <v>6.138979840811272E-8</v>
      </c>
      <c r="I101" s="217">
        <f t="shared" si="23"/>
        <v>1.4987636384685994E-26</v>
      </c>
      <c r="J101" s="217">
        <f t="shared" si="24"/>
        <v>6.138979840811272E-8</v>
      </c>
      <c r="K101" s="195">
        <f t="shared" si="17"/>
        <v>6.1325218775694666E-8</v>
      </c>
      <c r="M101" s="218">
        <f t="shared" si="25"/>
        <v>6.1325218775694666E-8</v>
      </c>
      <c r="N101" s="218">
        <f>Calculations!F111</f>
        <v>1</v>
      </c>
      <c r="O101" s="219">
        <f>Spectra!$C$10*$A101</f>
        <v>3750417171104.6992</v>
      </c>
      <c r="P101" s="219">
        <f t="shared" si="26"/>
        <v>229995.15351811759</v>
      </c>
      <c r="Q101" s="218">
        <f t="shared" si="18"/>
        <v>4.9034722368825129E-9</v>
      </c>
    </row>
    <row r="102" spans="1:17" x14ac:dyDescent="0.25">
      <c r="A102" s="214">
        <v>750</v>
      </c>
      <c r="C102" s="215">
        <f t="shared" si="15"/>
        <v>0.64</v>
      </c>
      <c r="D102" s="216">
        <f t="shared" si="19"/>
        <v>21971537.589146655</v>
      </c>
      <c r="E102" s="216">
        <f t="shared" si="20"/>
        <v>2686.5147484717995</v>
      </c>
      <c r="F102" s="217">
        <f t="shared" si="21"/>
        <v>9.9417232613590125E-4</v>
      </c>
      <c r="G102" s="216">
        <f t="shared" si="16"/>
        <v>21974224.778889298</v>
      </c>
      <c r="H102" s="216">
        <f t="shared" si="22"/>
        <v>4.55078625099304E-8</v>
      </c>
      <c r="I102" s="217">
        <f t="shared" si="23"/>
        <v>3.534951587976348E-27</v>
      </c>
      <c r="J102" s="217">
        <f t="shared" si="24"/>
        <v>4.55078625099304E-8</v>
      </c>
      <c r="K102" s="195">
        <f t="shared" si="17"/>
        <v>4.5459990043995826E-8</v>
      </c>
      <c r="M102" s="218">
        <f t="shared" si="25"/>
        <v>4.5459990043995826E-8</v>
      </c>
      <c r="N102" s="218">
        <f>Calculations!F112</f>
        <v>1</v>
      </c>
      <c r="O102" s="219">
        <f>Spectra!$C$10*$A102</f>
        <v>3775587756145.6704</v>
      </c>
      <c r="P102" s="219">
        <f t="shared" si="26"/>
        <v>171638.18180461472</v>
      </c>
      <c r="Q102" s="218">
        <f t="shared" si="18"/>
        <v>3.6593078001603357E-9</v>
      </c>
    </row>
    <row r="103" spans="1:17" x14ac:dyDescent="0.25">
      <c r="A103" s="214">
        <v>755</v>
      </c>
      <c r="C103" s="215">
        <f t="shared" si="15"/>
        <v>0.63576158940397354</v>
      </c>
      <c r="D103" s="216">
        <f t="shared" si="19"/>
        <v>29522866.194884785</v>
      </c>
      <c r="E103" s="216">
        <f t="shared" si="20"/>
        <v>3025.0276069529691</v>
      </c>
      <c r="F103" s="217">
        <f t="shared" si="21"/>
        <v>9.3332944375717803E-4</v>
      </c>
      <c r="G103" s="216">
        <f t="shared" si="16"/>
        <v>29525891.897425067</v>
      </c>
      <c r="H103" s="216">
        <f t="shared" si="22"/>
        <v>3.3868578923003149E-8</v>
      </c>
      <c r="I103" s="217">
        <f t="shared" si="23"/>
        <v>8.1909159752431853E-28</v>
      </c>
      <c r="J103" s="217">
        <f t="shared" si="24"/>
        <v>3.3868578923003149E-8</v>
      </c>
      <c r="K103" s="195">
        <f t="shared" si="17"/>
        <v>3.3832950521638656E-8</v>
      </c>
      <c r="M103" s="218">
        <f t="shared" si="25"/>
        <v>3.3832950521638656E-8</v>
      </c>
      <c r="N103" s="218">
        <f>Calculations!F113</f>
        <v>1</v>
      </c>
      <c r="O103" s="219">
        <f>Spectra!$C$10*$A103</f>
        <v>3800758341186.6416</v>
      </c>
      <c r="P103" s="219">
        <f t="shared" si="26"/>
        <v>128590.86890207305</v>
      </c>
      <c r="Q103" s="218">
        <f t="shared" si="18"/>
        <v>2.7415436626939356E-9</v>
      </c>
    </row>
    <row r="104" spans="1:17" x14ac:dyDescent="0.25">
      <c r="A104" s="214">
        <v>760</v>
      </c>
      <c r="C104" s="215">
        <f t="shared" si="15"/>
        <v>0.63157894736842102</v>
      </c>
      <c r="D104" s="216">
        <f t="shared" si="19"/>
        <v>39515588.44448337</v>
      </c>
      <c r="E104" s="216">
        <f t="shared" si="20"/>
        <v>3400.8799083108479</v>
      </c>
      <c r="F104" s="217">
        <f t="shared" si="21"/>
        <v>8.7693850812751821E-4</v>
      </c>
      <c r="G104" s="216">
        <f t="shared" si="16"/>
        <v>39518989.999268621</v>
      </c>
      <c r="H104" s="216">
        <f t="shared" si="22"/>
        <v>2.5304290418821611E-8</v>
      </c>
      <c r="I104" s="217">
        <f t="shared" si="23"/>
        <v>1.8645762556720015E-28</v>
      </c>
      <c r="J104" s="217">
        <f t="shared" si="24"/>
        <v>2.5304290418821611E-8</v>
      </c>
      <c r="K104" s="195">
        <f t="shared" si="17"/>
        <v>2.5277671309193923E-8</v>
      </c>
      <c r="M104" s="218">
        <f t="shared" si="25"/>
        <v>2.5277671309193923E-8</v>
      </c>
      <c r="N104" s="218">
        <f>Calculations!F114</f>
        <v>1</v>
      </c>
      <c r="O104" s="219">
        <f>Spectra!$C$10*$A104</f>
        <v>3825928926227.6128</v>
      </c>
      <c r="P104" s="219">
        <f t="shared" si="26"/>
        <v>96710.573849518842</v>
      </c>
      <c r="Q104" s="218">
        <f t="shared" si="18"/>
        <v>2.0618591593354408E-9</v>
      </c>
    </row>
    <row r="105" spans="1:17" x14ac:dyDescent="0.25">
      <c r="A105" s="214">
        <v>765</v>
      </c>
      <c r="C105" s="215">
        <f t="shared" si="15"/>
        <v>0.62745098039215685</v>
      </c>
      <c r="D105" s="216">
        <f t="shared" si="19"/>
        <v>52689412.628015764</v>
      </c>
      <c r="E105" s="216">
        <f t="shared" si="20"/>
        <v>3817.5821226639455</v>
      </c>
      <c r="F105" s="217">
        <f t="shared" si="21"/>
        <v>8.2462617778335126E-4</v>
      </c>
      <c r="G105" s="216">
        <f t="shared" si="16"/>
        <v>52693230.88496305</v>
      </c>
      <c r="H105" s="216">
        <f t="shared" si="22"/>
        <v>1.8977769690819391E-8</v>
      </c>
      <c r="I105" s="217">
        <f t="shared" si="23"/>
        <v>4.1699083154265179E-29</v>
      </c>
      <c r="J105" s="217">
        <f t="shared" si="24"/>
        <v>1.8977769690819391E-8</v>
      </c>
      <c r="K105" s="195">
        <f t="shared" si="17"/>
        <v>1.8957805830006557E-8</v>
      </c>
      <c r="M105" s="218">
        <f t="shared" si="25"/>
        <v>1.8957805830006557E-8</v>
      </c>
      <c r="N105" s="218">
        <f>Calculations!F115</f>
        <v>1</v>
      </c>
      <c r="O105" s="219">
        <f>Spectra!$C$10*$A105</f>
        <v>3851099511268.584</v>
      </c>
      <c r="P105" s="219">
        <f t="shared" si="26"/>
        <v>73008.396766662961</v>
      </c>
      <c r="Q105" s="218">
        <f t="shared" si="18"/>
        <v>1.5565312621965064E-9</v>
      </c>
    </row>
    <row r="106" spans="1:17" x14ac:dyDescent="0.25">
      <c r="A106" s="214">
        <v>770</v>
      </c>
      <c r="C106" s="215">
        <f t="shared" si="15"/>
        <v>0.62337662337662336</v>
      </c>
      <c r="D106" s="216">
        <f t="shared" si="19"/>
        <v>69993138.824180931</v>
      </c>
      <c r="E106" s="216">
        <f t="shared" si="20"/>
        <v>4278.9141172143272</v>
      </c>
      <c r="F106" s="217">
        <f t="shared" si="21"/>
        <v>7.7605410933436218E-4</v>
      </c>
      <c r="G106" s="216">
        <f t="shared" si="16"/>
        <v>69997418.413074195</v>
      </c>
      <c r="H106" s="216">
        <f t="shared" si="22"/>
        <v>1.4286241159619951E-8</v>
      </c>
      <c r="I106" s="217">
        <f t="shared" si="23"/>
        <v>9.1616045294210928E-30</v>
      </c>
      <c r="J106" s="217">
        <f t="shared" si="24"/>
        <v>1.4286241159619951E-8</v>
      </c>
      <c r="K106" s="195">
        <f t="shared" si="17"/>
        <v>1.4271212600695704E-8</v>
      </c>
      <c r="M106" s="218">
        <f t="shared" si="25"/>
        <v>1.4271212600695704E-8</v>
      </c>
      <c r="N106" s="218">
        <f>Calculations!F116</f>
        <v>1</v>
      </c>
      <c r="O106" s="219">
        <f>Spectra!$C$10*$A106</f>
        <v>3876270096309.5552</v>
      </c>
      <c r="P106" s="219">
        <f t="shared" si="26"/>
        <v>55319.074642152875</v>
      </c>
      <c r="Q106" s="218">
        <f t="shared" si="18"/>
        <v>1.1793967939261824E-9</v>
      </c>
    </row>
    <row r="107" spans="1:17" x14ac:dyDescent="0.25">
      <c r="A107" s="214">
        <v>775</v>
      </c>
      <c r="C107" s="215">
        <f t="shared" si="15"/>
        <v>0.61935483870967745</v>
      </c>
      <c r="D107" s="216">
        <f t="shared" si="19"/>
        <v>92639499.551681191</v>
      </c>
      <c r="E107" s="216">
        <f t="shared" si="20"/>
        <v>4788.9406923684237</v>
      </c>
      <c r="F107" s="217">
        <f t="shared" si="21"/>
        <v>7.3091535143818948E-4</v>
      </c>
      <c r="G107" s="216">
        <f t="shared" si="16"/>
        <v>92644289.167104468</v>
      </c>
      <c r="H107" s="216">
        <f t="shared" si="22"/>
        <v>1.0793973476295757E-8</v>
      </c>
      <c r="I107" s="217">
        <f t="shared" si="23"/>
        <v>1.9774943626093219E-30</v>
      </c>
      <c r="J107" s="217">
        <f t="shared" si="24"/>
        <v>1.0793973476295757E-8</v>
      </c>
      <c r="K107" s="195">
        <f t="shared" si="17"/>
        <v>1.0782618644426212E-8</v>
      </c>
      <c r="M107" s="218">
        <f t="shared" si="25"/>
        <v>1.0782618644426212E-8</v>
      </c>
      <c r="N107" s="218">
        <f>Calculations!F117</f>
        <v>1</v>
      </c>
      <c r="O107" s="219">
        <f>Spectra!$C$10*$A107</f>
        <v>3901440681350.5259</v>
      </c>
      <c r="P107" s="219">
        <f t="shared" si="26"/>
        <v>42067.747030853083</v>
      </c>
      <c r="Q107" s="218">
        <f t="shared" si="18"/>
        <v>8.9687989715720489E-10</v>
      </c>
    </row>
    <row r="108" spans="1:17" x14ac:dyDescent="0.25">
      <c r="A108" s="214">
        <v>780</v>
      </c>
      <c r="C108" s="215">
        <f t="shared" si="15"/>
        <v>0.61538461538461542</v>
      </c>
      <c r="D108" s="216">
        <f t="shared" si="19"/>
        <v>122173257.10477592</v>
      </c>
      <c r="E108" s="216">
        <f t="shared" si="20"/>
        <v>5352.0276561177707</v>
      </c>
      <c r="F108" s="217">
        <f t="shared" si="21"/>
        <v>6.8893114214998909E-4</v>
      </c>
      <c r="G108" s="216">
        <f t="shared" ref="G108" si="27">D108+E108+F108+$G$4</f>
        <v>122178609.80712096</v>
      </c>
      <c r="H108" s="216">
        <f t="shared" si="22"/>
        <v>8.1847387327345143E-9</v>
      </c>
      <c r="I108" s="217">
        <f t="shared" si="23"/>
        <v>4.1933165221750665E-31</v>
      </c>
      <c r="J108" s="217">
        <f t="shared" si="24"/>
        <v>8.1847387327345143E-9</v>
      </c>
      <c r="K108" s="195">
        <f>IF(J108="","",J108/MAX(J$12:J$108))</f>
        <v>8.1761287122994589E-9</v>
      </c>
      <c r="M108" s="218">
        <f t="shared" si="25"/>
        <v>8.1761287122994589E-9</v>
      </c>
      <c r="N108" s="218">
        <f>Calculations!F118</f>
        <v>1</v>
      </c>
      <c r="O108" s="219">
        <f>Spectra!$C$10*$A108</f>
        <v>3926611266391.4971</v>
      </c>
      <c r="P108" s="219">
        <f t="shared" si="26"/>
        <v>32104.479117182058</v>
      </c>
      <c r="Q108" s="218">
        <f t="shared" ref="Q108" si="28">P108/SUM(P$12:P$108)</f>
        <v>6.8446408379764307E-10</v>
      </c>
    </row>
    <row r="109" spans="1:17" x14ac:dyDescent="0.25">
      <c r="A109" s="214"/>
      <c r="C109" s="215"/>
      <c r="D109" s="216"/>
      <c r="E109" s="216"/>
      <c r="F109" s="217"/>
      <c r="G109" s="216"/>
      <c r="H109" s="216"/>
      <c r="I109" s="217"/>
      <c r="J109" s="217"/>
    </row>
    <row r="110" spans="1:17" x14ac:dyDescent="0.25">
      <c r="A110" s="214"/>
      <c r="C110" s="215"/>
      <c r="D110" s="216"/>
      <c r="E110" s="216"/>
      <c r="F110" s="217"/>
      <c r="G110" s="216"/>
      <c r="H110" s="216"/>
      <c r="I110" s="217"/>
      <c r="J110" s="217"/>
    </row>
    <row r="111" spans="1:17" x14ac:dyDescent="0.25">
      <c r="A111" s="214"/>
      <c r="C111" s="215"/>
      <c r="D111" s="216"/>
      <c r="E111" s="216"/>
      <c r="F111" s="217"/>
      <c r="G111" s="216"/>
      <c r="H111" s="216"/>
      <c r="I111" s="217"/>
      <c r="J111" s="217"/>
    </row>
    <row r="112" spans="1:17" x14ac:dyDescent="0.25">
      <c r="A112" s="214"/>
      <c r="C112" s="215"/>
      <c r="D112" s="216"/>
      <c r="E112" s="216"/>
      <c r="F112" s="217"/>
      <c r="G112" s="216"/>
      <c r="H112" s="216"/>
      <c r="I112" s="217"/>
      <c r="J112" s="217"/>
    </row>
    <row r="113" spans="1:10" x14ac:dyDescent="0.25">
      <c r="A113" s="214"/>
      <c r="C113" s="215"/>
      <c r="D113" s="216"/>
      <c r="E113" s="216"/>
      <c r="F113" s="217"/>
      <c r="G113" s="216"/>
      <c r="H113" s="216"/>
      <c r="I113" s="217"/>
      <c r="J113" s="217"/>
    </row>
    <row r="114" spans="1:10" x14ac:dyDescent="0.25">
      <c r="A114" s="214"/>
      <c r="C114" s="215"/>
      <c r="D114" s="216"/>
      <c r="E114" s="216"/>
      <c r="F114" s="217"/>
      <c r="G114" s="216"/>
      <c r="H114" s="216"/>
      <c r="I114" s="217"/>
      <c r="J114" s="217"/>
    </row>
    <row r="115" spans="1:10" x14ac:dyDescent="0.25">
      <c r="A115" s="214"/>
      <c r="C115" s="215"/>
      <c r="D115" s="216"/>
      <c r="E115" s="216"/>
      <c r="F115" s="217"/>
      <c r="G115" s="216"/>
      <c r="H115" s="216"/>
      <c r="I115" s="217"/>
      <c r="J115" s="217"/>
    </row>
    <row r="116" spans="1:10" x14ac:dyDescent="0.25">
      <c r="A116" s="214"/>
      <c r="C116" s="215"/>
      <c r="D116" s="216"/>
      <c r="E116" s="216"/>
      <c r="F116" s="217"/>
      <c r="G116" s="216"/>
      <c r="H116" s="216"/>
      <c r="I116" s="217"/>
      <c r="J116" s="217"/>
    </row>
    <row r="117" spans="1:10" x14ac:dyDescent="0.25">
      <c r="A117" s="214"/>
      <c r="C117" s="215"/>
      <c r="D117" s="216"/>
      <c r="E117" s="216"/>
      <c r="F117" s="217"/>
      <c r="G117" s="216"/>
      <c r="H117" s="216"/>
      <c r="I117" s="217"/>
      <c r="J117" s="217"/>
    </row>
    <row r="118" spans="1:10" x14ac:dyDescent="0.25">
      <c r="A118" s="214"/>
      <c r="C118" s="215"/>
      <c r="D118" s="216"/>
      <c r="E118" s="216"/>
      <c r="F118" s="217"/>
      <c r="G118" s="216"/>
      <c r="H118" s="216"/>
      <c r="I118" s="217"/>
      <c r="J118" s="217"/>
    </row>
    <row r="119" spans="1:10" x14ac:dyDescent="0.25">
      <c r="A119" s="214"/>
      <c r="C119" s="215"/>
      <c r="D119" s="216"/>
      <c r="E119" s="216"/>
      <c r="F119" s="217"/>
      <c r="G119" s="216"/>
      <c r="H119" s="216"/>
      <c r="I119" s="217"/>
      <c r="J119" s="217"/>
    </row>
    <row r="120" spans="1:10" x14ac:dyDescent="0.25">
      <c r="A120" s="214"/>
      <c r="C120" s="215"/>
      <c r="D120" s="216"/>
      <c r="E120" s="216"/>
      <c r="F120" s="217"/>
      <c r="G120" s="216"/>
      <c r="H120" s="216"/>
      <c r="I120" s="217"/>
      <c r="J120" s="217"/>
    </row>
    <row r="121" spans="1:10" x14ac:dyDescent="0.25">
      <c r="A121" s="214"/>
      <c r="C121" s="215"/>
      <c r="D121" s="216"/>
      <c r="E121" s="216"/>
      <c r="F121" s="217"/>
      <c r="G121" s="216"/>
      <c r="H121" s="216"/>
      <c r="I121" s="217"/>
      <c r="J121" s="217"/>
    </row>
    <row r="122" spans="1:10" x14ac:dyDescent="0.25">
      <c r="A122" s="214"/>
      <c r="C122" s="215"/>
      <c r="D122" s="216"/>
      <c r="E122" s="216"/>
      <c r="F122" s="217"/>
      <c r="G122" s="216"/>
      <c r="H122" s="216"/>
      <c r="I122" s="217"/>
      <c r="J122" s="217"/>
    </row>
    <row r="123" spans="1:10" x14ac:dyDescent="0.25">
      <c r="A123" s="214"/>
      <c r="C123" s="215"/>
      <c r="D123" s="216"/>
      <c r="E123" s="216"/>
      <c r="F123" s="217"/>
      <c r="G123" s="216"/>
      <c r="H123" s="216"/>
      <c r="I123" s="217"/>
      <c r="J123" s="217"/>
    </row>
    <row r="124" spans="1:10" x14ac:dyDescent="0.25">
      <c r="A124" s="214"/>
      <c r="C124" s="215"/>
      <c r="D124" s="216"/>
      <c r="E124" s="216"/>
      <c r="F124" s="217"/>
      <c r="G124" s="216"/>
      <c r="H124" s="216"/>
      <c r="I124" s="217"/>
      <c r="J124" s="217"/>
    </row>
    <row r="125" spans="1:10" x14ac:dyDescent="0.25">
      <c r="A125" s="214"/>
      <c r="C125" s="215"/>
      <c r="D125" s="216"/>
      <c r="E125" s="216"/>
      <c r="F125" s="217"/>
      <c r="G125" s="216"/>
      <c r="H125" s="216"/>
      <c r="I125" s="217"/>
      <c r="J125" s="217"/>
    </row>
    <row r="126" spans="1:10" x14ac:dyDescent="0.25">
      <c r="A126" s="214"/>
      <c r="C126" s="215"/>
      <c r="D126" s="216"/>
      <c r="E126" s="216"/>
      <c r="F126" s="217"/>
      <c r="G126" s="216"/>
      <c r="H126" s="216"/>
      <c r="I126" s="217"/>
      <c r="J126" s="217"/>
    </row>
    <row r="127" spans="1:10" x14ac:dyDescent="0.25">
      <c r="A127" s="214"/>
      <c r="C127" s="215"/>
      <c r="D127" s="216"/>
      <c r="E127" s="216"/>
      <c r="F127" s="217"/>
      <c r="G127" s="216"/>
      <c r="H127" s="216"/>
      <c r="I127" s="217"/>
      <c r="J127" s="217"/>
    </row>
    <row r="128" spans="1:10" x14ac:dyDescent="0.25">
      <c r="A128" s="214"/>
      <c r="C128" s="215"/>
      <c r="D128" s="216"/>
      <c r="E128" s="216"/>
      <c r="F128" s="217"/>
      <c r="G128" s="216"/>
      <c r="H128" s="216"/>
      <c r="I128" s="217"/>
      <c r="J128" s="217"/>
    </row>
    <row r="129" spans="1:10" x14ac:dyDescent="0.25">
      <c r="A129" s="214"/>
      <c r="C129" s="215"/>
      <c r="D129" s="216"/>
      <c r="E129" s="216"/>
      <c r="F129" s="217"/>
      <c r="G129" s="216"/>
      <c r="H129" s="216"/>
      <c r="I129" s="217"/>
      <c r="J129" s="217"/>
    </row>
    <row r="130" spans="1:10" x14ac:dyDescent="0.25">
      <c r="A130" s="214"/>
      <c r="C130" s="215"/>
      <c r="D130" s="216"/>
      <c r="E130" s="216"/>
      <c r="F130" s="217"/>
      <c r="G130" s="216"/>
      <c r="H130" s="216"/>
      <c r="I130" s="217"/>
      <c r="J130" s="217"/>
    </row>
    <row r="131" spans="1:10" x14ac:dyDescent="0.25">
      <c r="A131" s="214"/>
      <c r="C131" s="215"/>
      <c r="D131" s="216"/>
      <c r="E131" s="216"/>
      <c r="F131" s="217"/>
      <c r="G131" s="216"/>
      <c r="H131" s="216"/>
      <c r="I131" s="217"/>
      <c r="J131" s="217"/>
    </row>
    <row r="132" spans="1:10" x14ac:dyDescent="0.25">
      <c r="A132" s="214"/>
      <c r="C132" s="215"/>
      <c r="D132" s="216"/>
      <c r="E132" s="216"/>
      <c r="F132" s="217"/>
      <c r="G132" s="216"/>
      <c r="H132" s="216"/>
      <c r="I132" s="217"/>
      <c r="J132" s="217"/>
    </row>
    <row r="133" spans="1:10" x14ac:dyDescent="0.25">
      <c r="A133" s="214"/>
      <c r="C133" s="215"/>
      <c r="D133" s="216"/>
      <c r="E133" s="216"/>
      <c r="F133" s="217"/>
      <c r="G133" s="216"/>
      <c r="H133" s="216"/>
      <c r="I133" s="217"/>
      <c r="J133" s="217"/>
    </row>
    <row r="134" spans="1:10" x14ac:dyDescent="0.25">
      <c r="A134" s="214"/>
      <c r="C134" s="215"/>
      <c r="D134" s="216"/>
      <c r="E134" s="216"/>
      <c r="F134" s="217"/>
      <c r="G134" s="216"/>
      <c r="H134" s="216"/>
      <c r="I134" s="217"/>
      <c r="J134" s="217"/>
    </row>
    <row r="135" spans="1:10" x14ac:dyDescent="0.25">
      <c r="A135" s="214"/>
      <c r="C135" s="215"/>
      <c r="D135" s="216"/>
      <c r="E135" s="216"/>
      <c r="F135" s="217"/>
      <c r="G135" s="216"/>
      <c r="H135" s="216"/>
      <c r="I135" s="217"/>
      <c r="J135" s="217"/>
    </row>
    <row r="136" spans="1:10" x14ac:dyDescent="0.25">
      <c r="A136" s="214"/>
      <c r="C136" s="215"/>
      <c r="D136" s="216"/>
      <c r="E136" s="216"/>
      <c r="F136" s="217"/>
      <c r="G136" s="216"/>
      <c r="H136" s="216"/>
      <c r="I136" s="217"/>
      <c r="J136" s="217"/>
    </row>
    <row r="137" spans="1:10" x14ac:dyDescent="0.25">
      <c r="A137" s="214"/>
      <c r="C137" s="215"/>
      <c r="D137" s="216"/>
      <c r="E137" s="216"/>
      <c r="F137" s="217"/>
      <c r="G137" s="216"/>
      <c r="H137" s="216"/>
      <c r="I137" s="217"/>
      <c r="J137" s="217"/>
    </row>
    <row r="138" spans="1:10" x14ac:dyDescent="0.25">
      <c r="A138" s="214"/>
      <c r="C138" s="215"/>
      <c r="D138" s="216"/>
      <c r="E138" s="216"/>
      <c r="F138" s="217"/>
      <c r="G138" s="216"/>
      <c r="H138" s="216"/>
      <c r="I138" s="217"/>
      <c r="J138" s="217"/>
    </row>
    <row r="139" spans="1:10" x14ac:dyDescent="0.25">
      <c r="A139" s="214"/>
      <c r="C139" s="215"/>
      <c r="D139" s="216"/>
      <c r="E139" s="216"/>
      <c r="F139" s="217"/>
      <c r="G139" s="216"/>
      <c r="H139" s="216"/>
      <c r="I139" s="217"/>
      <c r="J139" s="217"/>
    </row>
    <row r="140" spans="1:10" x14ac:dyDescent="0.25">
      <c r="A140" s="214"/>
      <c r="C140" s="215"/>
      <c r="D140" s="216"/>
      <c r="E140" s="216"/>
      <c r="F140" s="217"/>
      <c r="G140" s="216"/>
      <c r="H140" s="216"/>
      <c r="I140" s="217"/>
      <c r="J140" s="217"/>
    </row>
    <row r="141" spans="1:10" x14ac:dyDescent="0.25">
      <c r="A141" s="214"/>
      <c r="C141" s="215"/>
      <c r="D141" s="216"/>
      <c r="E141" s="216"/>
      <c r="F141" s="217"/>
      <c r="G141" s="216"/>
      <c r="H141" s="216"/>
      <c r="I141" s="217"/>
      <c r="J141" s="217"/>
    </row>
    <row r="142" spans="1:10" x14ac:dyDescent="0.25">
      <c r="A142" s="214"/>
      <c r="C142" s="215"/>
      <c r="D142" s="216"/>
      <c r="E142" s="216"/>
      <c r="F142" s="217"/>
      <c r="G142" s="216"/>
      <c r="H142" s="216"/>
      <c r="I142" s="217"/>
      <c r="J142" s="217"/>
    </row>
    <row r="143" spans="1:10" x14ac:dyDescent="0.25">
      <c r="A143" s="214"/>
      <c r="C143" s="215"/>
      <c r="D143" s="216"/>
      <c r="E143" s="216"/>
      <c r="F143" s="217"/>
      <c r="G143" s="216"/>
      <c r="H143" s="216"/>
      <c r="I143" s="217"/>
      <c r="J143" s="217"/>
    </row>
    <row r="144" spans="1:10" x14ac:dyDescent="0.25">
      <c r="A144" s="214"/>
      <c r="C144" s="215"/>
      <c r="D144" s="216"/>
      <c r="E144" s="216"/>
      <c r="F144" s="217"/>
      <c r="G144" s="216"/>
      <c r="H144" s="216"/>
      <c r="I144" s="217"/>
      <c r="J144" s="217"/>
    </row>
    <row r="145" spans="1:10" x14ac:dyDescent="0.25">
      <c r="A145" s="214"/>
      <c r="C145" s="215"/>
      <c r="D145" s="216"/>
      <c r="E145" s="216"/>
      <c r="F145" s="217"/>
      <c r="G145" s="216"/>
      <c r="H145" s="216"/>
      <c r="I145" s="217"/>
      <c r="J145" s="217"/>
    </row>
    <row r="146" spans="1:10" x14ac:dyDescent="0.25">
      <c r="A146" s="214"/>
      <c r="C146" s="215"/>
      <c r="D146" s="216"/>
      <c r="E146" s="216"/>
      <c r="F146" s="217"/>
      <c r="G146" s="216"/>
      <c r="H146" s="216"/>
      <c r="I146" s="217"/>
      <c r="J146" s="217"/>
    </row>
    <row r="147" spans="1:10" x14ac:dyDescent="0.25">
      <c r="A147" s="214"/>
      <c r="C147" s="215"/>
      <c r="D147" s="216"/>
      <c r="E147" s="216"/>
      <c r="F147" s="217"/>
      <c r="G147" s="216"/>
      <c r="H147" s="216"/>
      <c r="I147" s="217"/>
      <c r="J147" s="217"/>
    </row>
    <row r="148" spans="1:10" x14ac:dyDescent="0.25">
      <c r="A148" s="214"/>
      <c r="C148" s="215"/>
      <c r="D148" s="216"/>
      <c r="E148" s="216"/>
      <c r="F148" s="217"/>
      <c r="G148" s="216"/>
      <c r="H148" s="216"/>
      <c r="I148" s="217"/>
      <c r="J148" s="217"/>
    </row>
    <row r="149" spans="1:10" x14ac:dyDescent="0.25">
      <c r="A149" s="214"/>
      <c r="C149" s="215"/>
      <c r="D149" s="216"/>
      <c r="E149" s="216"/>
      <c r="F149" s="217"/>
      <c r="G149" s="216"/>
      <c r="H149" s="216"/>
      <c r="I149" s="217"/>
      <c r="J149" s="217"/>
    </row>
    <row r="150" spans="1:10" x14ac:dyDescent="0.25">
      <c r="A150" s="214"/>
      <c r="C150" s="215"/>
      <c r="D150" s="216"/>
      <c r="E150" s="216"/>
      <c r="F150" s="217"/>
      <c r="G150" s="216"/>
      <c r="H150" s="216"/>
      <c r="I150" s="217"/>
      <c r="J150" s="217"/>
    </row>
    <row r="151" spans="1:10" x14ac:dyDescent="0.25">
      <c r="A151" s="214"/>
      <c r="C151" s="215"/>
      <c r="D151" s="216"/>
      <c r="E151" s="216"/>
      <c r="F151" s="217"/>
      <c r="G151" s="216"/>
      <c r="H151" s="216"/>
      <c r="I151" s="217"/>
      <c r="J151" s="217"/>
    </row>
    <row r="152" spans="1:10" x14ac:dyDescent="0.25">
      <c r="A152" s="214"/>
      <c r="C152" s="215"/>
      <c r="D152" s="216"/>
      <c r="E152" s="216"/>
      <c r="F152" s="217"/>
      <c r="G152" s="216"/>
      <c r="H152" s="216"/>
      <c r="I152" s="217"/>
      <c r="J152" s="217"/>
    </row>
    <row r="153" spans="1:10" x14ac:dyDescent="0.25">
      <c r="A153" s="214"/>
      <c r="C153" s="215"/>
      <c r="D153" s="216"/>
      <c r="E153" s="216"/>
      <c r="F153" s="217"/>
      <c r="G153" s="216"/>
      <c r="H153" s="216"/>
      <c r="I153" s="217"/>
      <c r="J153" s="217"/>
    </row>
    <row r="154" spans="1:10" x14ac:dyDescent="0.25">
      <c r="A154" s="214"/>
      <c r="C154" s="215"/>
      <c r="D154" s="216"/>
      <c r="E154" s="216"/>
      <c r="F154" s="217"/>
      <c r="G154" s="216"/>
      <c r="H154" s="216"/>
      <c r="I154" s="217"/>
      <c r="J154" s="217"/>
    </row>
    <row r="155" spans="1:10" x14ac:dyDescent="0.25">
      <c r="A155" s="214"/>
      <c r="C155" s="215"/>
      <c r="D155" s="216"/>
      <c r="E155" s="216"/>
      <c r="F155" s="217"/>
      <c r="G155" s="216"/>
      <c r="H155" s="216"/>
      <c r="I155" s="217"/>
      <c r="J155" s="217"/>
    </row>
    <row r="156" spans="1:10" x14ac:dyDescent="0.25">
      <c r="A156" s="214"/>
      <c r="C156" s="215"/>
      <c r="D156" s="216"/>
      <c r="E156" s="216"/>
      <c r="F156" s="217"/>
      <c r="G156" s="216"/>
      <c r="H156" s="216"/>
      <c r="I156" s="217"/>
      <c r="J156" s="217"/>
    </row>
    <row r="157" spans="1:10" x14ac:dyDescent="0.25">
      <c r="A157" s="214"/>
      <c r="C157" s="215"/>
      <c r="D157" s="216"/>
      <c r="E157" s="216"/>
      <c r="F157" s="217"/>
      <c r="G157" s="216"/>
      <c r="H157" s="216"/>
      <c r="I157" s="217"/>
      <c r="J157" s="217"/>
    </row>
    <row r="158" spans="1:10" x14ac:dyDescent="0.25">
      <c r="A158" s="214"/>
      <c r="C158" s="215"/>
      <c r="D158" s="216"/>
      <c r="E158" s="216"/>
      <c r="F158" s="217"/>
      <c r="G158" s="216"/>
      <c r="H158" s="216"/>
      <c r="I158" s="217"/>
      <c r="J158" s="217"/>
    </row>
    <row r="159" spans="1:10" x14ac:dyDescent="0.25">
      <c r="A159" s="214"/>
      <c r="C159" s="215"/>
      <c r="D159" s="216"/>
      <c r="E159" s="216"/>
      <c r="F159" s="217"/>
      <c r="G159" s="216"/>
      <c r="H159" s="216"/>
      <c r="I159" s="217"/>
      <c r="J159" s="217"/>
    </row>
    <row r="160" spans="1:10" x14ac:dyDescent="0.25">
      <c r="A160" s="214"/>
      <c r="C160" s="215"/>
      <c r="D160" s="216"/>
      <c r="E160" s="216"/>
      <c r="F160" s="217"/>
      <c r="G160" s="216"/>
      <c r="H160" s="216"/>
      <c r="I160" s="217"/>
      <c r="J160" s="217"/>
    </row>
    <row r="161" spans="1:10" x14ac:dyDescent="0.25">
      <c r="A161" s="214"/>
      <c r="C161" s="215"/>
      <c r="D161" s="216"/>
      <c r="E161" s="216"/>
      <c r="F161" s="217"/>
      <c r="G161" s="216"/>
      <c r="H161" s="216"/>
      <c r="I161" s="217"/>
      <c r="J161" s="217"/>
    </row>
    <row r="162" spans="1:10" x14ac:dyDescent="0.25">
      <c r="A162" s="214"/>
      <c r="C162" s="215"/>
      <c r="D162" s="216"/>
      <c r="E162" s="216"/>
      <c r="F162" s="217"/>
      <c r="G162" s="216"/>
      <c r="H162" s="216"/>
      <c r="I162" s="217"/>
      <c r="J162" s="217"/>
    </row>
    <row r="163" spans="1:10" x14ac:dyDescent="0.25">
      <c r="A163" s="214"/>
      <c r="C163" s="215"/>
      <c r="D163" s="216"/>
      <c r="E163" s="216"/>
      <c r="F163" s="217"/>
      <c r="G163" s="216"/>
      <c r="H163" s="216"/>
      <c r="I163" s="217"/>
      <c r="J163" s="217"/>
    </row>
    <row r="164" spans="1:10" x14ac:dyDescent="0.25">
      <c r="A164" s="214"/>
      <c r="C164" s="215"/>
      <c r="D164" s="216"/>
      <c r="E164" s="216"/>
      <c r="F164" s="217"/>
      <c r="G164" s="216"/>
      <c r="H164" s="216"/>
      <c r="I164" s="217"/>
      <c r="J164" s="217"/>
    </row>
    <row r="165" spans="1:10" x14ac:dyDescent="0.25">
      <c r="A165" s="214"/>
      <c r="C165" s="215"/>
      <c r="D165" s="216"/>
      <c r="E165" s="216"/>
      <c r="F165" s="217"/>
      <c r="G165" s="216"/>
      <c r="H165" s="216"/>
      <c r="I165" s="217"/>
      <c r="J165" s="217"/>
    </row>
    <row r="166" spans="1:10" x14ac:dyDescent="0.25">
      <c r="A166" s="214"/>
      <c r="C166" s="215"/>
      <c r="D166" s="216"/>
      <c r="E166" s="216"/>
      <c r="F166" s="217"/>
      <c r="G166" s="216"/>
      <c r="H166" s="216"/>
      <c r="I166" s="217"/>
      <c r="J166" s="217"/>
    </row>
    <row r="167" spans="1:10" x14ac:dyDescent="0.25">
      <c r="A167" s="214"/>
      <c r="C167" s="215"/>
      <c r="D167" s="216"/>
      <c r="E167" s="216"/>
      <c r="F167" s="217"/>
      <c r="G167" s="216"/>
      <c r="H167" s="216"/>
      <c r="I167" s="217"/>
      <c r="J167" s="217"/>
    </row>
    <row r="168" spans="1:10" x14ac:dyDescent="0.25">
      <c r="A168" s="214"/>
      <c r="C168" s="215"/>
      <c r="D168" s="216"/>
      <c r="E168" s="216"/>
      <c r="F168" s="217"/>
      <c r="G168" s="216"/>
      <c r="H168" s="216"/>
      <c r="I168" s="217"/>
      <c r="J168" s="217"/>
    </row>
    <row r="169" spans="1:10" x14ac:dyDescent="0.25">
      <c r="A169" s="214"/>
      <c r="C169" s="215"/>
      <c r="D169" s="216"/>
      <c r="E169" s="216"/>
      <c r="F169" s="217"/>
      <c r="G169" s="216"/>
      <c r="H169" s="216"/>
      <c r="I169" s="217"/>
      <c r="J169" s="217"/>
    </row>
    <row r="170" spans="1:10" x14ac:dyDescent="0.25">
      <c r="A170" s="214"/>
      <c r="C170" s="215"/>
      <c r="D170" s="216"/>
      <c r="E170" s="216"/>
      <c r="F170" s="217"/>
      <c r="G170" s="216"/>
      <c r="H170" s="216"/>
      <c r="I170" s="217"/>
      <c r="J170" s="217"/>
    </row>
    <row r="171" spans="1:10" x14ac:dyDescent="0.25">
      <c r="A171" s="214"/>
      <c r="C171" s="215"/>
      <c r="D171" s="216"/>
      <c r="E171" s="216"/>
      <c r="F171" s="217"/>
      <c r="G171" s="216"/>
      <c r="H171" s="216"/>
      <c r="I171" s="217"/>
      <c r="J171" s="217"/>
    </row>
    <row r="172" spans="1:10" x14ac:dyDescent="0.25">
      <c r="A172" s="214"/>
      <c r="C172" s="215"/>
      <c r="D172" s="216"/>
      <c r="E172" s="216"/>
      <c r="F172" s="217"/>
      <c r="G172" s="216"/>
      <c r="H172" s="216"/>
      <c r="I172" s="217"/>
      <c r="J172" s="217"/>
    </row>
    <row r="173" spans="1:10" x14ac:dyDescent="0.25">
      <c r="A173" s="214"/>
      <c r="C173" s="215"/>
      <c r="D173" s="216"/>
      <c r="E173" s="216"/>
      <c r="F173" s="217"/>
      <c r="G173" s="216"/>
      <c r="H173" s="216"/>
      <c r="I173" s="217"/>
      <c r="J173" s="217"/>
    </row>
    <row r="174" spans="1:10" x14ac:dyDescent="0.25">
      <c r="A174" s="214"/>
      <c r="C174" s="215"/>
      <c r="D174" s="216"/>
      <c r="E174" s="216"/>
      <c r="F174" s="217"/>
      <c r="G174" s="216"/>
      <c r="H174" s="216"/>
      <c r="I174" s="217"/>
      <c r="J174" s="217"/>
    </row>
    <row r="175" spans="1:10" x14ac:dyDescent="0.25">
      <c r="A175" s="214"/>
      <c r="C175" s="215"/>
      <c r="D175" s="216"/>
      <c r="E175" s="216"/>
      <c r="F175" s="217"/>
      <c r="G175" s="216"/>
      <c r="H175" s="216"/>
      <c r="I175" s="217"/>
      <c r="J175" s="217"/>
    </row>
    <row r="176" spans="1:10" x14ac:dyDescent="0.25">
      <c r="A176" s="214"/>
      <c r="C176" s="215"/>
      <c r="D176" s="216"/>
      <c r="E176" s="216"/>
      <c r="F176" s="217"/>
      <c r="G176" s="216"/>
      <c r="H176" s="216"/>
      <c r="I176" s="217"/>
      <c r="J176" s="217"/>
    </row>
    <row r="177" spans="1:10" x14ac:dyDescent="0.25">
      <c r="A177" s="214"/>
      <c r="C177" s="215"/>
      <c r="D177" s="216"/>
      <c r="E177" s="216"/>
      <c r="F177" s="217"/>
      <c r="G177" s="216"/>
      <c r="H177" s="216"/>
      <c r="I177" s="217"/>
      <c r="J177" s="217"/>
    </row>
    <row r="178" spans="1:10" x14ac:dyDescent="0.25">
      <c r="A178" s="214"/>
      <c r="C178" s="215"/>
      <c r="D178" s="216"/>
      <c r="E178" s="216"/>
      <c r="F178" s="217"/>
      <c r="G178" s="216"/>
      <c r="H178" s="216"/>
      <c r="I178" s="217"/>
      <c r="J178" s="217"/>
    </row>
    <row r="179" spans="1:10" x14ac:dyDescent="0.25">
      <c r="A179" s="214"/>
      <c r="C179" s="215"/>
      <c r="D179" s="216"/>
      <c r="E179" s="216"/>
      <c r="F179" s="217"/>
      <c r="G179" s="216"/>
      <c r="H179" s="216"/>
      <c r="I179" s="217"/>
      <c r="J179" s="217"/>
    </row>
    <row r="180" spans="1:10" x14ac:dyDescent="0.25">
      <c r="A180" s="214"/>
      <c r="C180" s="215"/>
      <c r="D180" s="216"/>
      <c r="E180" s="216"/>
      <c r="F180" s="217"/>
      <c r="G180" s="216"/>
      <c r="H180" s="216"/>
      <c r="I180" s="217"/>
      <c r="J180" s="217"/>
    </row>
    <row r="181" spans="1:10" x14ac:dyDescent="0.25">
      <c r="A181" s="214"/>
      <c r="C181" s="215"/>
      <c r="D181" s="216"/>
      <c r="E181" s="216"/>
      <c r="F181" s="217"/>
      <c r="G181" s="216"/>
      <c r="H181" s="216"/>
      <c r="I181" s="217"/>
      <c r="J181" s="217"/>
    </row>
    <row r="182" spans="1:10" x14ac:dyDescent="0.25">
      <c r="A182" s="214"/>
      <c r="C182" s="215"/>
      <c r="D182" s="216"/>
      <c r="E182" s="216"/>
      <c r="F182" s="217"/>
      <c r="G182" s="216"/>
      <c r="H182" s="216"/>
      <c r="I182" s="217"/>
      <c r="J182" s="217"/>
    </row>
    <row r="183" spans="1:10" x14ac:dyDescent="0.25">
      <c r="A183" s="214"/>
      <c r="C183" s="215"/>
      <c r="D183" s="216"/>
      <c r="E183" s="216"/>
      <c r="F183" s="217"/>
      <c r="G183" s="216"/>
      <c r="H183" s="216"/>
      <c r="I183" s="217"/>
      <c r="J183" s="217"/>
    </row>
    <row r="184" spans="1:10" x14ac:dyDescent="0.25">
      <c r="A184" s="214"/>
      <c r="C184" s="215"/>
      <c r="D184" s="216"/>
      <c r="E184" s="216"/>
      <c r="F184" s="217"/>
      <c r="G184" s="216"/>
      <c r="H184" s="216"/>
      <c r="I184" s="217"/>
      <c r="J184" s="217"/>
    </row>
    <row r="185" spans="1:10" x14ac:dyDescent="0.25">
      <c r="A185" s="214"/>
      <c r="C185" s="215"/>
      <c r="D185" s="216"/>
      <c r="E185" s="216"/>
      <c r="F185" s="217"/>
      <c r="G185" s="216"/>
      <c r="H185" s="216"/>
      <c r="I185" s="217"/>
      <c r="J185" s="217"/>
    </row>
    <row r="186" spans="1:10" x14ac:dyDescent="0.25">
      <c r="A186" s="214"/>
      <c r="C186" s="215"/>
      <c r="D186" s="216"/>
      <c r="E186" s="216"/>
      <c r="F186" s="217"/>
      <c r="G186" s="216"/>
      <c r="H186" s="216"/>
      <c r="I186" s="217"/>
      <c r="J186" s="217"/>
    </row>
    <row r="187" spans="1:10" x14ac:dyDescent="0.25">
      <c r="A187" s="214"/>
      <c r="C187" s="215"/>
      <c r="D187" s="216"/>
      <c r="E187" s="216"/>
      <c r="F187" s="217"/>
      <c r="G187" s="216"/>
      <c r="H187" s="216"/>
      <c r="I187" s="217"/>
      <c r="J187" s="217"/>
    </row>
    <row r="188" spans="1:10" x14ac:dyDescent="0.25">
      <c r="A188" s="214"/>
      <c r="C188" s="215"/>
      <c r="D188" s="216"/>
      <c r="E188" s="216"/>
      <c r="F188" s="217"/>
      <c r="G188" s="216"/>
      <c r="H188" s="216"/>
      <c r="I188" s="217"/>
      <c r="J188" s="217"/>
    </row>
    <row r="189" spans="1:10" x14ac:dyDescent="0.25">
      <c r="A189" s="214"/>
      <c r="C189" s="215"/>
      <c r="D189" s="216"/>
      <c r="E189" s="216"/>
      <c r="F189" s="217"/>
      <c r="G189" s="216"/>
      <c r="H189" s="216"/>
      <c r="I189" s="217"/>
      <c r="J189" s="217"/>
    </row>
    <row r="190" spans="1:10" x14ac:dyDescent="0.25">
      <c r="A190" s="214"/>
      <c r="C190" s="215"/>
      <c r="D190" s="216"/>
      <c r="E190" s="216"/>
      <c r="F190" s="217"/>
      <c r="G190" s="216"/>
      <c r="H190" s="216"/>
      <c r="I190" s="217"/>
      <c r="J190" s="217"/>
    </row>
    <row r="191" spans="1:10" x14ac:dyDescent="0.25">
      <c r="A191" s="214"/>
      <c r="C191" s="215"/>
      <c r="D191" s="216"/>
      <c r="E191" s="216"/>
      <c r="F191" s="217"/>
      <c r="G191" s="216"/>
      <c r="H191" s="216"/>
      <c r="I191" s="217"/>
      <c r="J191" s="217"/>
    </row>
    <row r="192" spans="1:10" x14ac:dyDescent="0.25">
      <c r="A192" s="214"/>
      <c r="C192" s="215"/>
      <c r="D192" s="216"/>
      <c r="E192" s="216"/>
      <c r="F192" s="217"/>
      <c r="G192" s="216"/>
      <c r="H192" s="216"/>
      <c r="I192" s="217"/>
      <c r="J192" s="217"/>
    </row>
    <row r="193" spans="1:10" x14ac:dyDescent="0.25">
      <c r="A193" s="214"/>
      <c r="C193" s="215"/>
      <c r="D193" s="216"/>
      <c r="E193" s="216"/>
      <c r="F193" s="217"/>
      <c r="G193" s="216"/>
      <c r="H193" s="216"/>
      <c r="I193" s="217"/>
      <c r="J193" s="217"/>
    </row>
    <row r="194" spans="1:10" x14ac:dyDescent="0.25">
      <c r="A194" s="214"/>
      <c r="C194" s="215"/>
      <c r="D194" s="216"/>
      <c r="E194" s="216"/>
      <c r="F194" s="217"/>
      <c r="G194" s="216"/>
      <c r="H194" s="216"/>
      <c r="I194" s="217"/>
      <c r="J194" s="217"/>
    </row>
    <row r="195" spans="1:10" x14ac:dyDescent="0.25">
      <c r="A195" s="214"/>
      <c r="C195" s="215"/>
      <c r="D195" s="216"/>
      <c r="E195" s="216"/>
      <c r="F195" s="217"/>
      <c r="G195" s="216"/>
      <c r="H195" s="216"/>
      <c r="I195" s="217"/>
      <c r="J195" s="217"/>
    </row>
    <row r="196" spans="1:10" x14ac:dyDescent="0.25">
      <c r="A196" s="214"/>
      <c r="C196" s="215"/>
      <c r="D196" s="216"/>
      <c r="E196" s="216"/>
      <c r="F196" s="217"/>
      <c r="G196" s="216"/>
      <c r="H196" s="216"/>
      <c r="I196" s="217"/>
      <c r="J196" s="217"/>
    </row>
    <row r="197" spans="1:10" x14ac:dyDescent="0.25">
      <c r="A197" s="214"/>
      <c r="C197" s="215"/>
      <c r="D197" s="216"/>
      <c r="E197" s="216"/>
      <c r="F197" s="217"/>
      <c r="G197" s="216"/>
      <c r="H197" s="216"/>
      <c r="I197" s="217"/>
      <c r="J197" s="217"/>
    </row>
    <row r="198" spans="1:10" x14ac:dyDescent="0.25">
      <c r="A198" s="214"/>
      <c r="C198" s="215"/>
      <c r="D198" s="216"/>
      <c r="E198" s="216"/>
      <c r="F198" s="217"/>
      <c r="G198" s="216"/>
      <c r="H198" s="216"/>
      <c r="I198" s="217"/>
      <c r="J198" s="217"/>
    </row>
    <row r="199" spans="1:10" x14ac:dyDescent="0.25">
      <c r="A199" s="214"/>
      <c r="C199" s="215"/>
      <c r="D199" s="216"/>
      <c r="E199" s="216"/>
      <c r="F199" s="217"/>
      <c r="G199" s="216"/>
      <c r="H199" s="216"/>
      <c r="I199" s="217"/>
      <c r="J199" s="217"/>
    </row>
    <row r="200" spans="1:10" x14ac:dyDescent="0.25">
      <c r="A200" s="214"/>
      <c r="C200" s="215"/>
      <c r="D200" s="216"/>
      <c r="E200" s="216"/>
      <c r="F200" s="217"/>
      <c r="G200" s="216"/>
      <c r="H200" s="216"/>
      <c r="I200" s="217"/>
      <c r="J200" s="217"/>
    </row>
    <row r="201" spans="1:10" x14ac:dyDescent="0.25">
      <c r="A201" s="214"/>
      <c r="C201" s="215"/>
      <c r="D201" s="216"/>
      <c r="E201" s="216"/>
      <c r="F201" s="217"/>
      <c r="G201" s="216"/>
      <c r="H201" s="216"/>
      <c r="I201" s="217"/>
      <c r="J201" s="217"/>
    </row>
    <row r="202" spans="1:10" x14ac:dyDescent="0.25">
      <c r="A202" s="214"/>
      <c r="C202" s="215"/>
      <c r="D202" s="216"/>
      <c r="E202" s="216"/>
      <c r="F202" s="217"/>
      <c r="G202" s="216"/>
      <c r="H202" s="216"/>
      <c r="I202" s="217"/>
      <c r="J202" s="217"/>
    </row>
    <row r="203" spans="1:10" x14ac:dyDescent="0.25">
      <c r="A203" s="214"/>
      <c r="C203" s="215"/>
      <c r="D203" s="216"/>
      <c r="E203" s="216"/>
      <c r="F203" s="217"/>
      <c r="G203" s="216"/>
      <c r="H203" s="216"/>
      <c r="I203" s="217"/>
      <c r="J203" s="217"/>
    </row>
    <row r="204" spans="1:10" x14ac:dyDescent="0.25">
      <c r="A204" s="214"/>
      <c r="C204" s="215"/>
      <c r="D204" s="216"/>
      <c r="E204" s="216"/>
      <c r="F204" s="217"/>
      <c r="G204" s="216"/>
      <c r="H204" s="216"/>
      <c r="I204" s="217"/>
      <c r="J204" s="217"/>
    </row>
    <row r="205" spans="1:10" x14ac:dyDescent="0.25">
      <c r="A205" s="214"/>
      <c r="C205" s="215"/>
      <c r="D205" s="216"/>
      <c r="E205" s="216"/>
      <c r="F205" s="217"/>
      <c r="G205" s="216"/>
      <c r="H205" s="216"/>
      <c r="I205" s="217"/>
      <c r="J205" s="217"/>
    </row>
    <row r="206" spans="1:10" x14ac:dyDescent="0.25">
      <c r="A206" s="214"/>
      <c r="C206" s="215"/>
      <c r="D206" s="216"/>
      <c r="E206" s="216"/>
      <c r="F206" s="217"/>
      <c r="G206" s="216"/>
      <c r="H206" s="216"/>
      <c r="I206" s="217"/>
      <c r="J206" s="217"/>
    </row>
    <row r="207" spans="1:10" x14ac:dyDescent="0.25">
      <c r="A207" s="214"/>
      <c r="C207" s="215"/>
      <c r="D207" s="216"/>
      <c r="E207" s="216"/>
      <c r="F207" s="217"/>
      <c r="G207" s="216"/>
      <c r="H207" s="216"/>
      <c r="I207" s="217"/>
      <c r="J207" s="217"/>
    </row>
    <row r="208" spans="1:10" x14ac:dyDescent="0.25">
      <c r="A208" s="214"/>
      <c r="C208" s="215"/>
      <c r="D208" s="216"/>
      <c r="E208" s="216"/>
      <c r="F208" s="217"/>
      <c r="G208" s="216"/>
      <c r="H208" s="216"/>
      <c r="I208" s="217"/>
      <c r="J208" s="217"/>
    </row>
    <row r="209" spans="1:10" x14ac:dyDescent="0.25">
      <c r="A209" s="214"/>
      <c r="C209" s="215"/>
      <c r="D209" s="216"/>
      <c r="E209" s="216"/>
      <c r="F209" s="217"/>
      <c r="G209" s="216"/>
      <c r="H209" s="216"/>
      <c r="I209" s="217"/>
      <c r="J209" s="217"/>
    </row>
    <row r="210" spans="1:10" x14ac:dyDescent="0.25">
      <c r="A210" s="214"/>
      <c r="C210" s="215"/>
      <c r="D210" s="216"/>
      <c r="E210" s="216"/>
      <c r="F210" s="217"/>
      <c r="G210" s="216"/>
      <c r="H210" s="216"/>
      <c r="I210" s="217"/>
      <c r="J210" s="217"/>
    </row>
    <row r="211" spans="1:10" x14ac:dyDescent="0.25">
      <c r="A211" s="214"/>
      <c r="C211" s="215"/>
      <c r="D211" s="216"/>
      <c r="E211" s="216"/>
      <c r="F211" s="217"/>
      <c r="G211" s="216"/>
      <c r="H211" s="216"/>
      <c r="I211" s="217"/>
      <c r="J211" s="217"/>
    </row>
    <row r="212" spans="1:10" x14ac:dyDescent="0.25">
      <c r="A212" s="214"/>
      <c r="C212" s="215"/>
      <c r="D212" s="216"/>
      <c r="E212" s="216"/>
      <c r="F212" s="217"/>
      <c r="G212" s="216"/>
      <c r="H212" s="216"/>
      <c r="I212" s="217"/>
      <c r="J212" s="217"/>
    </row>
    <row r="213" spans="1:10" x14ac:dyDescent="0.25">
      <c r="A213" s="214"/>
      <c r="C213" s="215"/>
      <c r="D213" s="216"/>
      <c r="E213" s="216"/>
      <c r="F213" s="217"/>
      <c r="G213" s="216"/>
      <c r="H213" s="216"/>
      <c r="I213" s="217"/>
      <c r="J213" s="217"/>
    </row>
    <row r="214" spans="1:10" x14ac:dyDescent="0.25">
      <c r="A214" s="214"/>
      <c r="C214" s="215"/>
      <c r="D214" s="216"/>
      <c r="E214" s="216"/>
      <c r="F214" s="217"/>
      <c r="G214" s="216"/>
      <c r="H214" s="216"/>
      <c r="I214" s="217"/>
      <c r="J214" s="217"/>
    </row>
    <row r="215" spans="1:10" x14ac:dyDescent="0.25">
      <c r="A215" s="214"/>
      <c r="C215" s="215"/>
      <c r="D215" s="216"/>
      <c r="E215" s="216"/>
      <c r="F215" s="217"/>
      <c r="G215" s="216"/>
      <c r="H215" s="216"/>
      <c r="I215" s="217"/>
      <c r="J215" s="217"/>
    </row>
    <row r="216" spans="1:10" x14ac:dyDescent="0.25">
      <c r="A216" s="214"/>
      <c r="C216" s="215"/>
      <c r="D216" s="216"/>
      <c r="E216" s="216"/>
      <c r="F216" s="217"/>
      <c r="G216" s="216"/>
      <c r="H216" s="216"/>
      <c r="I216" s="217"/>
      <c r="J216" s="217"/>
    </row>
    <row r="217" spans="1:10" x14ac:dyDescent="0.25">
      <c r="A217" s="214"/>
      <c r="C217" s="215"/>
      <c r="D217" s="216"/>
      <c r="E217" s="216"/>
      <c r="F217" s="217"/>
      <c r="G217" s="216"/>
      <c r="H217" s="216"/>
      <c r="I217" s="217"/>
      <c r="J217" s="217"/>
    </row>
    <row r="218" spans="1:10" x14ac:dyDescent="0.25">
      <c r="A218" s="214"/>
      <c r="C218" s="215"/>
      <c r="D218" s="216"/>
      <c r="E218" s="216"/>
      <c r="F218" s="217"/>
      <c r="G218" s="216"/>
      <c r="H218" s="216"/>
      <c r="I218" s="217"/>
      <c r="J218" s="217"/>
    </row>
    <row r="219" spans="1:10" x14ac:dyDescent="0.25">
      <c r="A219" s="214"/>
      <c r="C219" s="215"/>
      <c r="D219" s="216"/>
      <c r="E219" s="216"/>
      <c r="F219" s="217"/>
      <c r="G219" s="216"/>
      <c r="H219" s="216"/>
      <c r="I219" s="217"/>
      <c r="J219" s="217"/>
    </row>
    <row r="220" spans="1:10" x14ac:dyDescent="0.25">
      <c r="A220" s="214"/>
      <c r="C220" s="215"/>
      <c r="D220" s="216"/>
      <c r="E220" s="216"/>
      <c r="F220" s="217"/>
      <c r="G220" s="216"/>
      <c r="H220" s="216"/>
      <c r="I220" s="217"/>
      <c r="J220" s="217"/>
    </row>
    <row r="221" spans="1:10" x14ac:dyDescent="0.25">
      <c r="A221" s="214"/>
      <c r="C221" s="215"/>
      <c r="D221" s="216"/>
      <c r="E221" s="216"/>
      <c r="F221" s="217"/>
      <c r="G221" s="216"/>
      <c r="H221" s="216"/>
      <c r="I221" s="217"/>
      <c r="J221" s="217"/>
    </row>
    <row r="222" spans="1:10" x14ac:dyDescent="0.25">
      <c r="A222" s="214"/>
      <c r="C222" s="215"/>
      <c r="D222" s="216"/>
      <c r="E222" s="216"/>
      <c r="F222" s="217"/>
      <c r="G222" s="216"/>
      <c r="H222" s="216"/>
      <c r="I222" s="217"/>
      <c r="J222" s="217"/>
    </row>
    <row r="223" spans="1:10" x14ac:dyDescent="0.25">
      <c r="A223" s="214"/>
      <c r="C223" s="215"/>
      <c r="D223" s="216"/>
      <c r="E223" s="216"/>
      <c r="F223" s="217"/>
      <c r="G223" s="216"/>
      <c r="H223" s="216"/>
      <c r="I223" s="217"/>
      <c r="J223" s="217"/>
    </row>
    <row r="224" spans="1:10" x14ac:dyDescent="0.25">
      <c r="A224" s="214"/>
      <c r="C224" s="215"/>
      <c r="D224" s="216"/>
      <c r="E224" s="216"/>
      <c r="F224" s="217"/>
      <c r="G224" s="216"/>
      <c r="H224" s="216"/>
      <c r="I224" s="217"/>
      <c r="J224" s="217"/>
    </row>
    <row r="225" spans="1:10" x14ac:dyDescent="0.25">
      <c r="A225" s="214"/>
      <c r="C225" s="215"/>
      <c r="D225" s="216"/>
      <c r="E225" s="216"/>
      <c r="F225" s="217"/>
      <c r="G225" s="216"/>
      <c r="H225" s="216"/>
      <c r="I225" s="217"/>
      <c r="J225" s="217"/>
    </row>
    <row r="226" spans="1:10" x14ac:dyDescent="0.25">
      <c r="A226" s="214"/>
      <c r="C226" s="215"/>
      <c r="D226" s="216"/>
      <c r="E226" s="216"/>
      <c r="F226" s="217"/>
      <c r="G226" s="216"/>
      <c r="H226" s="216"/>
      <c r="I226" s="217"/>
      <c r="J226" s="217"/>
    </row>
    <row r="227" spans="1:10" x14ac:dyDescent="0.25">
      <c r="A227" s="214"/>
      <c r="C227" s="215"/>
      <c r="D227" s="216"/>
      <c r="E227" s="216"/>
      <c r="F227" s="217"/>
      <c r="G227" s="216"/>
      <c r="H227" s="216"/>
      <c r="I227" s="217"/>
      <c r="J227" s="217"/>
    </row>
    <row r="228" spans="1:10" x14ac:dyDescent="0.25">
      <c r="A228" s="214"/>
      <c r="C228" s="215"/>
      <c r="D228" s="216"/>
      <c r="E228" s="216"/>
      <c r="F228" s="217"/>
      <c r="G228" s="216"/>
      <c r="H228" s="216"/>
      <c r="I228" s="217"/>
      <c r="J228" s="217"/>
    </row>
    <row r="229" spans="1:10" x14ac:dyDescent="0.25">
      <c r="A229" s="214"/>
      <c r="C229" s="215"/>
      <c r="D229" s="216"/>
      <c r="E229" s="216"/>
      <c r="F229" s="217"/>
      <c r="G229" s="216"/>
      <c r="H229" s="216"/>
      <c r="I229" s="217"/>
      <c r="J229" s="217"/>
    </row>
    <row r="230" spans="1:10" x14ac:dyDescent="0.25">
      <c r="A230" s="214"/>
      <c r="C230" s="215"/>
      <c r="D230" s="216"/>
      <c r="E230" s="216"/>
      <c r="F230" s="217"/>
      <c r="G230" s="216"/>
      <c r="H230" s="216"/>
      <c r="I230" s="217"/>
      <c r="J230" s="217"/>
    </row>
    <row r="231" spans="1:10" x14ac:dyDescent="0.25">
      <c r="A231" s="214"/>
      <c r="C231" s="215"/>
      <c r="D231" s="216"/>
      <c r="E231" s="216"/>
      <c r="F231" s="217"/>
      <c r="G231" s="216"/>
      <c r="H231" s="216"/>
      <c r="I231" s="217"/>
      <c r="J231" s="217"/>
    </row>
    <row r="232" spans="1:10" x14ac:dyDescent="0.25">
      <c r="A232" s="214"/>
      <c r="C232" s="215"/>
      <c r="D232" s="216"/>
      <c r="E232" s="216"/>
      <c r="F232" s="217"/>
      <c r="G232" s="216"/>
      <c r="H232" s="216"/>
      <c r="I232" s="217"/>
      <c r="J232" s="217"/>
    </row>
    <row r="233" spans="1:10" x14ac:dyDescent="0.25">
      <c r="A233" s="214"/>
      <c r="C233" s="215"/>
      <c r="D233" s="216"/>
      <c r="E233" s="216"/>
      <c r="F233" s="217"/>
      <c r="G233" s="216"/>
      <c r="H233" s="216"/>
      <c r="I233" s="217"/>
      <c r="J233" s="217"/>
    </row>
    <row r="234" spans="1:10" x14ac:dyDescent="0.25">
      <c r="A234" s="214"/>
      <c r="C234" s="215"/>
      <c r="D234" s="216"/>
      <c r="E234" s="216"/>
      <c r="F234" s="217"/>
      <c r="G234" s="216"/>
      <c r="H234" s="216"/>
      <c r="I234" s="217"/>
      <c r="J234" s="217"/>
    </row>
    <row r="235" spans="1:10" x14ac:dyDescent="0.25">
      <c r="A235" s="214"/>
      <c r="C235" s="215"/>
      <c r="D235" s="216"/>
      <c r="E235" s="216"/>
      <c r="F235" s="217"/>
      <c r="G235" s="216"/>
      <c r="H235" s="216"/>
      <c r="I235" s="217"/>
      <c r="J235" s="217"/>
    </row>
    <row r="236" spans="1:10" x14ac:dyDescent="0.25">
      <c r="A236" s="214"/>
      <c r="C236" s="215"/>
      <c r="D236" s="216"/>
      <c r="E236" s="216"/>
      <c r="F236" s="217"/>
      <c r="G236" s="216"/>
      <c r="H236" s="216"/>
      <c r="I236" s="217"/>
      <c r="J236" s="217"/>
    </row>
    <row r="237" spans="1:10" x14ac:dyDescent="0.25">
      <c r="A237" s="214"/>
      <c r="C237" s="215"/>
      <c r="D237" s="216"/>
      <c r="E237" s="216"/>
      <c r="F237" s="217"/>
      <c r="G237" s="216"/>
      <c r="H237" s="216"/>
      <c r="I237" s="217"/>
      <c r="J237" s="217"/>
    </row>
    <row r="238" spans="1:10" x14ac:dyDescent="0.25">
      <c r="A238" s="214"/>
      <c r="C238" s="215"/>
      <c r="D238" s="216"/>
      <c r="E238" s="216"/>
      <c r="F238" s="217"/>
      <c r="G238" s="216"/>
      <c r="H238" s="216"/>
      <c r="I238" s="217"/>
      <c r="J238" s="217"/>
    </row>
    <row r="239" spans="1:10" x14ac:dyDescent="0.25">
      <c r="A239" s="214"/>
      <c r="C239" s="215"/>
      <c r="D239" s="216"/>
      <c r="E239" s="216"/>
      <c r="F239" s="217"/>
      <c r="G239" s="216"/>
      <c r="H239" s="216"/>
      <c r="I239" s="217"/>
      <c r="J239" s="217"/>
    </row>
    <row r="240" spans="1:10" x14ac:dyDescent="0.25">
      <c r="A240" s="214"/>
      <c r="C240" s="215"/>
      <c r="D240" s="216"/>
      <c r="E240" s="216"/>
      <c r="F240" s="217"/>
      <c r="G240" s="216"/>
      <c r="H240" s="216"/>
      <c r="I240" s="217"/>
      <c r="J240" s="217"/>
    </row>
    <row r="241" spans="1:10" x14ac:dyDescent="0.25">
      <c r="A241" s="214"/>
      <c r="C241" s="215"/>
      <c r="D241" s="216"/>
      <c r="E241" s="216"/>
      <c r="F241" s="217"/>
      <c r="G241" s="216"/>
      <c r="H241" s="216"/>
      <c r="I241" s="217"/>
      <c r="J241" s="217"/>
    </row>
    <row r="242" spans="1:10" x14ac:dyDescent="0.25">
      <c r="A242" s="214"/>
      <c r="C242" s="215"/>
      <c r="D242" s="216"/>
      <c r="E242" s="216"/>
      <c r="F242" s="217"/>
      <c r="G242" s="216"/>
      <c r="H242" s="216"/>
      <c r="I242" s="217"/>
      <c r="J242" s="217"/>
    </row>
    <row r="243" spans="1:10" x14ac:dyDescent="0.25">
      <c r="A243" s="214"/>
      <c r="C243" s="215"/>
      <c r="D243" s="216"/>
      <c r="E243" s="216"/>
      <c r="F243" s="217"/>
      <c r="G243" s="216"/>
      <c r="H243" s="216"/>
      <c r="I243" s="217"/>
      <c r="J243" s="217"/>
    </row>
    <row r="244" spans="1:10" x14ac:dyDescent="0.25">
      <c r="A244" s="214"/>
      <c r="C244" s="215"/>
      <c r="D244" s="216"/>
      <c r="E244" s="216"/>
      <c r="F244" s="217"/>
      <c r="G244" s="216"/>
      <c r="H244" s="216"/>
      <c r="I244" s="217"/>
      <c r="J244" s="217"/>
    </row>
    <row r="245" spans="1:10" x14ac:dyDescent="0.25">
      <c r="A245" s="214"/>
      <c r="C245" s="215"/>
      <c r="D245" s="216"/>
      <c r="E245" s="216"/>
      <c r="F245" s="217"/>
      <c r="G245" s="216"/>
      <c r="H245" s="216"/>
      <c r="I245" s="217"/>
      <c r="J245" s="217"/>
    </row>
    <row r="246" spans="1:10" x14ac:dyDescent="0.25">
      <c r="A246" s="214"/>
      <c r="C246" s="215"/>
      <c r="D246" s="216"/>
      <c r="E246" s="216"/>
      <c r="F246" s="217"/>
      <c r="G246" s="216"/>
      <c r="H246" s="216"/>
      <c r="I246" s="217"/>
      <c r="J246" s="217"/>
    </row>
    <row r="247" spans="1:10" x14ac:dyDescent="0.25">
      <c r="A247" s="214"/>
      <c r="C247" s="215"/>
      <c r="D247" s="216"/>
      <c r="E247" s="216"/>
      <c r="F247" s="217"/>
      <c r="G247" s="216"/>
      <c r="H247" s="216"/>
      <c r="I247" s="217"/>
      <c r="J247" s="217"/>
    </row>
    <row r="248" spans="1:10" x14ac:dyDescent="0.25">
      <c r="A248" s="214"/>
      <c r="C248" s="215"/>
      <c r="D248" s="216"/>
      <c r="E248" s="216"/>
      <c r="F248" s="217"/>
      <c r="G248" s="216"/>
      <c r="H248" s="216"/>
      <c r="I248" s="217"/>
      <c r="J248" s="217"/>
    </row>
    <row r="249" spans="1:10" x14ac:dyDescent="0.25">
      <c r="A249" s="214"/>
      <c r="C249" s="215"/>
      <c r="D249" s="216"/>
      <c r="E249" s="216"/>
      <c r="F249" s="217"/>
      <c r="G249" s="216"/>
      <c r="H249" s="216"/>
      <c r="I249" s="217"/>
      <c r="J249" s="217"/>
    </row>
    <row r="250" spans="1:10" x14ac:dyDescent="0.25">
      <c r="A250" s="214"/>
      <c r="C250" s="215"/>
      <c r="D250" s="216"/>
      <c r="E250" s="216"/>
      <c r="F250" s="217"/>
      <c r="G250" s="216"/>
      <c r="H250" s="216"/>
      <c r="I250" s="217"/>
      <c r="J250" s="217"/>
    </row>
    <row r="251" spans="1:10" x14ac:dyDescent="0.25">
      <c r="A251" s="214"/>
      <c r="C251" s="215"/>
      <c r="D251" s="216"/>
      <c r="E251" s="216"/>
      <c r="F251" s="217"/>
      <c r="G251" s="216"/>
      <c r="H251" s="216"/>
      <c r="I251" s="217"/>
      <c r="J251" s="217"/>
    </row>
    <row r="252" spans="1:10" x14ac:dyDescent="0.25">
      <c r="A252" s="214"/>
      <c r="C252" s="215"/>
      <c r="D252" s="216"/>
      <c r="E252" s="216"/>
      <c r="F252" s="217"/>
      <c r="G252" s="216"/>
      <c r="H252" s="216"/>
      <c r="I252" s="217"/>
      <c r="J252" s="217"/>
    </row>
    <row r="253" spans="1:10" x14ac:dyDescent="0.25">
      <c r="A253" s="214"/>
      <c r="C253" s="215"/>
      <c r="D253" s="216"/>
      <c r="E253" s="216"/>
      <c r="F253" s="217"/>
      <c r="G253" s="216"/>
      <c r="H253" s="216"/>
      <c r="I253" s="217"/>
      <c r="J253" s="217"/>
    </row>
    <row r="254" spans="1:10" x14ac:dyDescent="0.25">
      <c r="A254" s="214"/>
      <c r="C254" s="215"/>
      <c r="D254" s="216"/>
      <c r="E254" s="216"/>
      <c r="F254" s="217"/>
      <c r="G254" s="216"/>
      <c r="H254" s="216"/>
      <c r="I254" s="217"/>
      <c r="J254" s="217"/>
    </row>
    <row r="255" spans="1:10" x14ac:dyDescent="0.25">
      <c r="A255" s="214"/>
      <c r="C255" s="215"/>
      <c r="D255" s="216"/>
      <c r="E255" s="216"/>
      <c r="F255" s="217"/>
      <c r="G255" s="216"/>
      <c r="H255" s="216"/>
      <c r="I255" s="217"/>
      <c r="J255" s="217"/>
    </row>
    <row r="256" spans="1:10" x14ac:dyDescent="0.25">
      <c r="A256" s="214"/>
      <c r="C256" s="215"/>
      <c r="D256" s="216"/>
      <c r="E256" s="216"/>
      <c r="F256" s="217"/>
      <c r="G256" s="216"/>
      <c r="H256" s="216"/>
      <c r="I256" s="217"/>
      <c r="J256" s="217"/>
    </row>
    <row r="257" spans="1:10" x14ac:dyDescent="0.25">
      <c r="A257" s="214"/>
      <c r="C257" s="215"/>
      <c r="D257" s="216"/>
      <c r="E257" s="216"/>
      <c r="F257" s="217"/>
      <c r="G257" s="216"/>
      <c r="H257" s="216"/>
      <c r="I257" s="217"/>
      <c r="J257" s="217"/>
    </row>
    <row r="258" spans="1:10" x14ac:dyDescent="0.25">
      <c r="A258" s="214"/>
      <c r="C258" s="215"/>
      <c r="D258" s="216"/>
      <c r="E258" s="216"/>
      <c r="F258" s="217"/>
      <c r="G258" s="216"/>
      <c r="H258" s="216"/>
      <c r="I258" s="217"/>
      <c r="J258" s="217"/>
    </row>
    <row r="259" spans="1:10" x14ac:dyDescent="0.25">
      <c r="A259" s="214"/>
      <c r="C259" s="215"/>
      <c r="D259" s="216"/>
      <c r="E259" s="216"/>
      <c r="F259" s="217"/>
      <c r="G259" s="216"/>
      <c r="H259" s="216"/>
      <c r="I259" s="217"/>
      <c r="J259" s="217"/>
    </row>
    <row r="260" spans="1:10" x14ac:dyDescent="0.25">
      <c r="A260" s="214"/>
      <c r="C260" s="215"/>
      <c r="D260" s="216"/>
      <c r="E260" s="216"/>
      <c r="F260" s="217"/>
      <c r="G260" s="216"/>
      <c r="H260" s="216"/>
      <c r="I260" s="217"/>
      <c r="J260" s="217"/>
    </row>
    <row r="261" spans="1:10" x14ac:dyDescent="0.25">
      <c r="A261" s="214"/>
      <c r="C261" s="215"/>
      <c r="D261" s="216"/>
      <c r="E261" s="216"/>
      <c r="F261" s="217"/>
      <c r="G261" s="216"/>
      <c r="H261" s="216"/>
      <c r="I261" s="217"/>
      <c r="J261" s="217"/>
    </row>
    <row r="262" spans="1:10" x14ac:dyDescent="0.25">
      <c r="A262" s="214"/>
      <c r="C262" s="215"/>
      <c r="D262" s="216"/>
      <c r="E262" s="216"/>
      <c r="F262" s="217"/>
      <c r="G262" s="216"/>
      <c r="H262" s="216"/>
      <c r="I262" s="217"/>
      <c r="J262" s="217"/>
    </row>
    <row r="263" spans="1:10" x14ac:dyDescent="0.25">
      <c r="A263" s="214"/>
      <c r="C263" s="215"/>
      <c r="D263" s="216"/>
      <c r="E263" s="216"/>
      <c r="F263" s="217"/>
      <c r="G263" s="216"/>
      <c r="H263" s="216"/>
      <c r="I263" s="217"/>
      <c r="J263" s="217"/>
    </row>
    <row r="264" spans="1:10" x14ac:dyDescent="0.25">
      <c r="A264" s="214"/>
      <c r="C264" s="215"/>
      <c r="D264" s="216"/>
      <c r="E264" s="216"/>
      <c r="F264" s="217"/>
      <c r="G264" s="216"/>
      <c r="H264" s="216"/>
      <c r="I264" s="217"/>
      <c r="J264" s="217"/>
    </row>
    <row r="265" spans="1:10" x14ac:dyDescent="0.25">
      <c r="A265" s="214"/>
      <c r="C265" s="215"/>
      <c r="D265" s="216"/>
      <c r="E265" s="216"/>
      <c r="F265" s="217"/>
      <c r="G265" s="216"/>
      <c r="H265" s="216"/>
      <c r="I265" s="217"/>
      <c r="J265" s="217"/>
    </row>
    <row r="266" spans="1:10" x14ac:dyDescent="0.25">
      <c r="A266" s="214"/>
      <c r="C266" s="215"/>
      <c r="D266" s="216"/>
      <c r="E266" s="216"/>
      <c r="F266" s="217"/>
      <c r="G266" s="216"/>
      <c r="H266" s="216"/>
      <c r="I266" s="217"/>
      <c r="J266" s="217"/>
    </row>
    <row r="267" spans="1:10" x14ac:dyDescent="0.25">
      <c r="A267" s="214"/>
      <c r="C267" s="215"/>
      <c r="D267" s="216"/>
      <c r="E267" s="216"/>
      <c r="F267" s="217"/>
      <c r="G267" s="216"/>
      <c r="H267" s="216"/>
      <c r="I267" s="217"/>
      <c r="J267" s="217"/>
    </row>
    <row r="268" spans="1:10" x14ac:dyDescent="0.25">
      <c r="A268" s="214"/>
      <c r="C268" s="215"/>
      <c r="D268" s="216"/>
      <c r="E268" s="216"/>
      <c r="F268" s="217"/>
      <c r="G268" s="216"/>
      <c r="H268" s="216"/>
      <c r="I268" s="217"/>
      <c r="J268" s="217"/>
    </row>
    <row r="269" spans="1:10" x14ac:dyDescent="0.25">
      <c r="A269" s="214"/>
      <c r="C269" s="215"/>
      <c r="D269" s="216"/>
      <c r="E269" s="216"/>
      <c r="F269" s="217"/>
      <c r="G269" s="216"/>
      <c r="H269" s="216"/>
      <c r="I269" s="217"/>
      <c r="J269" s="217"/>
    </row>
    <row r="270" spans="1:10" x14ac:dyDescent="0.25">
      <c r="A270" s="214"/>
      <c r="C270" s="215"/>
      <c r="D270" s="216"/>
      <c r="E270" s="216"/>
      <c r="F270" s="217"/>
      <c r="G270" s="216"/>
      <c r="H270" s="216"/>
      <c r="I270" s="217"/>
      <c r="J270" s="217"/>
    </row>
    <row r="271" spans="1:10" x14ac:dyDescent="0.25">
      <c r="A271" s="214"/>
      <c r="C271" s="215"/>
      <c r="D271" s="216"/>
      <c r="E271" s="216"/>
      <c r="F271" s="217"/>
      <c r="G271" s="216"/>
      <c r="H271" s="216"/>
      <c r="I271" s="217"/>
      <c r="J271" s="217"/>
    </row>
    <row r="272" spans="1:10" x14ac:dyDescent="0.25">
      <c r="A272" s="214"/>
      <c r="C272" s="215"/>
      <c r="D272" s="216"/>
      <c r="E272" s="216"/>
      <c r="F272" s="217"/>
      <c r="G272" s="216"/>
      <c r="H272" s="216"/>
      <c r="I272" s="217"/>
      <c r="J272" s="217"/>
    </row>
    <row r="273" spans="1:10" x14ac:dyDescent="0.25">
      <c r="A273" s="214"/>
      <c r="C273" s="215"/>
      <c r="D273" s="216"/>
      <c r="E273" s="216"/>
      <c r="F273" s="217"/>
      <c r="G273" s="216"/>
      <c r="H273" s="216"/>
      <c r="I273" s="217"/>
      <c r="J273" s="217"/>
    </row>
    <row r="274" spans="1:10" x14ac:dyDescent="0.25">
      <c r="A274" s="214"/>
      <c r="C274" s="215"/>
      <c r="D274" s="216"/>
      <c r="E274" s="216"/>
      <c r="F274" s="217"/>
      <c r="G274" s="216"/>
      <c r="H274" s="216"/>
      <c r="I274" s="217"/>
      <c r="J274" s="217"/>
    </row>
    <row r="275" spans="1:10" x14ac:dyDescent="0.25">
      <c r="A275" s="214"/>
      <c r="C275" s="215"/>
      <c r="D275" s="216"/>
      <c r="E275" s="216"/>
      <c r="F275" s="217"/>
      <c r="G275" s="216"/>
      <c r="H275" s="216"/>
      <c r="I275" s="217"/>
      <c r="J275" s="217"/>
    </row>
    <row r="276" spans="1:10" x14ac:dyDescent="0.25">
      <c r="A276" s="214"/>
      <c r="C276" s="215"/>
      <c r="D276" s="216"/>
      <c r="E276" s="216"/>
      <c r="F276" s="217"/>
      <c r="G276" s="216"/>
      <c r="H276" s="216"/>
      <c r="I276" s="217"/>
      <c r="J276" s="217"/>
    </row>
    <row r="277" spans="1:10" x14ac:dyDescent="0.25">
      <c r="A277" s="214"/>
      <c r="C277" s="215"/>
      <c r="D277" s="216"/>
      <c r="E277" s="216"/>
      <c r="F277" s="217"/>
      <c r="G277" s="216"/>
      <c r="H277" s="216"/>
      <c r="I277" s="217"/>
      <c r="J277" s="217"/>
    </row>
    <row r="278" spans="1:10" x14ac:dyDescent="0.25">
      <c r="A278" s="214"/>
      <c r="C278" s="215"/>
      <c r="D278" s="216"/>
      <c r="E278" s="216"/>
      <c r="F278" s="217"/>
      <c r="G278" s="216"/>
      <c r="H278" s="216"/>
      <c r="I278" s="217"/>
      <c r="J278" s="217"/>
    </row>
    <row r="279" spans="1:10" x14ac:dyDescent="0.25">
      <c r="A279" s="214"/>
      <c r="C279" s="215"/>
      <c r="D279" s="216"/>
      <c r="E279" s="216"/>
      <c r="F279" s="217"/>
      <c r="G279" s="216"/>
      <c r="H279" s="216"/>
      <c r="I279" s="217"/>
      <c r="J279" s="217"/>
    </row>
    <row r="280" spans="1:10" x14ac:dyDescent="0.25">
      <c r="A280" s="214"/>
      <c r="C280" s="215"/>
      <c r="D280" s="216"/>
      <c r="E280" s="216"/>
      <c r="F280" s="217"/>
      <c r="G280" s="216"/>
      <c r="H280" s="216"/>
      <c r="I280" s="217"/>
      <c r="J280" s="217"/>
    </row>
    <row r="281" spans="1:10" x14ac:dyDescent="0.25">
      <c r="A281" s="214"/>
      <c r="C281" s="215"/>
      <c r="D281" s="216"/>
      <c r="E281" s="216"/>
      <c r="F281" s="217"/>
      <c r="G281" s="216"/>
      <c r="H281" s="216"/>
      <c r="I281" s="217"/>
      <c r="J281" s="217"/>
    </row>
    <row r="282" spans="1:10" x14ac:dyDescent="0.25">
      <c r="A282" s="214"/>
      <c r="C282" s="215"/>
      <c r="D282" s="216"/>
      <c r="E282" s="216"/>
      <c r="F282" s="217"/>
      <c r="G282" s="216"/>
      <c r="H282" s="216"/>
      <c r="I282" s="217"/>
      <c r="J282" s="217"/>
    </row>
    <row r="283" spans="1:10" x14ac:dyDescent="0.25">
      <c r="A283" s="214"/>
      <c r="C283" s="215"/>
      <c r="D283" s="216"/>
      <c r="E283" s="216"/>
      <c r="F283" s="217"/>
      <c r="G283" s="216"/>
      <c r="H283" s="216"/>
      <c r="I283" s="217"/>
      <c r="J283" s="217"/>
    </row>
    <row r="284" spans="1:10" x14ac:dyDescent="0.25">
      <c r="A284" s="214"/>
      <c r="C284" s="215"/>
      <c r="D284" s="216"/>
      <c r="E284" s="216"/>
      <c r="F284" s="217"/>
      <c r="G284" s="216"/>
      <c r="H284" s="216"/>
      <c r="I284" s="217"/>
      <c r="J284" s="217"/>
    </row>
    <row r="285" spans="1:10" x14ac:dyDescent="0.25">
      <c r="A285" s="214"/>
      <c r="C285" s="215"/>
      <c r="D285" s="216"/>
      <c r="E285" s="216"/>
      <c r="F285" s="217"/>
      <c r="G285" s="216"/>
      <c r="H285" s="216"/>
      <c r="I285" s="217"/>
      <c r="J285" s="217"/>
    </row>
    <row r="286" spans="1:10" x14ac:dyDescent="0.25">
      <c r="A286" s="214"/>
      <c r="C286" s="215"/>
      <c r="D286" s="216"/>
      <c r="E286" s="216"/>
      <c r="F286" s="217"/>
      <c r="G286" s="216"/>
      <c r="H286" s="216"/>
      <c r="I286" s="217"/>
      <c r="J286" s="217"/>
    </row>
    <row r="287" spans="1:10" x14ac:dyDescent="0.25">
      <c r="A287" s="214"/>
      <c r="C287" s="215"/>
      <c r="D287" s="216"/>
      <c r="E287" s="216"/>
      <c r="F287" s="217"/>
      <c r="G287" s="216"/>
      <c r="H287" s="216"/>
      <c r="I287" s="217"/>
      <c r="J287" s="217"/>
    </row>
    <row r="288" spans="1:10" x14ac:dyDescent="0.25">
      <c r="A288" s="214"/>
      <c r="C288" s="215"/>
      <c r="D288" s="216"/>
      <c r="E288" s="216"/>
      <c r="F288" s="217"/>
      <c r="G288" s="216"/>
      <c r="H288" s="216"/>
      <c r="I288" s="217"/>
      <c r="J288" s="217"/>
    </row>
    <row r="289" spans="1:10" x14ac:dyDescent="0.25">
      <c r="A289" s="214"/>
      <c r="C289" s="215"/>
      <c r="D289" s="216"/>
      <c r="E289" s="216"/>
      <c r="F289" s="217"/>
      <c r="G289" s="216"/>
      <c r="H289" s="216"/>
      <c r="I289" s="217"/>
      <c r="J289" s="217"/>
    </row>
    <row r="290" spans="1:10" x14ac:dyDescent="0.25">
      <c r="A290" s="214"/>
      <c r="C290" s="215"/>
      <c r="D290" s="216"/>
      <c r="E290" s="216"/>
      <c r="F290" s="217"/>
      <c r="G290" s="216"/>
      <c r="H290" s="216"/>
      <c r="I290" s="217"/>
      <c r="J290" s="217"/>
    </row>
    <row r="291" spans="1:10" x14ac:dyDescent="0.25">
      <c r="A291" s="214"/>
      <c r="C291" s="215"/>
      <c r="D291" s="216"/>
      <c r="E291" s="216"/>
      <c r="F291" s="217"/>
      <c r="G291" s="216"/>
      <c r="H291" s="216"/>
      <c r="I291" s="217"/>
      <c r="J291" s="217"/>
    </row>
    <row r="292" spans="1:10" x14ac:dyDescent="0.25">
      <c r="A292" s="214"/>
      <c r="C292" s="215"/>
      <c r="D292" s="216"/>
      <c r="E292" s="216"/>
      <c r="F292" s="217"/>
      <c r="G292" s="216"/>
      <c r="H292" s="216"/>
      <c r="I292" s="217"/>
      <c r="J292" s="217"/>
    </row>
    <row r="293" spans="1:10" x14ac:dyDescent="0.25">
      <c r="A293" s="214"/>
      <c r="C293" s="215"/>
      <c r="D293" s="216"/>
      <c r="E293" s="216"/>
      <c r="F293" s="217"/>
      <c r="G293" s="216"/>
      <c r="H293" s="216"/>
      <c r="I293" s="217"/>
      <c r="J293" s="217"/>
    </row>
    <row r="294" spans="1:10" x14ac:dyDescent="0.25">
      <c r="A294" s="214"/>
      <c r="C294" s="215"/>
      <c r="D294" s="216"/>
      <c r="E294" s="216"/>
      <c r="F294" s="217"/>
      <c r="G294" s="216"/>
      <c r="H294" s="216"/>
      <c r="I294" s="217"/>
      <c r="J294" s="217"/>
    </row>
    <row r="295" spans="1:10" x14ac:dyDescent="0.25">
      <c r="A295" s="214"/>
      <c r="C295" s="215"/>
      <c r="D295" s="216"/>
      <c r="E295" s="216"/>
      <c r="F295" s="217"/>
      <c r="G295" s="216"/>
      <c r="H295" s="216"/>
      <c r="I295" s="217"/>
      <c r="J295" s="217"/>
    </row>
    <row r="296" spans="1:10" x14ac:dyDescent="0.25">
      <c r="A296" s="214"/>
      <c r="C296" s="215"/>
      <c r="D296" s="216"/>
      <c r="E296" s="216"/>
      <c r="F296" s="217"/>
      <c r="G296" s="216"/>
      <c r="H296" s="216"/>
      <c r="I296" s="217"/>
      <c r="J296" s="217"/>
    </row>
    <row r="297" spans="1:10" x14ac:dyDescent="0.25">
      <c r="A297" s="214"/>
      <c r="C297" s="215"/>
      <c r="D297" s="216"/>
      <c r="E297" s="216"/>
      <c r="F297" s="217"/>
      <c r="G297" s="216"/>
      <c r="H297" s="216"/>
      <c r="I297" s="217"/>
      <c r="J297" s="217"/>
    </row>
    <row r="298" spans="1:10" x14ac:dyDescent="0.25">
      <c r="A298" s="214"/>
      <c r="C298" s="215"/>
      <c r="D298" s="216"/>
      <c r="E298" s="216"/>
      <c r="F298" s="217"/>
      <c r="G298" s="216"/>
      <c r="H298" s="216"/>
      <c r="I298" s="217"/>
      <c r="J298" s="217"/>
    </row>
    <row r="299" spans="1:10" x14ac:dyDescent="0.25">
      <c r="A299" s="214"/>
      <c r="C299" s="215"/>
      <c r="D299" s="216"/>
      <c r="E299" s="216"/>
      <c r="F299" s="217"/>
      <c r="G299" s="216"/>
      <c r="H299" s="216"/>
      <c r="I299" s="217"/>
      <c r="J299" s="217"/>
    </row>
    <row r="300" spans="1:10" x14ac:dyDescent="0.25">
      <c r="A300" s="214"/>
      <c r="C300" s="215"/>
      <c r="D300" s="216"/>
      <c r="E300" s="216"/>
      <c r="F300" s="217"/>
      <c r="G300" s="216"/>
      <c r="H300" s="216"/>
      <c r="I300" s="217"/>
      <c r="J300" s="217"/>
    </row>
    <row r="301" spans="1:10" x14ac:dyDescent="0.25">
      <c r="A301" s="214"/>
      <c r="C301" s="215"/>
      <c r="D301" s="216"/>
      <c r="E301" s="216"/>
      <c r="F301" s="217"/>
      <c r="G301" s="216"/>
      <c r="H301" s="216"/>
      <c r="I301" s="217"/>
      <c r="J301" s="217"/>
    </row>
    <row r="302" spans="1:10" x14ac:dyDescent="0.25">
      <c r="A302" s="214"/>
      <c r="C302" s="215"/>
      <c r="D302" s="216"/>
      <c r="E302" s="216"/>
      <c r="F302" s="217"/>
      <c r="G302" s="216"/>
      <c r="H302" s="216"/>
      <c r="I302" s="217"/>
      <c r="J302" s="217"/>
    </row>
    <row r="303" spans="1:10" x14ac:dyDescent="0.25">
      <c r="A303" s="214"/>
      <c r="C303" s="215"/>
      <c r="D303" s="216"/>
      <c r="E303" s="216"/>
      <c r="F303" s="217"/>
      <c r="G303" s="216"/>
      <c r="H303" s="216"/>
      <c r="I303" s="217"/>
      <c r="J303" s="217"/>
    </row>
    <row r="304" spans="1:10" x14ac:dyDescent="0.25">
      <c r="A304" s="214"/>
      <c r="C304" s="215"/>
      <c r="D304" s="216"/>
      <c r="E304" s="216"/>
      <c r="F304" s="217"/>
      <c r="G304" s="216"/>
      <c r="H304" s="216"/>
      <c r="I304" s="217"/>
      <c r="J304" s="217"/>
    </row>
    <row r="305" spans="1:10" x14ac:dyDescent="0.25">
      <c r="A305" s="214"/>
      <c r="C305" s="215"/>
      <c r="D305" s="216"/>
      <c r="E305" s="216"/>
      <c r="F305" s="217"/>
      <c r="G305" s="216"/>
      <c r="H305" s="216"/>
      <c r="I305" s="217"/>
      <c r="J305" s="217"/>
    </row>
    <row r="306" spans="1:10" x14ac:dyDescent="0.25">
      <c r="A306" s="214"/>
      <c r="C306" s="215"/>
      <c r="D306" s="216"/>
      <c r="E306" s="216"/>
      <c r="F306" s="217"/>
      <c r="G306" s="216"/>
      <c r="H306" s="216"/>
      <c r="I306" s="217"/>
      <c r="J306" s="217"/>
    </row>
    <row r="307" spans="1:10" x14ac:dyDescent="0.25">
      <c r="A307" s="214"/>
      <c r="C307" s="215"/>
      <c r="D307" s="216"/>
      <c r="E307" s="216"/>
      <c r="F307" s="217"/>
      <c r="G307" s="216"/>
      <c r="H307" s="216"/>
      <c r="I307" s="217"/>
      <c r="J307" s="217"/>
    </row>
    <row r="308" spans="1:10" x14ac:dyDescent="0.25">
      <c r="A308" s="214"/>
      <c r="C308" s="215"/>
      <c r="D308" s="216"/>
      <c r="E308" s="216"/>
      <c r="F308" s="217"/>
      <c r="G308" s="216"/>
      <c r="H308" s="216"/>
      <c r="I308" s="217"/>
      <c r="J308" s="217"/>
    </row>
    <row r="309" spans="1:10" x14ac:dyDescent="0.25">
      <c r="A309" s="214"/>
      <c r="C309" s="215"/>
      <c r="D309" s="216"/>
      <c r="E309" s="216"/>
      <c r="F309" s="217"/>
      <c r="G309" s="216"/>
      <c r="H309" s="216"/>
      <c r="I309" s="217"/>
      <c r="J309" s="217"/>
    </row>
    <row r="310" spans="1:10" x14ac:dyDescent="0.25">
      <c r="A310" s="214"/>
      <c r="C310" s="215"/>
      <c r="D310" s="216"/>
      <c r="E310" s="216"/>
      <c r="F310" s="217"/>
      <c r="G310" s="216"/>
      <c r="H310" s="216"/>
      <c r="I310" s="217"/>
      <c r="J310" s="217"/>
    </row>
    <row r="311" spans="1:10" x14ac:dyDescent="0.25">
      <c r="A311" s="214"/>
      <c r="C311" s="215"/>
      <c r="D311" s="216"/>
      <c r="E311" s="216"/>
      <c r="F311" s="217"/>
      <c r="G311" s="216"/>
      <c r="H311" s="216"/>
      <c r="I311" s="217"/>
      <c r="J311" s="217"/>
    </row>
    <row r="312" spans="1:10" x14ac:dyDescent="0.25">
      <c r="A312" s="214"/>
      <c r="C312" s="215"/>
      <c r="D312" s="216"/>
      <c r="E312" s="216"/>
      <c r="F312" s="217"/>
      <c r="G312" s="216"/>
      <c r="H312" s="216"/>
      <c r="I312" s="217"/>
      <c r="J312" s="217"/>
    </row>
    <row r="313" spans="1:10" x14ac:dyDescent="0.25">
      <c r="A313" s="214"/>
      <c r="C313" s="215"/>
      <c r="D313" s="216"/>
      <c r="E313" s="216"/>
      <c r="F313" s="217"/>
      <c r="G313" s="216"/>
      <c r="H313" s="216"/>
      <c r="I313" s="217"/>
      <c r="J313" s="217"/>
    </row>
    <row r="314" spans="1:10" x14ac:dyDescent="0.25">
      <c r="A314" s="214"/>
      <c r="C314" s="215"/>
      <c r="D314" s="216"/>
      <c r="E314" s="216"/>
      <c r="F314" s="217"/>
      <c r="G314" s="216"/>
      <c r="H314" s="216"/>
      <c r="I314" s="217"/>
      <c r="J314" s="217"/>
    </row>
    <row r="315" spans="1:10" x14ac:dyDescent="0.25">
      <c r="A315" s="214"/>
      <c r="C315" s="215"/>
      <c r="D315" s="216"/>
      <c r="E315" s="216"/>
      <c r="F315" s="217"/>
      <c r="G315" s="216"/>
      <c r="H315" s="216"/>
      <c r="I315" s="217"/>
      <c r="J315" s="217"/>
    </row>
    <row r="316" spans="1:10" x14ac:dyDescent="0.25">
      <c r="A316" s="214"/>
      <c r="C316" s="215"/>
      <c r="D316" s="216"/>
      <c r="E316" s="216"/>
      <c r="F316" s="217"/>
      <c r="G316" s="216"/>
      <c r="H316" s="216"/>
      <c r="I316" s="217"/>
      <c r="J316" s="217"/>
    </row>
    <row r="317" spans="1:10" x14ac:dyDescent="0.25">
      <c r="A317" s="214"/>
      <c r="C317" s="215"/>
      <c r="D317" s="216"/>
      <c r="E317" s="216"/>
      <c r="F317" s="217"/>
      <c r="G317" s="216"/>
      <c r="H317" s="216"/>
      <c r="I317" s="217"/>
      <c r="J317" s="217"/>
    </row>
    <row r="318" spans="1:10" x14ac:dyDescent="0.25">
      <c r="A318" s="214"/>
      <c r="C318" s="215"/>
      <c r="D318" s="216"/>
      <c r="E318" s="216"/>
      <c r="F318" s="217"/>
      <c r="G318" s="216"/>
      <c r="H318" s="216"/>
      <c r="I318" s="217"/>
      <c r="J318" s="217"/>
    </row>
    <row r="319" spans="1:10" x14ac:dyDescent="0.25">
      <c r="A319" s="214"/>
      <c r="C319" s="215"/>
      <c r="D319" s="216"/>
      <c r="E319" s="216"/>
      <c r="F319" s="217"/>
      <c r="G319" s="216"/>
      <c r="H319" s="216"/>
      <c r="I319" s="217"/>
      <c r="J319" s="217"/>
    </row>
    <row r="320" spans="1:10" x14ac:dyDescent="0.25">
      <c r="A320" s="214"/>
      <c r="C320" s="215"/>
      <c r="D320" s="216"/>
      <c r="E320" s="216"/>
      <c r="F320" s="217"/>
      <c r="G320" s="216"/>
      <c r="H320" s="216"/>
      <c r="I320" s="217"/>
      <c r="J320" s="217"/>
    </row>
    <row r="321" spans="1:10" x14ac:dyDescent="0.25">
      <c r="A321" s="214"/>
      <c r="C321" s="215"/>
      <c r="D321" s="216"/>
      <c r="E321" s="216"/>
      <c r="F321" s="217"/>
      <c r="G321" s="216"/>
      <c r="H321" s="216"/>
      <c r="I321" s="217"/>
      <c r="J321" s="217"/>
    </row>
    <row r="322" spans="1:10" x14ac:dyDescent="0.25">
      <c r="A322" s="214"/>
      <c r="C322" s="215"/>
      <c r="D322" s="216"/>
      <c r="E322" s="216"/>
      <c r="F322" s="217"/>
      <c r="G322" s="216"/>
      <c r="H322" s="216"/>
      <c r="I322" s="217"/>
      <c r="J322" s="217"/>
    </row>
    <row r="323" spans="1:10" x14ac:dyDescent="0.25">
      <c r="A323" s="214"/>
      <c r="C323" s="215"/>
      <c r="D323" s="216"/>
      <c r="E323" s="216"/>
      <c r="F323" s="217"/>
      <c r="G323" s="216"/>
      <c r="H323" s="216"/>
      <c r="I323" s="217"/>
      <c r="J323" s="217"/>
    </row>
    <row r="324" spans="1:10" x14ac:dyDescent="0.25">
      <c r="A324" s="214"/>
      <c r="C324" s="215"/>
      <c r="D324" s="216"/>
      <c r="E324" s="216"/>
      <c r="F324" s="217"/>
      <c r="G324" s="216"/>
      <c r="H324" s="216"/>
      <c r="I324" s="217"/>
      <c r="J324" s="217"/>
    </row>
    <row r="325" spans="1:10" x14ac:dyDescent="0.25">
      <c r="A325" s="214"/>
      <c r="C325" s="215"/>
      <c r="D325" s="216"/>
      <c r="E325" s="216"/>
      <c r="F325" s="217"/>
      <c r="G325" s="216"/>
      <c r="H325" s="216"/>
      <c r="I325" s="217"/>
      <c r="J325" s="217"/>
    </row>
    <row r="326" spans="1:10" x14ac:dyDescent="0.25">
      <c r="A326" s="214"/>
      <c r="C326" s="215"/>
      <c r="D326" s="216"/>
      <c r="E326" s="216"/>
      <c r="F326" s="217"/>
      <c r="G326" s="216"/>
      <c r="H326" s="216"/>
      <c r="I326" s="217"/>
      <c r="J326" s="217"/>
    </row>
    <row r="327" spans="1:10" x14ac:dyDescent="0.25">
      <c r="A327" s="214"/>
      <c r="C327" s="215"/>
      <c r="D327" s="216"/>
      <c r="E327" s="216"/>
      <c r="F327" s="217"/>
      <c r="G327" s="216"/>
      <c r="H327" s="216"/>
      <c r="I327" s="217"/>
      <c r="J327" s="217"/>
    </row>
    <row r="328" spans="1:10" x14ac:dyDescent="0.25">
      <c r="A328" s="214"/>
      <c r="C328" s="215"/>
      <c r="D328" s="216"/>
      <c r="E328" s="216"/>
      <c r="F328" s="217"/>
      <c r="G328" s="216"/>
      <c r="H328" s="216"/>
      <c r="I328" s="217"/>
      <c r="J328" s="217"/>
    </row>
    <row r="329" spans="1:10" x14ac:dyDescent="0.25">
      <c r="A329" s="214"/>
      <c r="C329" s="215"/>
      <c r="D329" s="216"/>
      <c r="E329" s="216"/>
      <c r="F329" s="217"/>
      <c r="G329" s="216"/>
      <c r="H329" s="216"/>
      <c r="I329" s="217"/>
      <c r="J329" s="217"/>
    </row>
    <row r="330" spans="1:10" x14ac:dyDescent="0.25">
      <c r="A330" s="214"/>
      <c r="C330" s="215"/>
      <c r="D330" s="216"/>
      <c r="E330" s="216"/>
      <c r="F330" s="217"/>
      <c r="G330" s="216"/>
      <c r="H330" s="216"/>
      <c r="I330" s="217"/>
      <c r="J330" s="217"/>
    </row>
    <row r="331" spans="1:10" x14ac:dyDescent="0.25">
      <c r="A331" s="214"/>
      <c r="C331" s="215"/>
      <c r="D331" s="216"/>
      <c r="E331" s="216"/>
      <c r="F331" s="217"/>
      <c r="G331" s="216"/>
      <c r="H331" s="216"/>
      <c r="I331" s="217"/>
      <c r="J331" s="217"/>
    </row>
    <row r="332" spans="1:10" x14ac:dyDescent="0.25">
      <c r="A332" s="214"/>
      <c r="C332" s="215"/>
      <c r="D332" s="216"/>
      <c r="E332" s="216"/>
      <c r="F332" s="217"/>
      <c r="G332" s="216"/>
      <c r="H332" s="216"/>
      <c r="I332" s="217"/>
      <c r="J332" s="217"/>
    </row>
    <row r="333" spans="1:10" x14ac:dyDescent="0.25">
      <c r="A333" s="214"/>
      <c r="C333" s="215"/>
      <c r="D333" s="216"/>
      <c r="E333" s="216"/>
      <c r="F333" s="217"/>
      <c r="G333" s="216"/>
      <c r="H333" s="216"/>
      <c r="I333" s="217"/>
      <c r="J333" s="217"/>
    </row>
    <row r="334" spans="1:10" x14ac:dyDescent="0.25">
      <c r="A334" s="214"/>
      <c r="C334" s="215"/>
      <c r="D334" s="216"/>
      <c r="E334" s="216"/>
      <c r="F334" s="217"/>
      <c r="G334" s="216"/>
      <c r="H334" s="216"/>
      <c r="I334" s="217"/>
      <c r="J334" s="217"/>
    </row>
    <row r="335" spans="1:10" x14ac:dyDescent="0.25">
      <c r="A335" s="214"/>
      <c r="C335" s="215"/>
      <c r="D335" s="216"/>
      <c r="E335" s="216"/>
      <c r="F335" s="217"/>
      <c r="G335" s="216"/>
      <c r="H335" s="216"/>
      <c r="I335" s="217"/>
      <c r="J335" s="217"/>
    </row>
    <row r="336" spans="1:10" x14ac:dyDescent="0.25">
      <c r="A336" s="214"/>
      <c r="C336" s="215"/>
      <c r="D336" s="216"/>
      <c r="E336" s="216"/>
      <c r="F336" s="217"/>
      <c r="G336" s="216"/>
      <c r="H336" s="216"/>
      <c r="I336" s="217"/>
      <c r="J336" s="217"/>
    </row>
    <row r="337" spans="1:10" x14ac:dyDescent="0.25">
      <c r="A337" s="214"/>
      <c r="C337" s="215"/>
      <c r="D337" s="216"/>
      <c r="E337" s="216"/>
      <c r="F337" s="217"/>
      <c r="G337" s="216"/>
      <c r="H337" s="216"/>
      <c r="I337" s="217"/>
      <c r="J337" s="217"/>
    </row>
    <row r="338" spans="1:10" x14ac:dyDescent="0.25">
      <c r="A338" s="214"/>
      <c r="C338" s="215"/>
      <c r="D338" s="216"/>
      <c r="E338" s="216"/>
      <c r="F338" s="217"/>
      <c r="G338" s="216"/>
      <c r="H338" s="216"/>
      <c r="I338" s="217"/>
      <c r="J338" s="217"/>
    </row>
    <row r="339" spans="1:10" x14ac:dyDescent="0.25">
      <c r="A339" s="214"/>
      <c r="C339" s="215"/>
      <c r="D339" s="216"/>
      <c r="E339" s="216"/>
      <c r="F339" s="217"/>
      <c r="G339" s="216"/>
      <c r="H339" s="216"/>
      <c r="I339" s="217"/>
      <c r="J339" s="217"/>
    </row>
    <row r="340" spans="1:10" x14ac:dyDescent="0.25">
      <c r="A340" s="214"/>
      <c r="C340" s="215"/>
      <c r="D340" s="216"/>
      <c r="E340" s="216"/>
      <c r="F340" s="217"/>
      <c r="G340" s="216"/>
      <c r="H340" s="216"/>
      <c r="I340" s="217"/>
      <c r="J340" s="217"/>
    </row>
    <row r="341" spans="1:10" x14ac:dyDescent="0.25">
      <c r="A341" s="214"/>
      <c r="C341" s="215"/>
      <c r="D341" s="216"/>
      <c r="E341" s="216"/>
      <c r="F341" s="217"/>
      <c r="G341" s="216"/>
      <c r="H341" s="216"/>
      <c r="I341" s="217"/>
      <c r="J341" s="217"/>
    </row>
    <row r="342" spans="1:10" x14ac:dyDescent="0.25">
      <c r="A342" s="214"/>
      <c r="C342" s="215"/>
      <c r="D342" s="216"/>
      <c r="E342" s="216"/>
      <c r="F342" s="217"/>
      <c r="G342" s="216"/>
      <c r="H342" s="216"/>
      <c r="I342" s="217"/>
      <c r="J342" s="217"/>
    </row>
    <row r="343" spans="1:10" x14ac:dyDescent="0.25">
      <c r="A343" s="214"/>
      <c r="C343" s="215"/>
      <c r="D343" s="216"/>
      <c r="E343" s="216"/>
      <c r="F343" s="217"/>
      <c r="G343" s="216"/>
      <c r="H343" s="216"/>
      <c r="I343" s="217"/>
      <c r="J343" s="217"/>
    </row>
    <row r="344" spans="1:10" x14ac:dyDescent="0.25">
      <c r="A344" s="214"/>
      <c r="C344" s="215"/>
      <c r="D344" s="216"/>
      <c r="E344" s="216"/>
      <c r="F344" s="217"/>
      <c r="G344" s="216"/>
      <c r="H344" s="216"/>
      <c r="I344" s="217"/>
      <c r="J344" s="217"/>
    </row>
    <row r="345" spans="1:10" x14ac:dyDescent="0.25">
      <c r="A345" s="214"/>
      <c r="C345" s="215"/>
      <c r="D345" s="216"/>
      <c r="E345" s="216"/>
      <c r="F345" s="217"/>
      <c r="G345" s="216"/>
      <c r="H345" s="216"/>
      <c r="I345" s="217"/>
      <c r="J345" s="217"/>
    </row>
    <row r="346" spans="1:10" x14ac:dyDescent="0.25">
      <c r="A346" s="214"/>
      <c r="C346" s="215"/>
      <c r="D346" s="216"/>
      <c r="E346" s="216"/>
      <c r="F346" s="217"/>
      <c r="G346" s="216"/>
      <c r="H346" s="216"/>
      <c r="I346" s="217"/>
      <c r="J346" s="217"/>
    </row>
    <row r="347" spans="1:10" x14ac:dyDescent="0.25">
      <c r="A347" s="214"/>
      <c r="C347" s="215"/>
      <c r="D347" s="216"/>
      <c r="E347" s="216"/>
      <c r="F347" s="217"/>
      <c r="G347" s="216"/>
      <c r="H347" s="216"/>
      <c r="I347" s="217"/>
      <c r="J347" s="217"/>
    </row>
    <row r="348" spans="1:10" x14ac:dyDescent="0.25">
      <c r="A348" s="214"/>
      <c r="C348" s="215"/>
      <c r="D348" s="216"/>
      <c r="E348" s="216"/>
      <c r="F348" s="217"/>
      <c r="G348" s="216"/>
      <c r="H348" s="216"/>
      <c r="I348" s="217"/>
      <c r="J348" s="217"/>
    </row>
    <row r="349" spans="1:10" x14ac:dyDescent="0.25">
      <c r="A349" s="214"/>
      <c r="C349" s="215"/>
      <c r="D349" s="216"/>
      <c r="E349" s="216"/>
      <c r="F349" s="217"/>
      <c r="G349" s="216"/>
      <c r="H349" s="216"/>
      <c r="I349" s="217"/>
      <c r="J349" s="217"/>
    </row>
    <row r="350" spans="1:10" x14ac:dyDescent="0.25">
      <c r="A350" s="214"/>
      <c r="C350" s="215"/>
      <c r="D350" s="216"/>
      <c r="E350" s="216"/>
      <c r="F350" s="217"/>
      <c r="G350" s="216"/>
      <c r="H350" s="216"/>
      <c r="I350" s="217"/>
      <c r="J350" s="217"/>
    </row>
    <row r="351" spans="1:10" x14ac:dyDescent="0.25">
      <c r="A351" s="214"/>
      <c r="C351" s="215"/>
      <c r="D351" s="216"/>
      <c r="E351" s="216"/>
      <c r="F351" s="217"/>
      <c r="G351" s="216"/>
      <c r="H351" s="216"/>
      <c r="I351" s="217"/>
      <c r="J351" s="217"/>
    </row>
    <row r="352" spans="1:10" x14ac:dyDescent="0.25">
      <c r="A352" s="214"/>
      <c r="C352" s="215"/>
      <c r="D352" s="216"/>
      <c r="E352" s="216"/>
      <c r="F352" s="217"/>
      <c r="G352" s="216"/>
      <c r="H352" s="216"/>
      <c r="I352" s="217"/>
      <c r="J352" s="217"/>
    </row>
    <row r="353" spans="1:10" x14ac:dyDescent="0.25">
      <c r="A353" s="214"/>
      <c r="C353" s="215"/>
      <c r="D353" s="216"/>
      <c r="E353" s="216"/>
      <c r="F353" s="217"/>
      <c r="G353" s="216"/>
      <c r="H353" s="216"/>
      <c r="I353" s="217"/>
      <c r="J353" s="217"/>
    </row>
    <row r="354" spans="1:10" x14ac:dyDescent="0.25">
      <c r="A354" s="214"/>
      <c r="C354" s="215"/>
      <c r="D354" s="216"/>
      <c r="E354" s="216"/>
      <c r="F354" s="217"/>
      <c r="G354" s="216"/>
      <c r="H354" s="216"/>
      <c r="I354" s="217"/>
      <c r="J354" s="217"/>
    </row>
    <row r="355" spans="1:10" x14ac:dyDescent="0.25">
      <c r="A355" s="214"/>
      <c r="C355" s="215"/>
      <c r="D355" s="216"/>
      <c r="E355" s="216"/>
      <c r="F355" s="217"/>
      <c r="G355" s="216"/>
      <c r="H355" s="216"/>
      <c r="I355" s="217"/>
      <c r="J355" s="217"/>
    </row>
    <row r="356" spans="1:10" x14ac:dyDescent="0.25">
      <c r="A356" s="214"/>
      <c r="C356" s="215"/>
      <c r="D356" s="216"/>
      <c r="E356" s="216"/>
      <c r="F356" s="217"/>
      <c r="G356" s="216"/>
      <c r="H356" s="216"/>
      <c r="I356" s="217"/>
      <c r="J356" s="217"/>
    </row>
    <row r="357" spans="1:10" x14ac:dyDescent="0.25">
      <c r="A357" s="214"/>
      <c r="C357" s="215"/>
      <c r="D357" s="216"/>
      <c r="E357" s="216"/>
      <c r="F357" s="217"/>
      <c r="G357" s="216"/>
      <c r="H357" s="216"/>
      <c r="I357" s="217"/>
      <c r="J357" s="217"/>
    </row>
    <row r="358" spans="1:10" x14ac:dyDescent="0.25">
      <c r="A358" s="214"/>
      <c r="C358" s="215"/>
      <c r="D358" s="216"/>
      <c r="E358" s="216"/>
      <c r="F358" s="217"/>
      <c r="G358" s="216"/>
      <c r="H358" s="216"/>
      <c r="I358" s="217"/>
      <c r="J358" s="217"/>
    </row>
    <row r="359" spans="1:10" x14ac:dyDescent="0.25">
      <c r="A359" s="214"/>
      <c r="C359" s="215"/>
      <c r="D359" s="216"/>
      <c r="E359" s="216"/>
      <c r="F359" s="217"/>
      <c r="G359" s="216"/>
      <c r="H359" s="216"/>
      <c r="I359" s="217"/>
      <c r="J359" s="217"/>
    </row>
    <row r="360" spans="1:10" x14ac:dyDescent="0.25">
      <c r="A360" s="214"/>
      <c r="C360" s="215"/>
      <c r="D360" s="216"/>
      <c r="E360" s="216"/>
      <c r="F360" s="217"/>
      <c r="G360" s="216"/>
      <c r="H360" s="216"/>
      <c r="I360" s="217"/>
      <c r="J360" s="217"/>
    </row>
    <row r="361" spans="1:10" x14ac:dyDescent="0.25">
      <c r="A361" s="214"/>
      <c r="C361" s="215"/>
      <c r="D361" s="216"/>
      <c r="E361" s="216"/>
      <c r="F361" s="217"/>
      <c r="G361" s="216"/>
      <c r="H361" s="216"/>
      <c r="I361" s="217"/>
      <c r="J361" s="217"/>
    </row>
    <row r="362" spans="1:10" x14ac:dyDescent="0.25">
      <c r="A362" s="214"/>
      <c r="C362" s="215"/>
      <c r="D362" s="216"/>
      <c r="E362" s="216"/>
      <c r="F362" s="217"/>
      <c r="G362" s="216"/>
      <c r="H362" s="216"/>
      <c r="I362" s="217"/>
      <c r="J362" s="217"/>
    </row>
    <row r="363" spans="1:10" x14ac:dyDescent="0.25">
      <c r="A363" s="214"/>
      <c r="C363" s="215"/>
      <c r="D363" s="216"/>
      <c r="E363" s="216"/>
      <c r="F363" s="217"/>
      <c r="G363" s="216"/>
      <c r="H363" s="216"/>
      <c r="I363" s="217"/>
      <c r="J363" s="217"/>
    </row>
    <row r="364" spans="1:10" x14ac:dyDescent="0.25">
      <c r="A364" s="214"/>
      <c r="C364" s="215"/>
      <c r="D364" s="216"/>
      <c r="E364" s="216"/>
      <c r="F364" s="217"/>
      <c r="G364" s="216"/>
      <c r="H364" s="216"/>
      <c r="I364" s="217"/>
      <c r="J364" s="217"/>
    </row>
    <row r="365" spans="1:10" x14ac:dyDescent="0.25">
      <c r="A365" s="214"/>
      <c r="C365" s="215"/>
      <c r="D365" s="216"/>
      <c r="E365" s="216"/>
      <c r="F365" s="217"/>
      <c r="G365" s="216"/>
      <c r="H365" s="216"/>
      <c r="I365" s="217"/>
      <c r="J365" s="217"/>
    </row>
    <row r="366" spans="1:10" x14ac:dyDescent="0.25">
      <c r="A366" s="214"/>
      <c r="C366" s="215"/>
      <c r="D366" s="216"/>
      <c r="E366" s="216"/>
      <c r="F366" s="217"/>
      <c r="G366" s="216"/>
      <c r="H366" s="216"/>
      <c r="I366" s="217"/>
      <c r="J366" s="217"/>
    </row>
    <row r="367" spans="1:10" x14ac:dyDescent="0.25">
      <c r="A367" s="214"/>
      <c r="C367" s="215"/>
      <c r="D367" s="216"/>
      <c r="E367" s="216"/>
      <c r="F367" s="217"/>
      <c r="G367" s="216"/>
      <c r="H367" s="216"/>
      <c r="I367" s="217"/>
      <c r="J367" s="217"/>
    </row>
    <row r="368" spans="1:10" x14ac:dyDescent="0.25">
      <c r="A368" s="214"/>
      <c r="C368" s="215"/>
      <c r="D368" s="216"/>
      <c r="E368" s="216"/>
      <c r="F368" s="217"/>
      <c r="G368" s="216"/>
      <c r="H368" s="216"/>
      <c r="I368" s="217"/>
      <c r="J368" s="217"/>
    </row>
    <row r="369" spans="1:11" x14ac:dyDescent="0.25">
      <c r="A369" s="214"/>
      <c r="C369" s="215"/>
      <c r="D369" s="216"/>
      <c r="E369" s="216"/>
      <c r="F369" s="217"/>
      <c r="G369" s="216"/>
      <c r="H369" s="216"/>
      <c r="I369" s="217"/>
      <c r="J369" s="217"/>
    </row>
    <row r="370" spans="1:11" x14ac:dyDescent="0.25">
      <c r="A370" s="214"/>
      <c r="C370" s="215"/>
      <c r="D370" s="216"/>
      <c r="E370" s="216"/>
      <c r="F370" s="217"/>
      <c r="G370" s="216"/>
      <c r="H370" s="216"/>
      <c r="I370" s="217"/>
      <c r="J370" s="217"/>
    </row>
    <row r="371" spans="1:11" x14ac:dyDescent="0.25">
      <c r="A371" s="214"/>
      <c r="C371" s="215"/>
      <c r="D371" s="216"/>
      <c r="E371" s="216"/>
      <c r="F371" s="217"/>
      <c r="G371" s="216"/>
      <c r="H371" s="216"/>
      <c r="I371" s="217"/>
      <c r="J371" s="217"/>
    </row>
    <row r="372" spans="1:11" x14ac:dyDescent="0.25">
      <c r="A372" s="214"/>
      <c r="C372" s="215"/>
      <c r="D372" s="216"/>
      <c r="E372" s="216"/>
      <c r="F372" s="217"/>
      <c r="G372" s="216"/>
      <c r="H372" s="216"/>
      <c r="I372" s="217"/>
      <c r="J372" s="217"/>
    </row>
    <row r="373" spans="1:11" x14ac:dyDescent="0.25">
      <c r="A373" s="214"/>
      <c r="C373" s="215"/>
      <c r="D373" s="216"/>
      <c r="E373" s="216"/>
      <c r="F373" s="217"/>
      <c r="G373" s="216"/>
      <c r="H373" s="216"/>
      <c r="I373" s="217"/>
      <c r="J373" s="217"/>
    </row>
    <row r="374" spans="1:11" x14ac:dyDescent="0.25">
      <c r="A374" s="214"/>
      <c r="C374" s="215"/>
      <c r="D374" s="216"/>
      <c r="E374" s="216"/>
      <c r="F374" s="217"/>
      <c r="G374" s="216"/>
      <c r="H374" s="216"/>
      <c r="I374" s="217"/>
      <c r="J374" s="217"/>
    </row>
    <row r="375" spans="1:11" x14ac:dyDescent="0.25">
      <c r="A375" s="214"/>
      <c r="C375" s="215"/>
      <c r="D375" s="216"/>
      <c r="E375" s="216"/>
      <c r="F375" s="217"/>
      <c r="G375" s="216"/>
      <c r="H375" s="216"/>
      <c r="I375" s="217"/>
      <c r="J375" s="217"/>
    </row>
    <row r="376" spans="1:11" x14ac:dyDescent="0.25">
      <c r="A376" s="214"/>
      <c r="C376" s="215"/>
      <c r="D376" s="216"/>
      <c r="E376" s="216"/>
      <c r="F376" s="217"/>
      <c r="G376" s="216"/>
      <c r="H376" s="216"/>
      <c r="I376" s="217"/>
      <c r="J376" s="217"/>
      <c r="K376" s="191"/>
    </row>
    <row r="377" spans="1:11" x14ac:dyDescent="0.25">
      <c r="A377" s="214"/>
      <c r="C377" s="215"/>
      <c r="D377" s="216"/>
      <c r="E377" s="216"/>
      <c r="F377" s="217"/>
      <c r="G377" s="216"/>
      <c r="H377" s="216"/>
      <c r="I377" s="217"/>
      <c r="J377" s="217"/>
      <c r="K377" s="191"/>
    </row>
    <row r="378" spans="1:11" x14ac:dyDescent="0.25">
      <c r="A378" s="214"/>
      <c r="C378" s="215"/>
      <c r="D378" s="216"/>
      <c r="E378" s="216"/>
      <c r="F378" s="217"/>
      <c r="G378" s="216"/>
      <c r="H378" s="216"/>
      <c r="I378" s="217"/>
      <c r="J378" s="217"/>
      <c r="K378" s="191"/>
    </row>
    <row r="379" spans="1:11" x14ac:dyDescent="0.25">
      <c r="A379" s="214"/>
      <c r="C379" s="215"/>
      <c r="D379" s="216"/>
      <c r="E379" s="216"/>
      <c r="F379" s="217"/>
      <c r="G379" s="216"/>
      <c r="H379" s="216"/>
      <c r="I379" s="217"/>
      <c r="J379" s="217"/>
      <c r="K379" s="191"/>
    </row>
    <row r="380" spans="1:11" x14ac:dyDescent="0.25">
      <c r="A380" s="214"/>
      <c r="C380" s="215"/>
      <c r="D380" s="216"/>
      <c r="E380" s="216"/>
      <c r="F380" s="217"/>
      <c r="G380" s="216"/>
      <c r="H380" s="216"/>
      <c r="I380" s="217"/>
      <c r="J380" s="217"/>
      <c r="K380" s="191"/>
    </row>
    <row r="381" spans="1:11" x14ac:dyDescent="0.25">
      <c r="A381" s="214"/>
      <c r="C381" s="215"/>
      <c r="D381" s="216"/>
      <c r="E381" s="216"/>
      <c r="F381" s="217"/>
      <c r="G381" s="216"/>
      <c r="H381" s="216"/>
      <c r="I381" s="217"/>
      <c r="J381" s="217"/>
      <c r="K381" s="191"/>
    </row>
    <row r="382" spans="1:11" x14ac:dyDescent="0.25">
      <c r="A382" s="214"/>
      <c r="C382" s="215"/>
      <c r="D382" s="216"/>
      <c r="E382" s="216"/>
      <c r="F382" s="217"/>
      <c r="G382" s="216"/>
      <c r="H382" s="216"/>
      <c r="I382" s="217"/>
      <c r="J382" s="217"/>
      <c r="K382" s="191"/>
    </row>
    <row r="383" spans="1:11" x14ac:dyDescent="0.25">
      <c r="A383" s="214"/>
      <c r="C383" s="215"/>
      <c r="D383" s="216"/>
      <c r="E383" s="216"/>
      <c r="F383" s="217"/>
      <c r="G383" s="216"/>
      <c r="H383" s="216"/>
      <c r="I383" s="217"/>
      <c r="J383" s="217"/>
      <c r="K383" s="191"/>
    </row>
    <row r="384" spans="1:11" x14ac:dyDescent="0.25">
      <c r="A384" s="214"/>
      <c r="C384" s="215"/>
      <c r="D384" s="216"/>
      <c r="E384" s="216"/>
      <c r="F384" s="217"/>
      <c r="G384" s="216"/>
      <c r="H384" s="216"/>
      <c r="I384" s="217"/>
      <c r="J384" s="217"/>
      <c r="K384" s="191"/>
    </row>
    <row r="385" spans="1:11" x14ac:dyDescent="0.25">
      <c r="A385" s="214"/>
      <c r="C385" s="215"/>
      <c r="D385" s="216"/>
      <c r="E385" s="216"/>
      <c r="F385" s="217"/>
      <c r="G385" s="216"/>
      <c r="H385" s="216"/>
      <c r="I385" s="217"/>
      <c r="J385" s="217"/>
      <c r="K385" s="191"/>
    </row>
    <row r="386" spans="1:11" x14ac:dyDescent="0.25">
      <c r="A386" s="214"/>
      <c r="C386" s="215"/>
      <c r="D386" s="216"/>
      <c r="E386" s="216"/>
      <c r="F386" s="217"/>
      <c r="G386" s="216"/>
      <c r="H386" s="216"/>
      <c r="I386" s="217"/>
      <c r="J386" s="217"/>
      <c r="K386" s="191"/>
    </row>
    <row r="387" spans="1:11" x14ac:dyDescent="0.25">
      <c r="A387" s="214"/>
      <c r="C387" s="215"/>
      <c r="D387" s="216"/>
      <c r="E387" s="216"/>
      <c r="F387" s="217"/>
      <c r="G387" s="216"/>
      <c r="H387" s="216"/>
      <c r="I387" s="217"/>
      <c r="J387" s="217"/>
      <c r="K387" s="191"/>
    </row>
    <row r="388" spans="1:11" x14ac:dyDescent="0.25">
      <c r="A388" s="214"/>
      <c r="C388" s="215"/>
      <c r="D388" s="216"/>
      <c r="E388" s="216"/>
      <c r="F388" s="217"/>
      <c r="G388" s="216"/>
      <c r="H388" s="216"/>
      <c r="I388" s="217"/>
      <c r="J388" s="217"/>
      <c r="K388" s="191"/>
    </row>
    <row r="389" spans="1:11" x14ac:dyDescent="0.25">
      <c r="A389" s="214"/>
      <c r="C389" s="215"/>
      <c r="D389" s="216"/>
      <c r="E389" s="216"/>
      <c r="F389" s="217"/>
      <c r="G389" s="216"/>
      <c r="H389" s="216"/>
      <c r="I389" s="217"/>
      <c r="J389" s="217"/>
      <c r="K389" s="191"/>
    </row>
    <row r="390" spans="1:11" x14ac:dyDescent="0.25">
      <c r="A390" s="214"/>
      <c r="C390" s="215"/>
      <c r="D390" s="216"/>
      <c r="E390" s="216"/>
      <c r="F390" s="217"/>
      <c r="G390" s="216"/>
      <c r="H390" s="216"/>
      <c r="I390" s="217"/>
      <c r="J390" s="217"/>
      <c r="K390" s="191"/>
    </row>
    <row r="391" spans="1:11" x14ac:dyDescent="0.25">
      <c r="A391" s="214"/>
      <c r="C391" s="215"/>
      <c r="D391" s="216"/>
      <c r="E391" s="216"/>
      <c r="F391" s="217"/>
      <c r="G391" s="216"/>
      <c r="H391" s="216"/>
      <c r="I391" s="217"/>
      <c r="J391" s="217"/>
      <c r="K391" s="191"/>
    </row>
    <row r="392" spans="1:11" x14ac:dyDescent="0.25">
      <c r="A392" s="214"/>
      <c r="C392" s="215"/>
      <c r="D392" s="216"/>
      <c r="E392" s="216"/>
      <c r="F392" s="217"/>
      <c r="G392" s="216"/>
      <c r="H392" s="216"/>
      <c r="I392" s="217"/>
      <c r="J392" s="217"/>
      <c r="K392" s="191"/>
    </row>
    <row r="393" spans="1:11" x14ac:dyDescent="0.25">
      <c r="A393" s="214"/>
      <c r="C393" s="215"/>
      <c r="D393" s="216"/>
      <c r="E393" s="216"/>
      <c r="F393" s="217"/>
      <c r="G393" s="216"/>
      <c r="H393" s="216"/>
      <c r="I393" s="217"/>
      <c r="J393" s="217"/>
      <c r="K393" s="191"/>
    </row>
    <row r="394" spans="1:11" x14ac:dyDescent="0.25">
      <c r="A394" s="214"/>
      <c r="C394" s="215"/>
      <c r="D394" s="216"/>
      <c r="E394" s="216"/>
      <c r="F394" s="217"/>
      <c r="G394" s="216"/>
      <c r="H394" s="216"/>
      <c r="I394" s="217"/>
      <c r="J394" s="217"/>
      <c r="K394" s="191"/>
    </row>
    <row r="395" spans="1:11" x14ac:dyDescent="0.25">
      <c r="A395" s="214"/>
      <c r="C395" s="215"/>
      <c r="D395" s="216"/>
      <c r="E395" s="216"/>
      <c r="F395" s="217"/>
      <c r="G395" s="216"/>
      <c r="H395" s="216"/>
      <c r="I395" s="217"/>
      <c r="J395" s="217"/>
      <c r="K395" s="191"/>
    </row>
    <row r="396" spans="1:11" x14ac:dyDescent="0.25">
      <c r="A396" s="214"/>
      <c r="C396" s="215"/>
      <c r="D396" s="216"/>
      <c r="E396" s="216"/>
      <c r="F396" s="217"/>
      <c r="G396" s="216"/>
      <c r="H396" s="216"/>
      <c r="I396" s="217"/>
      <c r="J396" s="217"/>
      <c r="K396" s="191"/>
    </row>
    <row r="397" spans="1:11" x14ac:dyDescent="0.25">
      <c r="A397" s="214"/>
      <c r="C397" s="215"/>
      <c r="D397" s="216"/>
      <c r="E397" s="216"/>
      <c r="F397" s="217"/>
      <c r="G397" s="216"/>
      <c r="H397" s="216"/>
      <c r="I397" s="217"/>
      <c r="J397" s="217"/>
      <c r="K397" s="191"/>
    </row>
    <row r="398" spans="1:11" x14ac:dyDescent="0.25">
      <c r="A398" s="214"/>
      <c r="C398" s="215"/>
      <c r="D398" s="216"/>
      <c r="E398" s="216"/>
      <c r="F398" s="217"/>
      <c r="G398" s="216"/>
      <c r="H398" s="216"/>
      <c r="I398" s="217"/>
      <c r="J398" s="217"/>
      <c r="K398" s="191"/>
    </row>
    <row r="399" spans="1:11" x14ac:dyDescent="0.25">
      <c r="A399" s="214"/>
      <c r="C399" s="215"/>
      <c r="D399" s="216"/>
      <c r="E399" s="216"/>
      <c r="F399" s="217"/>
      <c r="G399" s="216"/>
      <c r="H399" s="216"/>
      <c r="I399" s="217"/>
      <c r="J399" s="217"/>
      <c r="K399" s="191"/>
    </row>
    <row r="400" spans="1:11" x14ac:dyDescent="0.25">
      <c r="A400" s="214"/>
      <c r="C400" s="215"/>
      <c r="D400" s="216"/>
      <c r="E400" s="216"/>
      <c r="F400" s="217"/>
      <c r="G400" s="216"/>
      <c r="H400" s="216"/>
      <c r="I400" s="217"/>
      <c r="J400" s="217"/>
      <c r="K400" s="191"/>
    </row>
    <row r="401" spans="1:11" x14ac:dyDescent="0.25">
      <c r="A401" s="214"/>
      <c r="C401" s="215"/>
      <c r="D401" s="216"/>
      <c r="E401" s="216"/>
      <c r="F401" s="217"/>
      <c r="G401" s="216"/>
      <c r="H401" s="216"/>
      <c r="I401" s="217"/>
      <c r="J401" s="217"/>
      <c r="K401" s="191"/>
    </row>
    <row r="402" spans="1:11" x14ac:dyDescent="0.25">
      <c r="A402" s="214"/>
      <c r="C402" s="215"/>
      <c r="D402" s="216"/>
      <c r="E402" s="216"/>
      <c r="F402" s="217"/>
      <c r="G402" s="216"/>
      <c r="H402" s="216"/>
      <c r="I402" s="217"/>
      <c r="J402" s="217"/>
      <c r="K402" s="191"/>
    </row>
    <row r="403" spans="1:11" x14ac:dyDescent="0.25">
      <c r="A403" s="214"/>
      <c r="C403" s="215"/>
      <c r="D403" s="216"/>
      <c r="E403" s="216"/>
      <c r="F403" s="217"/>
      <c r="G403" s="216"/>
      <c r="H403" s="216"/>
      <c r="I403" s="217"/>
      <c r="J403" s="217"/>
      <c r="K403" s="191"/>
    </row>
    <row r="404" spans="1:11" x14ac:dyDescent="0.25">
      <c r="A404" s="214"/>
      <c r="C404" s="215"/>
      <c r="D404" s="216"/>
      <c r="E404" s="216"/>
      <c r="F404" s="217"/>
      <c r="G404" s="216"/>
      <c r="H404" s="216"/>
      <c r="I404" s="217"/>
      <c r="J404" s="217"/>
      <c r="K404" s="191"/>
    </row>
    <row r="405" spans="1:11" x14ac:dyDescent="0.25">
      <c r="A405" s="214"/>
      <c r="C405" s="215"/>
      <c r="D405" s="216"/>
      <c r="E405" s="216"/>
      <c r="F405" s="217"/>
      <c r="G405" s="216"/>
      <c r="H405" s="216"/>
      <c r="I405" s="217"/>
      <c r="J405" s="217"/>
      <c r="K405" s="191"/>
    </row>
    <row r="406" spans="1:11" x14ac:dyDescent="0.25">
      <c r="A406" s="214"/>
      <c r="C406" s="215"/>
      <c r="D406" s="216"/>
      <c r="E406" s="216"/>
      <c r="F406" s="217"/>
      <c r="G406" s="216"/>
      <c r="H406" s="216"/>
      <c r="I406" s="217"/>
      <c r="J406" s="217"/>
      <c r="K406" s="191"/>
    </row>
    <row r="407" spans="1:11" x14ac:dyDescent="0.25">
      <c r="A407" s="214"/>
      <c r="C407" s="215"/>
      <c r="D407" s="216"/>
      <c r="E407" s="216"/>
      <c r="F407" s="217"/>
      <c r="G407" s="216"/>
      <c r="H407" s="216"/>
      <c r="I407" s="217"/>
      <c r="J407" s="217"/>
      <c r="K407" s="191"/>
    </row>
    <row r="408" spans="1:11" x14ac:dyDescent="0.25">
      <c r="A408" s="214"/>
      <c r="C408" s="215"/>
      <c r="D408" s="216"/>
      <c r="E408" s="216"/>
      <c r="F408" s="217"/>
      <c r="G408" s="216"/>
      <c r="H408" s="216"/>
      <c r="I408" s="217"/>
      <c r="J408" s="217"/>
      <c r="K408" s="191"/>
    </row>
    <row r="409" spans="1:11" x14ac:dyDescent="0.25">
      <c r="A409" s="214"/>
      <c r="C409" s="215"/>
      <c r="D409" s="216"/>
      <c r="E409" s="216"/>
      <c r="F409" s="217"/>
      <c r="G409" s="216"/>
      <c r="H409" s="216"/>
      <c r="I409" s="217"/>
      <c r="J409" s="217"/>
      <c r="K409" s="191"/>
    </row>
    <row r="410" spans="1:11" x14ac:dyDescent="0.25">
      <c r="A410" s="214"/>
      <c r="C410" s="215"/>
      <c r="D410" s="216"/>
      <c r="E410" s="216"/>
      <c r="F410" s="217"/>
      <c r="G410" s="216"/>
      <c r="H410" s="216"/>
      <c r="I410" s="217"/>
      <c r="J410" s="217"/>
      <c r="K410" s="191"/>
    </row>
    <row r="411" spans="1:11" x14ac:dyDescent="0.25">
      <c r="A411" s="214"/>
      <c r="C411" s="215"/>
      <c r="D411" s="216"/>
      <c r="E411" s="216"/>
      <c r="F411" s="217"/>
      <c r="G411" s="216"/>
      <c r="H411" s="216"/>
      <c r="I411" s="217"/>
      <c r="J411" s="217"/>
      <c r="K411" s="191"/>
    </row>
    <row r="412" spans="1:11" x14ac:dyDescent="0.25">
      <c r="A412" s="214"/>
      <c r="C412" s="215"/>
      <c r="D412" s="216"/>
      <c r="E412" s="216"/>
      <c r="F412" s="217"/>
      <c r="G412" s="216"/>
      <c r="H412" s="216"/>
      <c r="I412" s="217"/>
      <c r="J412" s="217"/>
      <c r="K412" s="191"/>
    </row>
    <row r="413" spans="1:11" x14ac:dyDescent="0.25">
      <c r="A413" s="214"/>
      <c r="C413" s="215"/>
      <c r="D413" s="216"/>
      <c r="E413" s="216"/>
      <c r="F413" s="217"/>
      <c r="G413" s="216"/>
      <c r="H413" s="216"/>
      <c r="I413" s="217"/>
      <c r="J413" s="217"/>
      <c r="K413" s="191"/>
    </row>
    <row r="414" spans="1:11" x14ac:dyDescent="0.25">
      <c r="A414" s="214"/>
      <c r="C414" s="215"/>
      <c r="D414" s="216"/>
      <c r="E414" s="216"/>
      <c r="F414" s="217"/>
      <c r="G414" s="216"/>
      <c r="H414" s="216"/>
      <c r="I414" s="217"/>
      <c r="J414" s="217"/>
      <c r="K414" s="191"/>
    </row>
    <row r="415" spans="1:11" x14ac:dyDescent="0.25">
      <c r="A415" s="214"/>
      <c r="C415" s="215"/>
      <c r="D415" s="216"/>
      <c r="E415" s="216"/>
      <c r="F415" s="217"/>
      <c r="G415" s="216"/>
      <c r="H415" s="216"/>
      <c r="I415" s="217"/>
      <c r="J415" s="217"/>
      <c r="K415" s="191"/>
    </row>
    <row r="416" spans="1:11" x14ac:dyDescent="0.25">
      <c r="A416" s="214"/>
      <c r="C416" s="215"/>
      <c r="D416" s="216"/>
      <c r="E416" s="216"/>
      <c r="F416" s="217"/>
      <c r="G416" s="216"/>
      <c r="H416" s="216"/>
      <c r="I416" s="217"/>
      <c r="J416" s="217"/>
      <c r="K416" s="191"/>
    </row>
    <row r="417" spans="1:11" x14ac:dyDescent="0.25">
      <c r="A417" s="214"/>
      <c r="C417" s="215"/>
      <c r="D417" s="216"/>
      <c r="E417" s="216"/>
      <c r="F417" s="217"/>
      <c r="G417" s="216"/>
      <c r="H417" s="216"/>
      <c r="I417" s="217"/>
      <c r="J417" s="217"/>
      <c r="K417" s="191"/>
    </row>
    <row r="418" spans="1:11" x14ac:dyDescent="0.25">
      <c r="A418" s="214"/>
      <c r="C418" s="215"/>
      <c r="D418" s="216"/>
      <c r="E418" s="216"/>
      <c r="F418" s="217"/>
      <c r="G418" s="216"/>
      <c r="H418" s="216"/>
      <c r="I418" s="217"/>
      <c r="J418" s="217"/>
      <c r="K418" s="191"/>
    </row>
    <row r="419" spans="1:11" x14ac:dyDescent="0.25">
      <c r="A419" s="214"/>
      <c r="C419" s="215"/>
      <c r="D419" s="216"/>
      <c r="E419" s="216"/>
      <c r="F419" s="217"/>
      <c r="G419" s="216"/>
      <c r="H419" s="216"/>
      <c r="I419" s="217"/>
      <c r="J419" s="217"/>
      <c r="K419" s="191"/>
    </row>
    <row r="420" spans="1:11" x14ac:dyDescent="0.25">
      <c r="A420" s="214"/>
      <c r="C420" s="215"/>
      <c r="D420" s="216"/>
      <c r="E420" s="216"/>
      <c r="F420" s="217"/>
      <c r="G420" s="216"/>
      <c r="H420" s="216"/>
      <c r="I420" s="217"/>
      <c r="J420" s="217"/>
      <c r="K420" s="191"/>
    </row>
    <row r="421" spans="1:11" x14ac:dyDescent="0.25">
      <c r="A421" s="214"/>
      <c r="C421" s="215"/>
      <c r="D421" s="216"/>
      <c r="E421" s="216"/>
      <c r="F421" s="217"/>
      <c r="G421" s="216"/>
      <c r="H421" s="216"/>
      <c r="I421" s="217"/>
      <c r="J421" s="217"/>
      <c r="K421" s="191"/>
    </row>
    <row r="422" spans="1:11" x14ac:dyDescent="0.25">
      <c r="A422" s="214"/>
      <c r="C422" s="215"/>
      <c r="D422" s="216"/>
      <c r="E422" s="216"/>
      <c r="F422" s="217"/>
      <c r="G422" s="216"/>
      <c r="H422" s="216"/>
      <c r="I422" s="217"/>
      <c r="J422" s="217"/>
      <c r="K422" s="191"/>
    </row>
    <row r="423" spans="1:11" x14ac:dyDescent="0.25">
      <c r="A423" s="214"/>
      <c r="C423" s="215"/>
      <c r="D423" s="216"/>
      <c r="E423" s="216"/>
      <c r="F423" s="217"/>
      <c r="G423" s="216"/>
      <c r="H423" s="216"/>
      <c r="I423" s="217"/>
      <c r="J423" s="217"/>
      <c r="K423" s="191"/>
    </row>
    <row r="424" spans="1:11" x14ac:dyDescent="0.25">
      <c r="A424" s="214"/>
      <c r="C424" s="215"/>
      <c r="D424" s="216"/>
      <c r="E424" s="216"/>
      <c r="F424" s="217"/>
      <c r="G424" s="216"/>
      <c r="H424" s="216"/>
      <c r="I424" s="217"/>
      <c r="J424" s="217"/>
      <c r="K424" s="191"/>
    </row>
    <row r="425" spans="1:11" x14ac:dyDescent="0.25">
      <c r="A425" s="214"/>
      <c r="C425" s="215"/>
      <c r="D425" s="216"/>
      <c r="E425" s="216"/>
      <c r="F425" s="217"/>
      <c r="G425" s="216"/>
      <c r="H425" s="216"/>
      <c r="I425" s="217"/>
      <c r="J425" s="217"/>
      <c r="K425" s="191"/>
    </row>
    <row r="426" spans="1:11" x14ac:dyDescent="0.25">
      <c r="A426" s="214"/>
      <c r="C426" s="215"/>
      <c r="D426" s="216"/>
      <c r="E426" s="216"/>
      <c r="F426" s="217"/>
      <c r="G426" s="216"/>
      <c r="H426" s="216"/>
      <c r="I426" s="217"/>
      <c r="J426" s="217"/>
      <c r="K426" s="191"/>
    </row>
    <row r="427" spans="1:11" x14ac:dyDescent="0.25">
      <c r="A427" s="214"/>
      <c r="C427" s="215"/>
      <c r="D427" s="216"/>
      <c r="E427" s="216"/>
      <c r="F427" s="217"/>
      <c r="G427" s="216"/>
      <c r="H427" s="216"/>
      <c r="I427" s="217"/>
      <c r="J427" s="217"/>
      <c r="K427" s="191"/>
    </row>
    <row r="428" spans="1:11" x14ac:dyDescent="0.25">
      <c r="A428" s="214"/>
      <c r="C428" s="215"/>
      <c r="D428" s="216"/>
      <c r="E428" s="216"/>
      <c r="F428" s="217"/>
      <c r="G428" s="216"/>
      <c r="H428" s="216"/>
      <c r="I428" s="217"/>
      <c r="J428" s="217"/>
      <c r="K428" s="191"/>
    </row>
    <row r="429" spans="1:11" x14ac:dyDescent="0.25">
      <c r="A429" s="214"/>
      <c r="C429" s="215"/>
      <c r="D429" s="216"/>
      <c r="E429" s="216"/>
      <c r="F429" s="217"/>
      <c r="G429" s="216"/>
      <c r="H429" s="216"/>
      <c r="I429" s="217"/>
      <c r="J429" s="217"/>
      <c r="K429" s="191"/>
    </row>
    <row r="430" spans="1:11" x14ac:dyDescent="0.25">
      <c r="A430" s="214"/>
      <c r="C430" s="215"/>
      <c r="D430" s="216"/>
      <c r="E430" s="216"/>
      <c r="F430" s="217"/>
      <c r="G430" s="216"/>
      <c r="H430" s="216"/>
      <c r="I430" s="217"/>
      <c r="J430" s="217"/>
      <c r="K430" s="191"/>
    </row>
    <row r="431" spans="1:11" x14ac:dyDescent="0.25">
      <c r="A431" s="214"/>
      <c r="C431" s="215"/>
      <c r="D431" s="216"/>
      <c r="E431" s="216"/>
      <c r="F431" s="217"/>
      <c r="G431" s="216"/>
      <c r="H431" s="216"/>
      <c r="I431" s="217"/>
      <c r="J431" s="217"/>
      <c r="K431" s="191"/>
    </row>
    <row r="432" spans="1:11" x14ac:dyDescent="0.25">
      <c r="A432" s="214"/>
      <c r="C432" s="215"/>
      <c r="D432" s="216"/>
      <c r="E432" s="216"/>
      <c r="F432" s="217"/>
      <c r="G432" s="216"/>
      <c r="H432" s="216"/>
      <c r="I432" s="217"/>
      <c r="J432" s="217"/>
      <c r="K432" s="191"/>
    </row>
    <row r="433" spans="1:11" x14ac:dyDescent="0.25">
      <c r="A433" s="214"/>
      <c r="C433" s="215"/>
      <c r="D433" s="216"/>
      <c r="E433" s="216"/>
      <c r="F433" s="217"/>
      <c r="G433" s="216"/>
      <c r="H433" s="216"/>
      <c r="I433" s="217"/>
      <c r="J433" s="217"/>
      <c r="K433" s="191"/>
    </row>
    <row r="434" spans="1:11" x14ac:dyDescent="0.25">
      <c r="A434" s="214"/>
      <c r="C434" s="215"/>
      <c r="D434" s="216"/>
      <c r="E434" s="216"/>
      <c r="F434" s="217"/>
      <c r="G434" s="216"/>
      <c r="H434" s="216"/>
      <c r="I434" s="217"/>
      <c r="J434" s="217"/>
      <c r="K434" s="191"/>
    </row>
    <row r="435" spans="1:11" x14ac:dyDescent="0.25">
      <c r="A435" s="214"/>
      <c r="C435" s="215"/>
      <c r="D435" s="216"/>
      <c r="E435" s="216"/>
      <c r="F435" s="217"/>
      <c r="G435" s="216"/>
      <c r="H435" s="216"/>
      <c r="I435" s="217"/>
      <c r="J435" s="217"/>
      <c r="K435" s="191"/>
    </row>
    <row r="436" spans="1:11" x14ac:dyDescent="0.25">
      <c r="A436" s="214"/>
      <c r="C436" s="215"/>
      <c r="D436" s="216"/>
      <c r="E436" s="216"/>
      <c r="F436" s="217"/>
      <c r="G436" s="216"/>
      <c r="H436" s="216"/>
      <c r="I436" s="217"/>
      <c r="J436" s="217"/>
      <c r="K436" s="191"/>
    </row>
    <row r="437" spans="1:11" x14ac:dyDescent="0.25">
      <c r="A437" s="214"/>
      <c r="C437" s="215"/>
      <c r="D437" s="216"/>
      <c r="E437" s="216"/>
      <c r="F437" s="217"/>
      <c r="G437" s="216"/>
      <c r="H437" s="216"/>
      <c r="I437" s="217"/>
      <c r="J437" s="217"/>
      <c r="K437" s="191"/>
    </row>
    <row r="438" spans="1:11" x14ac:dyDescent="0.25">
      <c r="A438" s="214"/>
      <c r="C438" s="215"/>
      <c r="D438" s="216"/>
      <c r="E438" s="216"/>
      <c r="F438" s="217"/>
      <c r="G438" s="216"/>
      <c r="H438" s="216"/>
      <c r="I438" s="217"/>
      <c r="J438" s="217"/>
      <c r="K438" s="191"/>
    </row>
    <row r="439" spans="1:11" x14ac:dyDescent="0.25">
      <c r="A439" s="214"/>
      <c r="C439" s="215"/>
      <c r="D439" s="216"/>
      <c r="E439" s="216"/>
      <c r="F439" s="217"/>
      <c r="G439" s="216"/>
      <c r="H439" s="216"/>
      <c r="I439" s="217"/>
      <c r="J439" s="217"/>
      <c r="K439" s="191"/>
    </row>
    <row r="440" spans="1:11" x14ac:dyDescent="0.25">
      <c r="A440" s="214"/>
      <c r="C440" s="215"/>
      <c r="D440" s="216"/>
      <c r="E440" s="216"/>
      <c r="F440" s="217"/>
      <c r="G440" s="216"/>
      <c r="H440" s="216"/>
      <c r="I440" s="217"/>
      <c r="J440" s="217"/>
      <c r="K440" s="191"/>
    </row>
    <row r="441" spans="1:11" x14ac:dyDescent="0.25">
      <c r="A441" s="214"/>
      <c r="C441" s="215"/>
      <c r="D441" s="216"/>
      <c r="E441" s="216"/>
      <c r="F441" s="217"/>
      <c r="G441" s="216"/>
      <c r="H441" s="216"/>
      <c r="I441" s="217"/>
      <c r="J441" s="217"/>
      <c r="K441" s="191"/>
    </row>
    <row r="442" spans="1:11" x14ac:dyDescent="0.25">
      <c r="A442" s="214"/>
      <c r="C442" s="215"/>
      <c r="D442" s="216"/>
      <c r="E442" s="216"/>
      <c r="F442" s="217"/>
      <c r="G442" s="216"/>
      <c r="H442" s="216"/>
      <c r="I442" s="217"/>
      <c r="J442" s="217"/>
      <c r="K442" s="191"/>
    </row>
    <row r="443" spans="1:11" x14ac:dyDescent="0.25">
      <c r="A443" s="214"/>
      <c r="C443" s="215"/>
      <c r="D443" s="216"/>
      <c r="E443" s="216"/>
      <c r="F443" s="217"/>
      <c r="G443" s="216"/>
      <c r="H443" s="216"/>
      <c r="I443" s="217"/>
      <c r="J443" s="217"/>
      <c r="K443" s="191"/>
    </row>
    <row r="444" spans="1:11" x14ac:dyDescent="0.25">
      <c r="A444" s="214"/>
      <c r="C444" s="215"/>
      <c r="D444" s="216"/>
      <c r="E444" s="216"/>
      <c r="F444" s="217"/>
      <c r="G444" s="216"/>
      <c r="H444" s="216"/>
      <c r="I444" s="217"/>
      <c r="J444" s="217"/>
      <c r="K444" s="191"/>
    </row>
    <row r="445" spans="1:11" x14ac:dyDescent="0.25">
      <c r="A445" s="214"/>
      <c r="C445" s="215"/>
      <c r="D445" s="216"/>
      <c r="E445" s="216"/>
      <c r="F445" s="217"/>
      <c r="G445" s="216"/>
      <c r="H445" s="216"/>
      <c r="I445" s="217"/>
      <c r="J445" s="217"/>
      <c r="K445" s="191"/>
    </row>
    <row r="446" spans="1:11" x14ac:dyDescent="0.25">
      <c r="A446" s="214"/>
      <c r="C446" s="215"/>
      <c r="D446" s="216"/>
      <c r="E446" s="216"/>
      <c r="F446" s="217"/>
      <c r="G446" s="216"/>
      <c r="H446" s="216"/>
      <c r="I446" s="217"/>
      <c r="J446" s="217"/>
      <c r="K446" s="191"/>
    </row>
    <row r="447" spans="1:11" x14ac:dyDescent="0.25">
      <c r="A447" s="214"/>
      <c r="C447" s="215"/>
      <c r="D447" s="216"/>
      <c r="E447" s="216"/>
      <c r="F447" s="217"/>
      <c r="G447" s="216"/>
      <c r="H447" s="216"/>
      <c r="I447" s="217"/>
      <c r="J447" s="217"/>
      <c r="K447" s="191"/>
    </row>
    <row r="448" spans="1:11" x14ac:dyDescent="0.25">
      <c r="A448" s="214"/>
      <c r="C448" s="215"/>
      <c r="D448" s="216"/>
      <c r="E448" s="216"/>
      <c r="F448" s="217"/>
      <c r="G448" s="216"/>
      <c r="H448" s="216"/>
      <c r="I448" s="217"/>
      <c r="J448" s="217"/>
      <c r="K448" s="191"/>
    </row>
    <row r="449" spans="1:11" x14ac:dyDescent="0.25">
      <c r="A449" s="214"/>
      <c r="C449" s="215"/>
      <c r="D449" s="216"/>
      <c r="E449" s="216"/>
      <c r="F449" s="217"/>
      <c r="G449" s="216"/>
      <c r="H449" s="216"/>
      <c r="I449" s="217"/>
      <c r="J449" s="217"/>
      <c r="K449" s="191"/>
    </row>
    <row r="450" spans="1:11" x14ac:dyDescent="0.25">
      <c r="A450" s="214"/>
      <c r="C450" s="215"/>
      <c r="D450" s="216"/>
      <c r="E450" s="216"/>
      <c r="F450" s="217"/>
      <c r="G450" s="216"/>
      <c r="H450" s="216"/>
      <c r="I450" s="217"/>
      <c r="J450" s="217"/>
      <c r="K450" s="191"/>
    </row>
    <row r="451" spans="1:11" x14ac:dyDescent="0.25">
      <c r="A451" s="214"/>
      <c r="C451" s="215"/>
      <c r="D451" s="216"/>
      <c r="E451" s="216"/>
      <c r="F451" s="217"/>
      <c r="G451" s="216"/>
      <c r="H451" s="216"/>
      <c r="I451" s="217"/>
      <c r="J451" s="217"/>
      <c r="K451" s="191"/>
    </row>
    <row r="452" spans="1:11" x14ac:dyDescent="0.25">
      <c r="A452" s="214"/>
      <c r="C452" s="215"/>
      <c r="D452" s="216"/>
      <c r="E452" s="216"/>
      <c r="F452" s="217"/>
      <c r="G452" s="216"/>
      <c r="H452" s="216"/>
      <c r="I452" s="217"/>
      <c r="J452" s="217"/>
      <c r="K452" s="191"/>
    </row>
    <row r="453" spans="1:11" x14ac:dyDescent="0.25">
      <c r="A453" s="214"/>
      <c r="C453" s="215"/>
      <c r="D453" s="216"/>
      <c r="E453" s="216"/>
      <c r="F453" s="217"/>
      <c r="G453" s="216"/>
      <c r="H453" s="216"/>
      <c r="I453" s="217"/>
      <c r="J453" s="217"/>
      <c r="K453" s="191"/>
    </row>
    <row r="454" spans="1:11" x14ac:dyDescent="0.25">
      <c r="A454" s="214"/>
      <c r="C454" s="215"/>
      <c r="D454" s="216"/>
      <c r="E454" s="216"/>
      <c r="F454" s="217"/>
      <c r="G454" s="216"/>
      <c r="H454" s="216"/>
      <c r="I454" s="217"/>
      <c r="J454" s="217"/>
      <c r="K454" s="191"/>
    </row>
    <row r="455" spans="1:11" x14ac:dyDescent="0.25">
      <c r="A455" s="214"/>
      <c r="C455" s="215"/>
      <c r="D455" s="216"/>
      <c r="E455" s="216"/>
      <c r="F455" s="217"/>
      <c r="G455" s="216"/>
      <c r="H455" s="216"/>
      <c r="I455" s="217"/>
      <c r="J455" s="217"/>
      <c r="K455" s="191"/>
    </row>
    <row r="456" spans="1:11" x14ac:dyDescent="0.25">
      <c r="A456" s="214"/>
      <c r="C456" s="215"/>
      <c r="D456" s="216"/>
      <c r="E456" s="216"/>
      <c r="F456" s="217"/>
      <c r="G456" s="216"/>
      <c r="H456" s="216"/>
      <c r="I456" s="217"/>
      <c r="J456" s="217"/>
      <c r="K456" s="191"/>
    </row>
    <row r="457" spans="1:11" x14ac:dyDescent="0.25">
      <c r="A457" s="214"/>
      <c r="C457" s="215"/>
      <c r="D457" s="216"/>
      <c r="E457" s="216"/>
      <c r="F457" s="217"/>
      <c r="G457" s="216"/>
      <c r="H457" s="216"/>
      <c r="I457" s="217"/>
      <c r="J457" s="217"/>
      <c r="K457" s="191"/>
    </row>
    <row r="458" spans="1:11" x14ac:dyDescent="0.25">
      <c r="A458" s="214"/>
      <c r="C458" s="215"/>
      <c r="D458" s="216"/>
      <c r="E458" s="216"/>
      <c r="F458" s="217"/>
      <c r="G458" s="216"/>
      <c r="H458" s="216"/>
      <c r="I458" s="217"/>
      <c r="J458" s="217"/>
      <c r="K458" s="191"/>
    </row>
    <row r="459" spans="1:11" x14ac:dyDescent="0.25">
      <c r="A459" s="214"/>
      <c r="C459" s="215"/>
      <c r="D459" s="216"/>
      <c r="E459" s="216"/>
      <c r="F459" s="217"/>
      <c r="G459" s="216"/>
      <c r="H459" s="216"/>
      <c r="I459" s="217"/>
      <c r="J459" s="217"/>
      <c r="K459" s="191"/>
    </row>
    <row r="460" spans="1:11" x14ac:dyDescent="0.25">
      <c r="A460" s="214"/>
      <c r="C460" s="215"/>
      <c r="D460" s="216"/>
      <c r="E460" s="216"/>
      <c r="F460" s="217"/>
      <c r="G460" s="216"/>
      <c r="H460" s="216"/>
      <c r="I460" s="217"/>
      <c r="J460" s="217"/>
      <c r="K460" s="191"/>
    </row>
    <row r="461" spans="1:11" x14ac:dyDescent="0.25">
      <c r="A461" s="214"/>
      <c r="C461" s="215"/>
      <c r="D461" s="216"/>
      <c r="E461" s="216"/>
      <c r="F461" s="217"/>
      <c r="G461" s="216"/>
      <c r="H461" s="216"/>
      <c r="I461" s="217"/>
      <c r="J461" s="217"/>
      <c r="K461" s="191"/>
    </row>
    <row r="462" spans="1:11" x14ac:dyDescent="0.25">
      <c r="A462" s="214"/>
      <c r="C462" s="215"/>
      <c r="D462" s="216"/>
      <c r="E462" s="216"/>
      <c r="F462" s="217"/>
      <c r="G462" s="216"/>
      <c r="H462" s="216"/>
      <c r="I462" s="217"/>
      <c r="J462" s="217"/>
      <c r="K462" s="191"/>
    </row>
    <row r="463" spans="1:11" x14ac:dyDescent="0.25">
      <c r="A463" s="214"/>
      <c r="C463" s="215"/>
      <c r="D463" s="216"/>
      <c r="E463" s="216"/>
      <c r="F463" s="217"/>
      <c r="G463" s="216"/>
      <c r="H463" s="216"/>
      <c r="I463" s="217"/>
      <c r="J463" s="217"/>
      <c r="K463" s="191"/>
    </row>
    <row r="464" spans="1:11" x14ac:dyDescent="0.25">
      <c r="A464" s="214"/>
      <c r="C464" s="215"/>
      <c r="D464" s="216"/>
      <c r="E464" s="216"/>
      <c r="F464" s="217"/>
      <c r="G464" s="216"/>
      <c r="H464" s="216"/>
      <c r="I464" s="217"/>
      <c r="J464" s="217"/>
      <c r="K464" s="191"/>
    </row>
    <row r="465" spans="1:11" x14ac:dyDescent="0.25">
      <c r="A465" s="214"/>
      <c r="C465" s="215"/>
      <c r="D465" s="216"/>
      <c r="E465" s="216"/>
      <c r="F465" s="217"/>
      <c r="G465" s="216"/>
      <c r="H465" s="216"/>
      <c r="I465" s="217"/>
      <c r="J465" s="217"/>
      <c r="K465" s="191"/>
    </row>
    <row r="466" spans="1:11" x14ac:dyDescent="0.25">
      <c r="A466" s="214"/>
      <c r="C466" s="215"/>
      <c r="D466" s="216"/>
      <c r="E466" s="216"/>
      <c r="F466" s="217"/>
      <c r="G466" s="216"/>
      <c r="H466" s="216"/>
      <c r="I466" s="217"/>
      <c r="J466" s="217"/>
      <c r="K466" s="191"/>
    </row>
    <row r="467" spans="1:11" x14ac:dyDescent="0.25">
      <c r="A467" s="214"/>
      <c r="C467" s="215"/>
      <c r="D467" s="216"/>
      <c r="E467" s="216"/>
      <c r="F467" s="217"/>
      <c r="G467" s="216"/>
      <c r="H467" s="216"/>
      <c r="I467" s="217"/>
      <c r="J467" s="217"/>
      <c r="K467" s="191"/>
    </row>
    <row r="468" spans="1:11" x14ac:dyDescent="0.25">
      <c r="A468" s="214"/>
      <c r="C468" s="215"/>
      <c r="D468" s="216"/>
      <c r="E468" s="216"/>
      <c r="F468" s="217"/>
      <c r="G468" s="216"/>
      <c r="H468" s="216"/>
      <c r="I468" s="217"/>
      <c r="J468" s="217"/>
      <c r="K468" s="191"/>
    </row>
    <row r="469" spans="1:11" x14ac:dyDescent="0.25">
      <c r="A469" s="214"/>
      <c r="C469" s="215"/>
      <c r="D469" s="216"/>
      <c r="E469" s="216"/>
      <c r="F469" s="217"/>
      <c r="G469" s="216"/>
      <c r="H469" s="216"/>
      <c r="I469" s="217"/>
      <c r="J469" s="217"/>
      <c r="K469" s="191"/>
    </row>
    <row r="470" spans="1:11" x14ac:dyDescent="0.25">
      <c r="A470" s="214"/>
      <c r="C470" s="215"/>
      <c r="D470" s="216"/>
      <c r="E470" s="216"/>
      <c r="F470" s="217"/>
      <c r="G470" s="216"/>
      <c r="H470" s="216"/>
      <c r="I470" s="217"/>
      <c r="J470" s="217"/>
      <c r="K470" s="191"/>
    </row>
    <row r="471" spans="1:11" x14ac:dyDescent="0.25">
      <c r="A471" s="214"/>
      <c r="C471" s="215"/>
      <c r="D471" s="216"/>
      <c r="E471" s="216"/>
      <c r="F471" s="217"/>
      <c r="G471" s="216"/>
      <c r="H471" s="216"/>
      <c r="I471" s="217"/>
      <c r="J471" s="217"/>
      <c r="K471" s="191"/>
    </row>
    <row r="472" spans="1:11" x14ac:dyDescent="0.25">
      <c r="A472" s="214"/>
      <c r="C472" s="215"/>
      <c r="D472" s="216"/>
      <c r="E472" s="216"/>
      <c r="F472" s="217"/>
      <c r="G472" s="216"/>
      <c r="H472" s="216"/>
      <c r="I472" s="217"/>
      <c r="J472" s="217"/>
      <c r="K472" s="191"/>
    </row>
    <row r="473" spans="1:11" x14ac:dyDescent="0.25">
      <c r="A473" s="214"/>
      <c r="C473" s="215"/>
      <c r="D473" s="216"/>
      <c r="E473" s="216"/>
      <c r="F473" s="217"/>
      <c r="G473" s="216"/>
      <c r="H473" s="216"/>
      <c r="I473" s="217"/>
      <c r="J473" s="217"/>
      <c r="K473" s="191"/>
    </row>
    <row r="474" spans="1:11" x14ac:dyDescent="0.25">
      <c r="A474" s="214"/>
      <c r="C474" s="215"/>
      <c r="D474" s="216"/>
      <c r="E474" s="216"/>
      <c r="F474" s="217"/>
      <c r="G474" s="216"/>
      <c r="H474" s="216"/>
      <c r="I474" s="217"/>
      <c r="J474" s="217"/>
      <c r="K474" s="191"/>
    </row>
    <row r="475" spans="1:11" x14ac:dyDescent="0.25">
      <c r="A475" s="214"/>
      <c r="C475" s="215"/>
      <c r="D475" s="216"/>
      <c r="E475" s="216"/>
      <c r="F475" s="217"/>
      <c r="G475" s="216"/>
      <c r="H475" s="216"/>
      <c r="I475" s="217"/>
      <c r="J475" s="217"/>
      <c r="K475" s="191"/>
    </row>
    <row r="476" spans="1:11" x14ac:dyDescent="0.25">
      <c r="A476" s="214"/>
      <c r="C476" s="215"/>
      <c r="D476" s="216"/>
      <c r="E476" s="216"/>
      <c r="F476" s="217"/>
      <c r="G476" s="216"/>
      <c r="H476" s="216"/>
      <c r="I476" s="217"/>
      <c r="J476" s="217"/>
      <c r="K476" s="191"/>
    </row>
    <row r="477" spans="1:11" x14ac:dyDescent="0.25">
      <c r="A477" s="214"/>
      <c r="C477" s="215"/>
      <c r="D477" s="216"/>
      <c r="E477" s="216"/>
      <c r="F477" s="217"/>
      <c r="G477" s="216"/>
      <c r="H477" s="216"/>
      <c r="I477" s="217"/>
      <c r="J477" s="217"/>
      <c r="K477" s="191"/>
    </row>
    <row r="478" spans="1:11" x14ac:dyDescent="0.25">
      <c r="A478" s="214"/>
      <c r="C478" s="215"/>
      <c r="D478" s="216"/>
      <c r="E478" s="216"/>
      <c r="F478" s="217"/>
      <c r="G478" s="216"/>
      <c r="H478" s="216"/>
      <c r="I478" s="217"/>
      <c r="J478" s="217"/>
      <c r="K478" s="191"/>
    </row>
    <row r="479" spans="1:11" x14ac:dyDescent="0.25">
      <c r="A479" s="214"/>
      <c r="C479" s="215"/>
      <c r="D479" s="216"/>
      <c r="E479" s="216"/>
      <c r="F479" s="217"/>
      <c r="G479" s="216"/>
      <c r="H479" s="216"/>
      <c r="I479" s="217"/>
      <c r="J479" s="217"/>
      <c r="K479" s="191"/>
    </row>
    <row r="480" spans="1:11" x14ac:dyDescent="0.25">
      <c r="A480" s="214"/>
      <c r="C480" s="215"/>
      <c r="D480" s="216"/>
      <c r="E480" s="216"/>
      <c r="F480" s="217"/>
      <c r="G480" s="216"/>
      <c r="H480" s="216"/>
      <c r="I480" s="217"/>
      <c r="J480" s="217"/>
      <c r="K480" s="191"/>
    </row>
    <row r="481" spans="1:11" x14ac:dyDescent="0.25">
      <c r="A481" s="214"/>
      <c r="C481" s="215"/>
      <c r="D481" s="216"/>
      <c r="E481" s="216"/>
      <c r="F481" s="217"/>
      <c r="G481" s="216"/>
      <c r="H481" s="216"/>
      <c r="I481" s="217"/>
      <c r="J481" s="217"/>
      <c r="K481" s="191"/>
    </row>
    <row r="482" spans="1:11" x14ac:dyDescent="0.25">
      <c r="A482" s="214"/>
      <c r="C482" s="215"/>
      <c r="D482" s="216"/>
      <c r="E482" s="216"/>
      <c r="F482" s="217"/>
      <c r="G482" s="216"/>
      <c r="H482" s="216"/>
      <c r="I482" s="217"/>
      <c r="J482" s="217"/>
      <c r="K482" s="191"/>
    </row>
    <row r="483" spans="1:11" x14ac:dyDescent="0.25">
      <c r="A483" s="214"/>
      <c r="C483" s="215"/>
      <c r="D483" s="216"/>
      <c r="E483" s="216"/>
      <c r="F483" s="217"/>
      <c r="G483" s="216"/>
      <c r="H483" s="216"/>
      <c r="I483" s="217"/>
      <c r="J483" s="217"/>
      <c r="K483" s="191"/>
    </row>
    <row r="484" spans="1:11" x14ac:dyDescent="0.25">
      <c r="A484" s="214"/>
      <c r="C484" s="215"/>
      <c r="D484" s="216"/>
      <c r="E484" s="216"/>
      <c r="F484" s="217"/>
      <c r="G484" s="216"/>
      <c r="H484" s="216"/>
      <c r="I484" s="217"/>
      <c r="J484" s="217"/>
      <c r="K484" s="191"/>
    </row>
    <row r="485" spans="1:11" x14ac:dyDescent="0.25">
      <c r="A485" s="214"/>
      <c r="C485" s="215"/>
      <c r="D485" s="216"/>
      <c r="E485" s="216"/>
      <c r="F485" s="217"/>
      <c r="G485" s="216"/>
      <c r="H485" s="216"/>
      <c r="I485" s="217"/>
      <c r="J485" s="217"/>
      <c r="K485" s="191"/>
    </row>
    <row r="486" spans="1:11" x14ac:dyDescent="0.25">
      <c r="A486" s="214"/>
      <c r="C486" s="215"/>
      <c r="D486" s="216"/>
      <c r="E486" s="216"/>
      <c r="F486" s="217"/>
      <c r="G486" s="216"/>
      <c r="H486" s="216"/>
      <c r="I486" s="217"/>
      <c r="J486" s="217"/>
      <c r="K486" s="191"/>
    </row>
    <row r="487" spans="1:11" x14ac:dyDescent="0.25">
      <c r="A487" s="214"/>
      <c r="C487" s="215"/>
      <c r="D487" s="216"/>
      <c r="E487" s="216"/>
      <c r="F487" s="217"/>
      <c r="G487" s="216"/>
      <c r="H487" s="216"/>
      <c r="I487" s="217"/>
      <c r="J487" s="217"/>
      <c r="K487" s="191"/>
    </row>
    <row r="488" spans="1:11" x14ac:dyDescent="0.25">
      <c r="A488" s="214"/>
      <c r="C488" s="215"/>
      <c r="D488" s="216"/>
      <c r="E488" s="216"/>
      <c r="F488" s="217"/>
      <c r="G488" s="216"/>
      <c r="H488" s="216"/>
      <c r="I488" s="217"/>
      <c r="J488" s="217"/>
      <c r="K488" s="191"/>
    </row>
    <row r="489" spans="1:11" x14ac:dyDescent="0.25">
      <c r="A489" s="214"/>
      <c r="C489" s="215"/>
      <c r="D489" s="216"/>
      <c r="E489" s="216"/>
      <c r="F489" s="217"/>
      <c r="G489" s="216"/>
      <c r="H489" s="216"/>
      <c r="I489" s="217"/>
      <c r="J489" s="217"/>
      <c r="K489" s="191"/>
    </row>
    <row r="490" spans="1:11" x14ac:dyDescent="0.25">
      <c r="A490" s="214"/>
      <c r="C490" s="215"/>
      <c r="D490" s="216"/>
      <c r="E490" s="216"/>
      <c r="F490" s="217"/>
      <c r="G490" s="216"/>
      <c r="H490" s="216"/>
      <c r="I490" s="217"/>
      <c r="J490" s="217"/>
      <c r="K490" s="191"/>
    </row>
    <row r="491" spans="1:11" x14ac:dyDescent="0.25">
      <c r="A491" s="214"/>
      <c r="C491" s="215"/>
      <c r="D491" s="216"/>
      <c r="E491" s="216"/>
      <c r="F491" s="217"/>
      <c r="G491" s="216"/>
      <c r="H491" s="216"/>
      <c r="I491" s="217"/>
      <c r="J491" s="217"/>
      <c r="K491" s="191"/>
    </row>
    <row r="492" spans="1:11" x14ac:dyDescent="0.25">
      <c r="A492" s="214"/>
      <c r="C492" s="215"/>
      <c r="D492" s="216"/>
      <c r="E492" s="216"/>
      <c r="F492" s="217"/>
      <c r="G492" s="216"/>
      <c r="H492" s="216"/>
      <c r="I492" s="217"/>
      <c r="J492" s="217"/>
      <c r="K492" s="191"/>
    </row>
    <row r="493" spans="1:11" x14ac:dyDescent="0.25">
      <c r="A493" s="214"/>
      <c r="C493" s="215"/>
      <c r="D493" s="216"/>
      <c r="E493" s="216"/>
      <c r="F493" s="217"/>
      <c r="G493" s="216"/>
      <c r="H493" s="216"/>
      <c r="I493" s="217"/>
      <c r="J493" s="217"/>
      <c r="K493" s="191"/>
    </row>
    <row r="494" spans="1:11" x14ac:dyDescent="0.25">
      <c r="A494" s="214"/>
      <c r="C494" s="215"/>
      <c r="D494" s="216"/>
      <c r="E494" s="216"/>
      <c r="F494" s="217"/>
      <c r="G494" s="216"/>
      <c r="H494" s="216"/>
      <c r="I494" s="217"/>
      <c r="J494" s="217"/>
      <c r="K494" s="191"/>
    </row>
    <row r="495" spans="1:11" x14ac:dyDescent="0.25">
      <c r="A495" s="214"/>
      <c r="C495" s="215"/>
      <c r="D495" s="216"/>
      <c r="E495" s="216"/>
      <c r="F495" s="217"/>
      <c r="G495" s="216"/>
      <c r="H495" s="216"/>
      <c r="I495" s="217"/>
      <c r="J495" s="217"/>
      <c r="K495" s="191"/>
    </row>
    <row r="496" spans="1:11" x14ac:dyDescent="0.25">
      <c r="A496" s="214"/>
      <c r="C496" s="215"/>
      <c r="D496" s="216"/>
      <c r="E496" s="216"/>
      <c r="F496" s="217"/>
      <c r="G496" s="216"/>
      <c r="H496" s="216"/>
      <c r="I496" s="217"/>
      <c r="J496" s="217"/>
      <c r="K496" s="191"/>
    </row>
    <row r="497" spans="1:11" x14ac:dyDescent="0.25">
      <c r="A497" s="214"/>
      <c r="C497" s="215"/>
      <c r="D497" s="216"/>
      <c r="E497" s="216"/>
      <c r="F497" s="217"/>
      <c r="G497" s="216"/>
      <c r="H497" s="216"/>
      <c r="I497" s="217"/>
      <c r="J497" s="217"/>
      <c r="K497" s="191"/>
    </row>
    <row r="498" spans="1:11" x14ac:dyDescent="0.25">
      <c r="A498" s="214"/>
      <c r="C498" s="215"/>
      <c r="D498" s="216"/>
      <c r="E498" s="216"/>
      <c r="F498" s="217"/>
      <c r="G498" s="216"/>
      <c r="H498" s="216"/>
      <c r="I498" s="217"/>
      <c r="J498" s="217"/>
      <c r="K498" s="191"/>
    </row>
    <row r="499" spans="1:11" x14ac:dyDescent="0.25">
      <c r="A499" s="214"/>
      <c r="C499" s="215"/>
      <c r="D499" s="216"/>
      <c r="E499" s="216"/>
      <c r="F499" s="217"/>
      <c r="G499" s="216"/>
      <c r="H499" s="216"/>
      <c r="I499" s="217"/>
      <c r="J499" s="217"/>
      <c r="K499" s="191"/>
    </row>
    <row r="500" spans="1:11" x14ac:dyDescent="0.25">
      <c r="A500" s="214"/>
      <c r="C500" s="215"/>
      <c r="D500" s="216"/>
      <c r="E500" s="216"/>
      <c r="F500" s="217"/>
      <c r="G500" s="216"/>
      <c r="H500" s="216"/>
      <c r="I500" s="217"/>
      <c r="J500" s="217"/>
      <c r="K500" s="191"/>
    </row>
    <row r="501" spans="1:11" x14ac:dyDescent="0.25">
      <c r="A501" s="214"/>
      <c r="C501" s="215"/>
      <c r="D501" s="216"/>
      <c r="E501" s="216"/>
      <c r="F501" s="217"/>
      <c r="G501" s="216"/>
      <c r="H501" s="216"/>
      <c r="I501" s="217"/>
      <c r="J501" s="217"/>
      <c r="K501" s="191"/>
    </row>
    <row r="502" spans="1:11" x14ac:dyDescent="0.25">
      <c r="A502" s="214"/>
      <c r="C502" s="215"/>
      <c r="D502" s="216"/>
      <c r="E502" s="216"/>
      <c r="F502" s="217"/>
      <c r="G502" s="216"/>
      <c r="H502" s="216"/>
      <c r="I502" s="217"/>
      <c r="J502" s="217"/>
      <c r="K502" s="191"/>
    </row>
    <row r="503" spans="1:11" x14ac:dyDescent="0.25">
      <c r="A503" s="214"/>
      <c r="C503" s="215"/>
      <c r="D503" s="216"/>
      <c r="E503" s="216"/>
      <c r="F503" s="217"/>
      <c r="G503" s="216"/>
      <c r="H503" s="216"/>
      <c r="I503" s="217"/>
      <c r="J503" s="217"/>
      <c r="K503" s="191"/>
    </row>
    <row r="504" spans="1:11" x14ac:dyDescent="0.25">
      <c r="A504" s="214"/>
      <c r="C504" s="215"/>
      <c r="D504" s="216"/>
      <c r="E504" s="216"/>
      <c r="F504" s="217"/>
      <c r="G504" s="216"/>
      <c r="H504" s="216"/>
      <c r="I504" s="217"/>
      <c r="J504" s="217"/>
      <c r="K504" s="191"/>
    </row>
    <row r="505" spans="1:11" x14ac:dyDescent="0.25">
      <c r="A505" s="214"/>
      <c r="C505" s="215"/>
      <c r="D505" s="216"/>
      <c r="E505" s="216"/>
      <c r="F505" s="217"/>
      <c r="G505" s="216"/>
      <c r="H505" s="216"/>
      <c r="I505" s="217"/>
      <c r="J505" s="217"/>
      <c r="K505" s="191"/>
    </row>
    <row r="506" spans="1:11" x14ac:dyDescent="0.25">
      <c r="A506" s="214"/>
      <c r="C506" s="215"/>
      <c r="D506" s="216"/>
      <c r="E506" s="216"/>
      <c r="F506" s="217"/>
      <c r="G506" s="216"/>
      <c r="H506" s="216"/>
      <c r="I506" s="217"/>
      <c r="J506" s="217"/>
      <c r="K506" s="191"/>
    </row>
    <row r="507" spans="1:11" x14ac:dyDescent="0.25">
      <c r="A507" s="214"/>
      <c r="C507" s="215"/>
      <c r="D507" s="216"/>
      <c r="E507" s="216"/>
      <c r="F507" s="217"/>
      <c r="G507" s="216"/>
      <c r="H507" s="216"/>
      <c r="I507" s="217"/>
      <c r="J507" s="217"/>
      <c r="K507" s="191"/>
    </row>
    <row r="508" spans="1:11" x14ac:dyDescent="0.25">
      <c r="A508" s="214"/>
      <c r="C508" s="215"/>
      <c r="D508" s="216"/>
      <c r="E508" s="216"/>
      <c r="F508" s="217"/>
      <c r="G508" s="216"/>
      <c r="H508" s="216"/>
      <c r="I508" s="217"/>
      <c r="J508" s="217"/>
      <c r="K508" s="191"/>
    </row>
    <row r="509" spans="1:11" x14ac:dyDescent="0.25">
      <c r="A509" s="214"/>
      <c r="C509" s="215"/>
      <c r="D509" s="216"/>
      <c r="E509" s="216"/>
      <c r="F509" s="217"/>
      <c r="G509" s="216"/>
      <c r="H509" s="216"/>
      <c r="I509" s="217"/>
      <c r="J509" s="217"/>
      <c r="K509" s="191"/>
    </row>
    <row r="510" spans="1:11" x14ac:dyDescent="0.25">
      <c r="A510" s="214"/>
      <c r="C510" s="215"/>
      <c r="D510" s="216"/>
      <c r="E510" s="216"/>
      <c r="F510" s="217"/>
      <c r="G510" s="216"/>
      <c r="H510" s="216"/>
      <c r="I510" s="217"/>
      <c r="J510" s="217"/>
      <c r="K510" s="191"/>
    </row>
    <row r="511" spans="1:11" x14ac:dyDescent="0.25">
      <c r="A511" s="214"/>
      <c r="C511" s="215"/>
      <c r="D511" s="216"/>
      <c r="E511" s="216"/>
      <c r="F511" s="217"/>
      <c r="G511" s="216"/>
      <c r="H511" s="216"/>
      <c r="I511" s="217"/>
      <c r="J511" s="217"/>
      <c r="K511" s="191"/>
    </row>
    <row r="512" spans="1:11" x14ac:dyDescent="0.25">
      <c r="A512" s="214"/>
      <c r="C512" s="215"/>
      <c r="D512" s="216"/>
      <c r="E512" s="216"/>
      <c r="F512" s="217"/>
      <c r="G512" s="216"/>
      <c r="H512" s="216"/>
      <c r="I512" s="217"/>
      <c r="J512" s="217"/>
      <c r="K512" s="191"/>
    </row>
    <row r="513" spans="1:11" x14ac:dyDescent="0.25">
      <c r="A513" s="214"/>
      <c r="C513" s="215"/>
      <c r="D513" s="216"/>
      <c r="E513" s="216"/>
      <c r="F513" s="217"/>
      <c r="G513" s="216"/>
      <c r="H513" s="216"/>
      <c r="I513" s="217"/>
      <c r="J513" s="217"/>
      <c r="K513" s="191"/>
    </row>
    <row r="514" spans="1:11" x14ac:dyDescent="0.25">
      <c r="A514" s="214"/>
      <c r="C514" s="215"/>
      <c r="D514" s="216"/>
      <c r="E514" s="216"/>
      <c r="F514" s="217"/>
      <c r="G514" s="216"/>
      <c r="H514" s="216"/>
      <c r="I514" s="217"/>
      <c r="J514" s="217"/>
      <c r="K514" s="191"/>
    </row>
    <row r="515" spans="1:11" x14ac:dyDescent="0.25">
      <c r="A515" s="214"/>
      <c r="C515" s="215"/>
      <c r="D515" s="216"/>
      <c r="E515" s="216"/>
      <c r="F515" s="217"/>
      <c r="G515" s="216"/>
      <c r="H515" s="216"/>
      <c r="I515" s="217"/>
      <c r="J515" s="217"/>
      <c r="K515" s="191"/>
    </row>
    <row r="516" spans="1:11" x14ac:dyDescent="0.25">
      <c r="A516" s="214"/>
      <c r="C516" s="215"/>
      <c r="D516" s="216"/>
      <c r="E516" s="216"/>
      <c r="F516" s="217"/>
      <c r="G516" s="216"/>
      <c r="H516" s="216"/>
      <c r="I516" s="217"/>
      <c r="J516" s="217"/>
      <c r="K516" s="191"/>
    </row>
  </sheetData>
  <sheetProtection password="D0DA"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theme="1"/>
  </sheetPr>
  <dimension ref="A1:R516"/>
  <sheetViews>
    <sheetView zoomScale="80" zoomScaleNormal="80" workbookViewId="0"/>
  </sheetViews>
  <sheetFormatPr defaultRowHeight="15.75" x14ac:dyDescent="0.25"/>
  <cols>
    <col min="1" max="1" width="9.28515625" style="205" bestFit="1" customWidth="1"/>
    <col min="2" max="2" width="9.140625" style="192"/>
    <col min="3" max="3" width="9.7109375" style="193" bestFit="1" customWidth="1"/>
    <col min="4" max="6" width="9.28515625" style="194" bestFit="1" customWidth="1"/>
    <col min="7" max="9" width="9.28515625" style="193" bestFit="1" customWidth="1"/>
    <col min="10" max="10" width="10.7109375" style="193" bestFit="1" customWidth="1"/>
    <col min="11" max="11" width="10.7109375" style="195" bestFit="1" customWidth="1"/>
    <col min="12" max="12" width="9.140625" style="191"/>
    <col min="13" max="17" width="16.7109375" style="191" customWidth="1"/>
    <col min="18" max="16384" width="9.140625" style="191"/>
  </cols>
  <sheetData>
    <row r="1" spans="1:18" x14ac:dyDescent="0.25">
      <c r="A1" s="191"/>
    </row>
    <row r="2" spans="1:18" ht="33.75" x14ac:dyDescent="0.5">
      <c r="A2" s="175" t="s">
        <v>23</v>
      </c>
      <c r="C2" s="196" t="s">
        <v>111</v>
      </c>
      <c r="M2" s="220" t="s">
        <v>148</v>
      </c>
    </row>
    <row r="4" spans="1:18" ht="18.75" x14ac:dyDescent="0.35">
      <c r="A4" s="196"/>
      <c r="B4" s="197" t="s">
        <v>161</v>
      </c>
      <c r="C4" s="198">
        <f>Toolbox!E29</f>
        <v>498</v>
      </c>
      <c r="D4" s="199" t="s">
        <v>14</v>
      </c>
      <c r="E4" s="198">
        <v>28</v>
      </c>
      <c r="F4" s="197" t="s">
        <v>13</v>
      </c>
      <c r="G4" s="200">
        <v>0.67400000000000004</v>
      </c>
      <c r="H4" s="197" t="s">
        <v>177</v>
      </c>
      <c r="I4" s="201">
        <v>0.26</v>
      </c>
      <c r="J4" s="202"/>
      <c r="K4" s="203"/>
      <c r="M4" s="191" t="s">
        <v>150</v>
      </c>
    </row>
    <row r="5" spans="1:18" ht="18.75" x14ac:dyDescent="0.35">
      <c r="A5" s="196"/>
      <c r="B5" s="197" t="s">
        <v>160</v>
      </c>
      <c r="C5" s="204">
        <f>189+0.315*C4</f>
        <v>345.87</v>
      </c>
      <c r="D5" s="199" t="s">
        <v>159</v>
      </c>
      <c r="E5" s="200">
        <v>0.92200000000000004</v>
      </c>
      <c r="H5" s="197" t="s">
        <v>178</v>
      </c>
      <c r="I5" s="201">
        <f>-40.5+0.195*C4</f>
        <v>56.61</v>
      </c>
      <c r="J5" s="202"/>
      <c r="K5" s="203"/>
      <c r="M5" s="191" t="s">
        <v>158</v>
      </c>
    </row>
    <row r="6" spans="1:18" x14ac:dyDescent="0.25">
      <c r="J6" s="202"/>
      <c r="K6" s="203"/>
      <c r="M6" s="191" t="s">
        <v>157</v>
      </c>
    </row>
    <row r="7" spans="1:18" x14ac:dyDescent="0.25">
      <c r="A7" s="192"/>
      <c r="C7" s="199" t="s">
        <v>12</v>
      </c>
      <c r="D7" s="198">
        <v>69.7</v>
      </c>
      <c r="E7" s="199" t="s">
        <v>18</v>
      </c>
      <c r="F7" s="198">
        <v>-14.9</v>
      </c>
      <c r="G7" s="191"/>
      <c r="M7" s="191" t="s">
        <v>153</v>
      </c>
    </row>
    <row r="8" spans="1:18" x14ac:dyDescent="0.25">
      <c r="B8" s="191"/>
      <c r="C8" s="199" t="s">
        <v>16</v>
      </c>
      <c r="D8" s="206">
        <f>0.8795+(0.0459*(EXP((-((C4-300)^2))/11940)))</f>
        <v>0.88122124528477741</v>
      </c>
      <c r="E8" s="199" t="s">
        <v>4</v>
      </c>
      <c r="F8" s="200">
        <v>1.1040000000000001</v>
      </c>
      <c r="G8" s="191"/>
      <c r="M8" s="191" t="s">
        <v>154</v>
      </c>
      <c r="Q8" s="207"/>
      <c r="R8" s="207"/>
    </row>
    <row r="9" spans="1:18" x14ac:dyDescent="0.25">
      <c r="A9" s="192"/>
      <c r="D9" s="191"/>
      <c r="E9" s="191"/>
      <c r="F9" s="191"/>
      <c r="G9" s="191"/>
      <c r="O9" s="207"/>
      <c r="P9" s="208"/>
    </row>
    <row r="10" spans="1:18" x14ac:dyDescent="0.25">
      <c r="A10" s="192"/>
      <c r="C10" s="192"/>
      <c r="D10" s="192"/>
      <c r="E10" s="192"/>
      <c r="F10" s="192"/>
      <c r="G10" s="192"/>
      <c r="H10" s="192"/>
      <c r="I10" s="192"/>
      <c r="J10" s="192"/>
      <c r="K10" s="192"/>
      <c r="L10" s="192"/>
      <c r="M10" s="192"/>
      <c r="N10" s="192"/>
      <c r="O10" s="192"/>
      <c r="P10" s="192"/>
    </row>
    <row r="11" spans="1:18" ht="18" x14ac:dyDescent="0.25">
      <c r="A11" s="209" t="s">
        <v>11</v>
      </c>
      <c r="C11" s="210" t="s">
        <v>17</v>
      </c>
      <c r="D11" s="211" t="s">
        <v>12</v>
      </c>
      <c r="E11" s="211" t="s">
        <v>14</v>
      </c>
      <c r="F11" s="211" t="s">
        <v>18</v>
      </c>
      <c r="G11" s="210" t="s">
        <v>19</v>
      </c>
      <c r="H11" s="210" t="s">
        <v>20</v>
      </c>
      <c r="I11" s="210" t="s">
        <v>21</v>
      </c>
      <c r="J11" s="210" t="s">
        <v>22</v>
      </c>
      <c r="K11" s="212" t="s">
        <v>26</v>
      </c>
      <c r="M11" s="213" t="s">
        <v>149</v>
      </c>
      <c r="N11" s="213" t="s">
        <v>151</v>
      </c>
      <c r="O11" s="213" t="s">
        <v>152</v>
      </c>
      <c r="P11" s="213" t="s">
        <v>156</v>
      </c>
      <c r="Q11" s="213" t="s">
        <v>155</v>
      </c>
    </row>
    <row r="12" spans="1:18" x14ac:dyDescent="0.25">
      <c r="A12" s="214">
        <v>300</v>
      </c>
      <c r="C12" s="215">
        <f t="shared" ref="C12:C43" si="0">$C$4/A12</f>
        <v>1.66</v>
      </c>
      <c r="D12" s="216">
        <f>EXP($D$7*($D$8-C12))</f>
        <v>2.6675568824093254E-24</v>
      </c>
      <c r="E12" s="216">
        <f>EXP($E$4*($E$5-C12))</f>
        <v>1.0610572714764222E-9</v>
      </c>
      <c r="F12" s="217">
        <f>EXP($F$7*($F$8-C12))</f>
        <v>3961.5870731213222</v>
      </c>
      <c r="G12" s="216">
        <f t="shared" ref="G12:G43" si="1">D12+E12+F12+$G$4</f>
        <v>3962.2610731223831</v>
      </c>
      <c r="H12" s="216">
        <f>1/G12</f>
        <v>2.523811484264386E-4</v>
      </c>
      <c r="I12" s="217">
        <f>$I$4*(EXP(-(((A12-$C$5)/$I$5)^2)))</f>
        <v>0.13484507733574677</v>
      </c>
      <c r="J12" s="217">
        <f>IF(ISERROR(H12+I12),"",H12+I12)</f>
        <v>0.13509745848417321</v>
      </c>
      <c r="K12" s="195">
        <f t="shared" ref="K12:K75" si="2">IF(J12="","",J12/MAX(J$12:J$108))</f>
        <v>0.13511903662911232</v>
      </c>
      <c r="M12" s="218">
        <f>K12</f>
        <v>0.13511903662911232</v>
      </c>
      <c r="N12" s="218">
        <f>Calculations!F22</f>
        <v>6.9999999999999993E-3</v>
      </c>
      <c r="O12" s="219">
        <f>Spectra!$C$10*$A12</f>
        <v>1510235102458.2681</v>
      </c>
      <c r="P12" s="219">
        <f>PRODUCT(M12:O12)</f>
        <v>1428430584.8934093</v>
      </c>
      <c r="Q12" s="218">
        <f t="shared" ref="Q12:Q43" si="3">P12/SUM(P$12:P$108)</f>
        <v>2.7509561099734049E-5</v>
      </c>
    </row>
    <row r="13" spans="1:18" x14ac:dyDescent="0.25">
      <c r="A13" s="214">
        <v>305</v>
      </c>
      <c r="C13" s="215">
        <f t="shared" si="0"/>
        <v>1.6327868852459015</v>
      </c>
      <c r="D13" s="216">
        <f t="shared" ref="D13:D76" si="4">EXP($D$7*($D$8-C13))</f>
        <v>1.7777206918839122E-23</v>
      </c>
      <c r="E13" s="216">
        <f t="shared" ref="E13:E76" si="5">EXP($E$4*($E$5-C13))</f>
        <v>2.2733012042537242E-9</v>
      </c>
      <c r="F13" s="217">
        <f t="shared" ref="F13:F76" si="6">EXP($F$7*($F$8-C13))</f>
        <v>2641.0308414262977</v>
      </c>
      <c r="G13" s="216">
        <f t="shared" si="1"/>
        <v>2641.7048414285709</v>
      </c>
      <c r="H13" s="216">
        <f t="shared" ref="H13:H76" si="7">1/G13</f>
        <v>3.7854342556272255E-4</v>
      </c>
      <c r="I13" s="217">
        <f t="shared" ref="I13:I76" si="8">$I$4*(EXP(-(((A13-$C$5)/$I$5)^2)))</f>
        <v>0.15438652465188105</v>
      </c>
      <c r="J13" s="217">
        <f t="shared" ref="J13:J76" si="9">IF(ISERROR(H13+I13),"",H13+I13)</f>
        <v>0.15476506807744378</v>
      </c>
      <c r="K13" s="195">
        <f t="shared" si="2"/>
        <v>0.15478978758814338</v>
      </c>
      <c r="M13" s="218">
        <f t="shared" ref="M13:M76" si="10">K13</f>
        <v>0.15478978758814338</v>
      </c>
      <c r="N13" s="218">
        <f>Calculations!F23</f>
        <v>3.548133892335753E-2</v>
      </c>
      <c r="O13" s="219">
        <f>Spectra!$C$10*$A13</f>
        <v>1535405687499.2393</v>
      </c>
      <c r="P13" s="219">
        <f t="shared" ref="P13:P76" si="11">PRODUCT(M13:O13)</f>
        <v>8432676681.1281776</v>
      </c>
      <c r="Q13" s="218">
        <f t="shared" si="3"/>
        <v>1.6240147533042959E-4</v>
      </c>
    </row>
    <row r="14" spans="1:18" x14ac:dyDescent="0.25">
      <c r="A14" s="214">
        <v>310</v>
      </c>
      <c r="C14" s="215">
        <f t="shared" si="0"/>
        <v>1.6064516129032258</v>
      </c>
      <c r="D14" s="216">
        <f t="shared" si="4"/>
        <v>1.1143991969410137E-22</v>
      </c>
      <c r="E14" s="216">
        <f t="shared" si="5"/>
        <v>4.7522618119790072E-9</v>
      </c>
      <c r="F14" s="217">
        <f t="shared" si="6"/>
        <v>1783.8496492426411</v>
      </c>
      <c r="G14" s="216">
        <f t="shared" si="1"/>
        <v>1784.5236492473935</v>
      </c>
      <c r="H14" s="216">
        <f t="shared" si="7"/>
        <v>5.6037363271803147E-4</v>
      </c>
      <c r="I14" s="217">
        <f t="shared" si="8"/>
        <v>0.17402344810226913</v>
      </c>
      <c r="J14" s="217">
        <f t="shared" si="9"/>
        <v>0.17458382173498715</v>
      </c>
      <c r="K14" s="195">
        <f t="shared" si="2"/>
        <v>0.17461170675260104</v>
      </c>
      <c r="M14" s="218">
        <f t="shared" si="10"/>
        <v>0.17461170675260104</v>
      </c>
      <c r="N14" s="218">
        <f>Calculations!F24</f>
        <v>0.10300000000000001</v>
      </c>
      <c r="O14" s="219">
        <f>Spectra!$C$10*$A14</f>
        <v>1560576272540.2104</v>
      </c>
      <c r="P14" s="219">
        <f t="shared" si="11"/>
        <v>28066973305.983421</v>
      </c>
      <c r="Q14" s="218">
        <f t="shared" si="3"/>
        <v>5.4053037313197194E-4</v>
      </c>
    </row>
    <row r="15" spans="1:18" x14ac:dyDescent="0.25">
      <c r="A15" s="214">
        <v>315</v>
      </c>
      <c r="C15" s="215">
        <f t="shared" si="0"/>
        <v>1.5809523809523809</v>
      </c>
      <c r="D15" s="216">
        <f t="shared" si="4"/>
        <v>6.5903857986085697E-22</v>
      </c>
      <c r="E15" s="216">
        <f t="shared" si="5"/>
        <v>9.7045919488369953E-9</v>
      </c>
      <c r="F15" s="217">
        <f t="shared" si="6"/>
        <v>1219.9808930746922</v>
      </c>
      <c r="G15" s="216">
        <f t="shared" si="1"/>
        <v>1220.6548930843967</v>
      </c>
      <c r="H15" s="216">
        <f t="shared" si="7"/>
        <v>8.1923236916960399E-4</v>
      </c>
      <c r="I15" s="217">
        <f t="shared" si="8"/>
        <v>0.19312132485165126</v>
      </c>
      <c r="J15" s="217">
        <f t="shared" si="9"/>
        <v>0.19394055722082088</v>
      </c>
      <c r="K15" s="195">
        <f t="shared" si="2"/>
        <v>0.19397153395051098</v>
      </c>
      <c r="M15" s="218">
        <f t="shared" si="10"/>
        <v>0.19397153395051098</v>
      </c>
      <c r="N15" s="218">
        <f>Calculations!F25</f>
        <v>0.23384259378835601</v>
      </c>
      <c r="O15" s="219">
        <f>Spectra!$C$10*$A15</f>
        <v>1585746857581.1816</v>
      </c>
      <c r="P15" s="219">
        <f t="shared" si="11"/>
        <v>71927585061.445999</v>
      </c>
      <c r="Q15" s="218">
        <f t="shared" si="3"/>
        <v>1.3852239772308003E-3</v>
      </c>
    </row>
    <row r="16" spans="1:18" x14ac:dyDescent="0.25">
      <c r="A16" s="214">
        <v>320</v>
      </c>
      <c r="C16" s="215">
        <f t="shared" si="0"/>
        <v>1.5562499999999999</v>
      </c>
      <c r="D16" s="216">
        <f t="shared" si="4"/>
        <v>3.6868880274068589E-21</v>
      </c>
      <c r="E16" s="216">
        <f t="shared" si="5"/>
        <v>1.9380469592465135E-8</v>
      </c>
      <c r="F16" s="217">
        <f t="shared" si="6"/>
        <v>844.31445312511812</v>
      </c>
      <c r="G16" s="216">
        <f t="shared" si="1"/>
        <v>844.98845314449852</v>
      </c>
      <c r="H16" s="216">
        <f t="shared" si="7"/>
        <v>1.1834481243840069E-3</v>
      </c>
      <c r="I16" s="217">
        <f t="shared" si="8"/>
        <v>0.21099724212851081</v>
      </c>
      <c r="J16" s="217">
        <f t="shared" si="9"/>
        <v>0.21218069025289482</v>
      </c>
      <c r="K16" s="195">
        <f t="shared" si="2"/>
        <v>0.21221458034778581</v>
      </c>
      <c r="M16" s="218">
        <f t="shared" si="10"/>
        <v>0.21221458034778581</v>
      </c>
      <c r="N16" s="218">
        <f>Calculations!F26</f>
        <v>0.33</v>
      </c>
      <c r="O16" s="219">
        <f>Spectra!$C$10*$A16</f>
        <v>1610917442622.1528</v>
      </c>
      <c r="P16" s="219">
        <f t="shared" si="11"/>
        <v>112813855790.12621</v>
      </c>
      <c r="Q16" s="218">
        <f t="shared" si="3"/>
        <v>2.172635962556518E-3</v>
      </c>
    </row>
    <row r="17" spans="1:17" x14ac:dyDescent="0.25">
      <c r="A17" s="214">
        <v>325</v>
      </c>
      <c r="C17" s="215">
        <f t="shared" si="0"/>
        <v>1.5323076923076924</v>
      </c>
      <c r="D17" s="216">
        <f t="shared" si="4"/>
        <v>1.9561465700795297E-20</v>
      </c>
      <c r="E17" s="216">
        <f t="shared" si="5"/>
        <v>3.7888606708034334E-8</v>
      </c>
      <c r="F17" s="217">
        <f t="shared" si="6"/>
        <v>590.98144169668899</v>
      </c>
      <c r="G17" s="216">
        <f t="shared" si="1"/>
        <v>591.65544173457761</v>
      </c>
      <c r="H17" s="216">
        <f t="shared" si="7"/>
        <v>1.6901729105512221E-3</v>
      </c>
      <c r="I17" s="217">
        <f t="shared" si="8"/>
        <v>0.22695900020763476</v>
      </c>
      <c r="J17" s="217">
        <f t="shared" si="9"/>
        <v>0.228649173118186</v>
      </c>
      <c r="K17" s="195">
        <f t="shared" si="2"/>
        <v>0.22868569360534477</v>
      </c>
      <c r="M17" s="218">
        <f t="shared" si="10"/>
        <v>0.22868569360534477</v>
      </c>
      <c r="N17" s="218">
        <f>Calculations!F27</f>
        <v>0.39915740621164403</v>
      </c>
      <c r="O17" s="219">
        <f>Spectra!$C$10*$A17</f>
        <v>1636088027663.1238</v>
      </c>
      <c r="P17" s="219">
        <f t="shared" si="11"/>
        <v>149344713759.15622</v>
      </c>
      <c r="Q17" s="218">
        <f t="shared" si="3"/>
        <v>2.8761688327937707E-3</v>
      </c>
    </row>
    <row r="18" spans="1:17" x14ac:dyDescent="0.25">
      <c r="A18" s="214">
        <v>330</v>
      </c>
      <c r="C18" s="215">
        <f t="shared" si="0"/>
        <v>1.509090909090909</v>
      </c>
      <c r="D18" s="216">
        <f t="shared" si="4"/>
        <v>9.8669056395527465E-20</v>
      </c>
      <c r="E18" s="216">
        <f t="shared" si="5"/>
        <v>7.2582248607943294E-8</v>
      </c>
      <c r="F18" s="217">
        <f t="shared" si="6"/>
        <v>418.15599030384095</v>
      </c>
      <c r="G18" s="216">
        <f t="shared" si="1"/>
        <v>418.82999037642315</v>
      </c>
      <c r="H18" s="216">
        <f t="shared" si="7"/>
        <v>2.3876036171651669E-3</v>
      </c>
      <c r="I18" s="217">
        <f t="shared" si="8"/>
        <v>0.24034889211803676</v>
      </c>
      <c r="J18" s="217">
        <f t="shared" si="9"/>
        <v>0.24273649573520192</v>
      </c>
      <c r="K18" s="195">
        <f t="shared" si="2"/>
        <v>0.24277526628903587</v>
      </c>
      <c r="M18" s="218">
        <f t="shared" si="10"/>
        <v>0.24277526628903587</v>
      </c>
      <c r="N18" s="218">
        <f>Calculations!F28</f>
        <v>0.44900000000000001</v>
      </c>
      <c r="O18" s="219">
        <f>Spectra!$C$10*$A18</f>
        <v>1661258612704.095</v>
      </c>
      <c r="P18" s="219">
        <f t="shared" si="11"/>
        <v>181087313431.31174</v>
      </c>
      <c r="Q18" s="218">
        <f t="shared" si="3"/>
        <v>3.4874865925648701E-3</v>
      </c>
    </row>
    <row r="19" spans="1:17" x14ac:dyDescent="0.25">
      <c r="A19" s="214">
        <v>335</v>
      </c>
      <c r="C19" s="215">
        <f t="shared" si="0"/>
        <v>1.4865671641791045</v>
      </c>
      <c r="D19" s="216">
        <f t="shared" si="4"/>
        <v>4.7422239808990487E-19</v>
      </c>
      <c r="E19" s="216">
        <f t="shared" si="5"/>
        <v>1.3637183556097328E-7</v>
      </c>
      <c r="F19" s="217">
        <f t="shared" si="6"/>
        <v>298.94235024890941</v>
      </c>
      <c r="G19" s="216">
        <f t="shared" si="1"/>
        <v>299.61635038528124</v>
      </c>
      <c r="H19" s="216">
        <f t="shared" si="7"/>
        <v>3.3376015651818891E-3</v>
      </c>
      <c r="I19" s="217">
        <f t="shared" si="8"/>
        <v>0.25058837720310267</v>
      </c>
      <c r="J19" s="217">
        <f t="shared" si="9"/>
        <v>0.25392597876828454</v>
      </c>
      <c r="K19" s="195">
        <f t="shared" si="2"/>
        <v>0.25396653653772855</v>
      </c>
      <c r="M19" s="218">
        <f t="shared" si="10"/>
        <v>0.25396653653772855</v>
      </c>
      <c r="N19" s="218">
        <f>Calculations!F29</f>
        <v>0.48690278136506698</v>
      </c>
      <c r="O19" s="219">
        <f>Spectra!$C$10*$A19</f>
        <v>1686429197745.0662</v>
      </c>
      <c r="P19" s="219">
        <f t="shared" si="11"/>
        <v>208538797252.53696</v>
      </c>
      <c r="Q19" s="218">
        <f t="shared" si="3"/>
        <v>4.0161635051463159E-3</v>
      </c>
    </row>
    <row r="20" spans="1:17" x14ac:dyDescent="0.25">
      <c r="A20" s="214">
        <v>340</v>
      </c>
      <c r="C20" s="215">
        <f t="shared" si="0"/>
        <v>1.4647058823529411</v>
      </c>
      <c r="D20" s="216">
        <f t="shared" si="4"/>
        <v>2.1763572006707818E-18</v>
      </c>
      <c r="E20" s="216">
        <f t="shared" si="5"/>
        <v>2.5151462301845171E-7</v>
      </c>
      <c r="F20" s="217">
        <f t="shared" si="6"/>
        <v>215.83573819480475</v>
      </c>
      <c r="G20" s="216">
        <f t="shared" si="1"/>
        <v>216.50973844631937</v>
      </c>
      <c r="H20" s="216">
        <f t="shared" si="7"/>
        <v>4.6187298879765458E-3</v>
      </c>
      <c r="I20" s="217">
        <f t="shared" si="8"/>
        <v>0.25721945094050036</v>
      </c>
      <c r="J20" s="217">
        <f t="shared" si="9"/>
        <v>0.26183818082847693</v>
      </c>
      <c r="K20" s="195">
        <f t="shared" si="2"/>
        <v>0.26188000235702313</v>
      </c>
      <c r="M20" s="218">
        <f t="shared" si="10"/>
        <v>0.26188000235702313</v>
      </c>
      <c r="N20" s="218">
        <f>Calculations!F30</f>
        <v>0.51900000000000002</v>
      </c>
      <c r="O20" s="219">
        <f>Spectra!$C$10*$A20</f>
        <v>1711599782786.0374</v>
      </c>
      <c r="P20" s="219">
        <f t="shared" si="11"/>
        <v>232633318922.99936</v>
      </c>
      <c r="Q20" s="218">
        <f t="shared" si="3"/>
        <v>4.4801900550342213E-3</v>
      </c>
    </row>
    <row r="21" spans="1:17" x14ac:dyDescent="0.25">
      <c r="A21" s="214">
        <v>345</v>
      </c>
      <c r="C21" s="215">
        <f t="shared" si="0"/>
        <v>1.4434782608695653</v>
      </c>
      <c r="D21" s="216">
        <f t="shared" si="4"/>
        <v>9.5564630774879743E-18</v>
      </c>
      <c r="E21" s="216">
        <f t="shared" si="5"/>
        <v>4.5571815286516075E-7</v>
      </c>
      <c r="F21" s="217">
        <f t="shared" si="6"/>
        <v>157.31121225473984</v>
      </c>
      <c r="G21" s="216">
        <f t="shared" si="1"/>
        <v>157.985212710458</v>
      </c>
      <c r="H21" s="216">
        <f t="shared" si="7"/>
        <v>6.3297063240514533E-3</v>
      </c>
      <c r="I21" s="217">
        <f t="shared" si="8"/>
        <v>0.25993859916778267</v>
      </c>
      <c r="J21" s="217">
        <f t="shared" si="9"/>
        <v>0.26626830549183411</v>
      </c>
      <c r="K21" s="195">
        <f t="shared" si="2"/>
        <v>0.26631083461231547</v>
      </c>
      <c r="M21" s="218">
        <f t="shared" si="10"/>
        <v>0.26631083461231547</v>
      </c>
      <c r="N21" s="218">
        <f>Calculations!F31</f>
        <v>0.54955621464828197</v>
      </c>
      <c r="O21" s="219">
        <f>Spectra!$C$10*$A21</f>
        <v>1736770367827.0083</v>
      </c>
      <c r="P21" s="219">
        <f t="shared" si="11"/>
        <v>254181161461.37308</v>
      </c>
      <c r="Q21" s="218">
        <f t="shared" si="3"/>
        <v>4.8951711518728002E-3</v>
      </c>
    </row>
    <row r="22" spans="1:17" x14ac:dyDescent="0.25">
      <c r="A22" s="214">
        <v>350</v>
      </c>
      <c r="C22" s="215">
        <f t="shared" si="0"/>
        <v>1.4228571428571428</v>
      </c>
      <c r="D22" s="216">
        <f t="shared" si="4"/>
        <v>4.0225841524672251E-17</v>
      </c>
      <c r="E22" s="216">
        <f t="shared" si="5"/>
        <v>8.1180960571411411E-7</v>
      </c>
      <c r="F22" s="217">
        <f t="shared" si="6"/>
        <v>115.69662095816058</v>
      </c>
      <c r="G22" s="216">
        <f t="shared" si="1"/>
        <v>116.37062176997019</v>
      </c>
      <c r="H22" s="216">
        <f t="shared" si="7"/>
        <v>8.5932341409733128E-3</v>
      </c>
      <c r="I22" s="217">
        <f t="shared" si="8"/>
        <v>0.25861983219344681</v>
      </c>
      <c r="J22" s="217">
        <f t="shared" si="9"/>
        <v>0.2672130663344201</v>
      </c>
      <c r="K22" s="195">
        <f t="shared" si="2"/>
        <v>0.26725574635475274</v>
      </c>
      <c r="M22" s="218">
        <f t="shared" si="10"/>
        <v>0.26725574635475274</v>
      </c>
      <c r="N22" s="218">
        <f>Calculations!F32</f>
        <v>0.58099999999999996</v>
      </c>
      <c r="O22" s="219">
        <f>Spectra!$C$10*$A22</f>
        <v>1761940952867.9795</v>
      </c>
      <c r="P22" s="219">
        <f t="shared" si="11"/>
        <v>273586418591.59863</v>
      </c>
      <c r="Q22" s="218">
        <f t="shared" si="3"/>
        <v>5.2688890716132437E-3</v>
      </c>
    </row>
    <row r="23" spans="1:17" x14ac:dyDescent="0.25">
      <c r="A23" s="214">
        <v>355</v>
      </c>
      <c r="C23" s="215">
        <f t="shared" si="0"/>
        <v>1.4028169014084506</v>
      </c>
      <c r="D23" s="216">
        <f t="shared" si="4"/>
        <v>1.6260345446704315E-16</v>
      </c>
      <c r="E23" s="216">
        <f t="shared" si="5"/>
        <v>1.4228150211985144E-6</v>
      </c>
      <c r="F23" s="217">
        <f t="shared" si="6"/>
        <v>85.830277682453186</v>
      </c>
      <c r="G23" s="216">
        <f t="shared" si="1"/>
        <v>86.504279105268211</v>
      </c>
      <c r="H23" s="216">
        <f t="shared" si="7"/>
        <v>1.156012176904089E-2</v>
      </c>
      <c r="I23" s="217">
        <f t="shared" si="8"/>
        <v>0.25332436408268161</v>
      </c>
      <c r="J23" s="217">
        <f t="shared" si="9"/>
        <v>0.26488448585172247</v>
      </c>
      <c r="K23" s="195">
        <f t="shared" si="2"/>
        <v>0.26492679394465007</v>
      </c>
      <c r="M23" s="218">
        <f t="shared" si="10"/>
        <v>0.26492679394465007</v>
      </c>
      <c r="N23" s="218">
        <f>Calculations!F33</f>
        <v>0.61119378535171798</v>
      </c>
      <c r="O23" s="219">
        <f>Spectra!$C$10*$A23</f>
        <v>1787111537908.9507</v>
      </c>
      <c r="P23" s="219">
        <f t="shared" si="11"/>
        <v>289371977525.20477</v>
      </c>
      <c r="Q23" s="218">
        <f t="shared" si="3"/>
        <v>5.5728967024845019E-3</v>
      </c>
    </row>
    <row r="24" spans="1:17" x14ac:dyDescent="0.25">
      <c r="A24" s="214">
        <v>360</v>
      </c>
      <c r="C24" s="215">
        <f t="shared" si="0"/>
        <v>1.3833333333333333</v>
      </c>
      <c r="D24" s="216">
        <f t="shared" si="4"/>
        <v>6.3227165579221526E-16</v>
      </c>
      <c r="E24" s="216">
        <f t="shared" si="5"/>
        <v>2.4551238907347918E-6</v>
      </c>
      <c r="F24" s="217">
        <f t="shared" si="6"/>
        <v>64.204074002580668</v>
      </c>
      <c r="G24" s="216">
        <f t="shared" si="1"/>
        <v>64.878076457704566</v>
      </c>
      <c r="H24" s="216">
        <f t="shared" si="7"/>
        <v>1.5413527259118445E-2</v>
      </c>
      <c r="I24" s="217">
        <f t="shared" si="8"/>
        <v>0.24429590139379687</v>
      </c>
      <c r="J24" s="217">
        <f t="shared" si="9"/>
        <v>0.2597094286529153</v>
      </c>
      <c r="K24" s="195">
        <f t="shared" si="2"/>
        <v>0.25975091017119406</v>
      </c>
      <c r="M24" s="218">
        <f t="shared" si="10"/>
        <v>0.25975091017119406</v>
      </c>
      <c r="N24" s="218">
        <f>Calculations!F34</f>
        <v>0.63800000000000001</v>
      </c>
      <c r="O24" s="219">
        <f>Spectra!$C$10*$A24</f>
        <v>1812282122949.9219</v>
      </c>
      <c r="P24" s="219">
        <f t="shared" si="11"/>
        <v>300333351929.01819</v>
      </c>
      <c r="Q24" s="218">
        <f t="shared" si="3"/>
        <v>5.7839973342462244E-3</v>
      </c>
    </row>
    <row r="25" spans="1:17" x14ac:dyDescent="0.25">
      <c r="A25" s="214">
        <v>365</v>
      </c>
      <c r="C25" s="215">
        <f t="shared" si="0"/>
        <v>1.3643835616438356</v>
      </c>
      <c r="D25" s="216">
        <f t="shared" si="4"/>
        <v>2.3687513142674999E-15</v>
      </c>
      <c r="E25" s="216">
        <f t="shared" si="5"/>
        <v>4.1735660237406306E-6</v>
      </c>
      <c r="F25" s="217">
        <f t="shared" si="6"/>
        <v>48.410419452273395</v>
      </c>
      <c r="G25" s="216">
        <f t="shared" si="1"/>
        <v>49.08442362583942</v>
      </c>
      <c r="H25" s="216">
        <f t="shared" si="7"/>
        <v>2.0373061882580035E-2</v>
      </c>
      <c r="I25" s="217">
        <f t="shared" si="8"/>
        <v>0.2319420463903365</v>
      </c>
      <c r="J25" s="217">
        <f t="shared" si="9"/>
        <v>0.25231510827291653</v>
      </c>
      <c r="K25" s="195">
        <f t="shared" si="2"/>
        <v>0.25235540874960743</v>
      </c>
      <c r="M25" s="218">
        <f t="shared" si="10"/>
        <v>0.25235540874960743</v>
      </c>
      <c r="N25" s="218">
        <f>Calculations!F35</f>
        <v>0.66016864394484598</v>
      </c>
      <c r="O25" s="219">
        <f>Spectra!$C$10*$A25</f>
        <v>1837452707990.8928</v>
      </c>
      <c r="P25" s="219">
        <f t="shared" si="11"/>
        <v>306114343962.07129</v>
      </c>
      <c r="Q25" s="218">
        <f t="shared" si="3"/>
        <v>5.8953310981912305E-3</v>
      </c>
    </row>
    <row r="26" spans="1:17" x14ac:dyDescent="0.25">
      <c r="A26" s="214">
        <v>370</v>
      </c>
      <c r="C26" s="215">
        <f t="shared" si="0"/>
        <v>1.345945945945946</v>
      </c>
      <c r="D26" s="216">
        <f t="shared" si="4"/>
        <v>8.5631212767711718E-15</v>
      </c>
      <c r="E26" s="216">
        <f t="shared" si="5"/>
        <v>6.9938002041130206E-6</v>
      </c>
      <c r="F26" s="217">
        <f t="shared" si="6"/>
        <v>36.781485037868748</v>
      </c>
      <c r="G26" s="216">
        <f t="shared" si="1"/>
        <v>37.45549203166896</v>
      </c>
      <c r="H26" s="216">
        <f t="shared" si="7"/>
        <v>2.6698354386974568E-2</v>
      </c>
      <c r="I26" s="217">
        <f t="shared" si="8"/>
        <v>0.21680379125587568</v>
      </c>
      <c r="J26" s="217">
        <f t="shared" si="9"/>
        <v>0.24350214564285025</v>
      </c>
      <c r="K26" s="195">
        <f t="shared" si="2"/>
        <v>0.24354103848843464</v>
      </c>
      <c r="M26" s="218">
        <f t="shared" si="10"/>
        <v>0.24354103848843464</v>
      </c>
      <c r="N26" s="218">
        <f>Calculations!F36</f>
        <v>0.68</v>
      </c>
      <c r="O26" s="219">
        <f>Spectra!$C$10*$A26</f>
        <v>1862623293031.864</v>
      </c>
      <c r="P26" s="219">
        <f t="shared" si="11"/>
        <v>308465143546.45508</v>
      </c>
      <c r="Q26" s="218">
        <f t="shared" si="3"/>
        <v>5.940604187050961E-3</v>
      </c>
    </row>
    <row r="27" spans="1:17" x14ac:dyDescent="0.25">
      <c r="A27" s="214">
        <v>375</v>
      </c>
      <c r="C27" s="215">
        <f t="shared" si="0"/>
        <v>1.3280000000000001</v>
      </c>
      <c r="D27" s="216">
        <f t="shared" si="4"/>
        <v>2.9913120332610152E-14</v>
      </c>
      <c r="E27" s="216">
        <f t="shared" si="5"/>
        <v>1.1559534080353264E-5</v>
      </c>
      <c r="F27" s="217">
        <f t="shared" si="6"/>
        <v>28.151482007422658</v>
      </c>
      <c r="G27" s="216">
        <f t="shared" si="1"/>
        <v>28.825493566956766</v>
      </c>
      <c r="H27" s="216">
        <f t="shared" si="7"/>
        <v>3.4691513526981542E-2</v>
      </c>
      <c r="I27" s="217">
        <f t="shared" si="8"/>
        <v>0.19951628262976426</v>
      </c>
      <c r="J27" s="217">
        <f t="shared" si="9"/>
        <v>0.23420779615674581</v>
      </c>
      <c r="K27" s="195">
        <f t="shared" si="2"/>
        <v>0.23424520448276501</v>
      </c>
      <c r="M27" s="218">
        <f t="shared" si="10"/>
        <v>0.23424520448276501</v>
      </c>
      <c r="N27" s="218">
        <f>Calculations!F37</f>
        <v>0.69988163886889698</v>
      </c>
      <c r="O27" s="219">
        <f>Spectra!$C$10*$A27</f>
        <v>1887793878072.8352</v>
      </c>
      <c r="P27" s="219">
        <f t="shared" si="11"/>
        <v>309492324012.52545</v>
      </c>
      <c r="Q27" s="218">
        <f t="shared" si="3"/>
        <v>5.9603862360288074E-3</v>
      </c>
    </row>
    <row r="28" spans="1:17" x14ac:dyDescent="0.25">
      <c r="A28" s="214">
        <v>380</v>
      </c>
      <c r="C28" s="215">
        <f t="shared" si="0"/>
        <v>1.3105263157894738</v>
      </c>
      <c r="D28" s="216">
        <f t="shared" si="4"/>
        <v>1.0111039914566132E-13</v>
      </c>
      <c r="E28" s="216">
        <f t="shared" si="5"/>
        <v>1.88549167581623E-5</v>
      </c>
      <c r="F28" s="217">
        <f t="shared" si="6"/>
        <v>21.698477683753232</v>
      </c>
      <c r="G28" s="216">
        <f t="shared" si="1"/>
        <v>22.372496538670092</v>
      </c>
      <c r="H28" s="216">
        <f t="shared" si="7"/>
        <v>4.4697738505469625E-2</v>
      </c>
      <c r="I28" s="217">
        <f t="shared" si="8"/>
        <v>0.18076481482082221</v>
      </c>
      <c r="J28" s="217">
        <f t="shared" si="9"/>
        <v>0.22546255332629184</v>
      </c>
      <c r="K28" s="195">
        <f t="shared" si="2"/>
        <v>0.22549856483760083</v>
      </c>
      <c r="M28" s="218">
        <f t="shared" si="10"/>
        <v>0.22549856483760083</v>
      </c>
      <c r="N28" s="218">
        <f>Calculations!F38</f>
        <v>0.71900000000000008</v>
      </c>
      <c r="O28" s="219">
        <f>Spectra!$C$10*$A28</f>
        <v>1912964463113.8064</v>
      </c>
      <c r="P28" s="219">
        <f t="shared" si="11"/>
        <v>310155562791.57886</v>
      </c>
      <c r="Q28" s="218">
        <f t="shared" si="3"/>
        <v>5.9731592807318826E-3</v>
      </c>
    </row>
    <row r="29" spans="1:17" x14ac:dyDescent="0.25">
      <c r="A29" s="214">
        <v>385</v>
      </c>
      <c r="C29" s="215">
        <f t="shared" si="0"/>
        <v>1.2935064935064935</v>
      </c>
      <c r="D29" s="216">
        <f t="shared" si="4"/>
        <v>3.3112455174474874E-13</v>
      </c>
      <c r="E29" s="216">
        <f t="shared" si="5"/>
        <v>3.0366157245347013E-5</v>
      </c>
      <c r="F29" s="217">
        <f t="shared" si="6"/>
        <v>16.838143398596699</v>
      </c>
      <c r="G29" s="216">
        <f t="shared" si="1"/>
        <v>17.512173764754277</v>
      </c>
      <c r="H29" s="216">
        <f t="shared" si="7"/>
        <v>5.7103133707629219E-2</v>
      </c>
      <c r="I29" s="217">
        <f t="shared" si="8"/>
        <v>0.16124027896400195</v>
      </c>
      <c r="J29" s="217">
        <f t="shared" si="9"/>
        <v>0.21834341267163115</v>
      </c>
      <c r="K29" s="195">
        <f t="shared" si="2"/>
        <v>0.21837828709382973</v>
      </c>
      <c r="M29" s="218">
        <f t="shared" si="10"/>
        <v>0.21837828709382973</v>
      </c>
      <c r="N29" s="218">
        <f>Calculations!F39</f>
        <v>0.736179800579567</v>
      </c>
      <c r="O29" s="219">
        <f>Spectra!$C$10*$A29</f>
        <v>1938135048154.7776</v>
      </c>
      <c r="P29" s="219">
        <f t="shared" si="11"/>
        <v>311585606397.93481</v>
      </c>
      <c r="Q29" s="218">
        <f t="shared" si="3"/>
        <v>6.0006999063530212E-3</v>
      </c>
    </row>
    <row r="30" spans="1:17" x14ac:dyDescent="0.25">
      <c r="A30" s="214">
        <v>390</v>
      </c>
      <c r="C30" s="215">
        <f t="shared" si="0"/>
        <v>1.2769230769230768</v>
      </c>
      <c r="D30" s="216">
        <f t="shared" si="4"/>
        <v>1.0519056781462635E-12</v>
      </c>
      <c r="E30" s="216">
        <f t="shared" si="5"/>
        <v>4.8311247648518397E-5</v>
      </c>
      <c r="F30" s="217">
        <f t="shared" si="6"/>
        <v>13.151737065740257</v>
      </c>
      <c r="G30" s="216">
        <f t="shared" si="1"/>
        <v>13.825785376988957</v>
      </c>
      <c r="H30" s="216">
        <f t="shared" si="7"/>
        <v>7.232862168281283E-2</v>
      </c>
      <c r="I30" s="217">
        <f t="shared" si="8"/>
        <v>0.14159804761018654</v>
      </c>
      <c r="J30" s="217">
        <f t="shared" si="9"/>
        <v>0.21392666929299936</v>
      </c>
      <c r="K30" s="195">
        <f t="shared" si="2"/>
        <v>0.21396083826055909</v>
      </c>
      <c r="M30" s="218">
        <f t="shared" si="10"/>
        <v>0.21396083826055909</v>
      </c>
      <c r="N30" s="218">
        <f>Calculations!F40</f>
        <v>0.752</v>
      </c>
      <c r="O30" s="219">
        <f>Spectra!$C$10*$A30</f>
        <v>1963305633195.7485</v>
      </c>
      <c r="P30" s="219">
        <f t="shared" si="11"/>
        <v>315893030318.26056</v>
      </c>
      <c r="Q30" s="218">
        <f t="shared" si="3"/>
        <v>6.0836548239890775E-3</v>
      </c>
    </row>
    <row r="31" spans="1:17" x14ac:dyDescent="0.25">
      <c r="A31" s="214">
        <v>395</v>
      </c>
      <c r="C31" s="215">
        <f t="shared" si="0"/>
        <v>1.2607594936708861</v>
      </c>
      <c r="D31" s="216">
        <f t="shared" si="4"/>
        <v>3.2452915869308463E-12</v>
      </c>
      <c r="E31" s="216">
        <f t="shared" si="5"/>
        <v>7.59628750823288E-5</v>
      </c>
      <c r="F31" s="217">
        <f t="shared" si="6"/>
        <v>10.336863181509026</v>
      </c>
      <c r="G31" s="216">
        <f t="shared" si="1"/>
        <v>11.010939144387352</v>
      </c>
      <c r="H31" s="216">
        <f t="shared" si="7"/>
        <v>9.0818774573804981E-2</v>
      </c>
      <c r="I31" s="217">
        <f t="shared" si="8"/>
        <v>0.12242357955376866</v>
      </c>
      <c r="J31" s="217">
        <f t="shared" si="9"/>
        <v>0.21324235412757364</v>
      </c>
      <c r="K31" s="195">
        <f t="shared" si="2"/>
        <v>0.21327641379439605</v>
      </c>
      <c r="M31" s="218">
        <f t="shared" si="10"/>
        <v>0.21327641379439605</v>
      </c>
      <c r="N31" s="218">
        <f>Calculations!F41</f>
        <v>0.76714915881283607</v>
      </c>
      <c r="O31" s="219">
        <f>Spectra!$C$10*$A31</f>
        <v>1988476218236.7197</v>
      </c>
      <c r="P31" s="219">
        <f t="shared" si="11"/>
        <v>325344181378.50061</v>
      </c>
      <c r="Q31" s="218">
        <f t="shared" si="3"/>
        <v>6.2656706813251839E-3</v>
      </c>
    </row>
    <row r="32" spans="1:17" x14ac:dyDescent="0.25">
      <c r="A32" s="214">
        <v>400</v>
      </c>
      <c r="C32" s="215">
        <f t="shared" si="0"/>
        <v>1.2450000000000001</v>
      </c>
      <c r="D32" s="216">
        <f t="shared" si="4"/>
        <v>9.7341654878389204E-12</v>
      </c>
      <c r="E32" s="216">
        <f t="shared" si="5"/>
        <v>1.180975004117211E-4</v>
      </c>
      <c r="F32" s="217">
        <f t="shared" si="6"/>
        <v>8.1735227737801903</v>
      </c>
      <c r="G32" s="216">
        <f t="shared" si="1"/>
        <v>8.8476408712903361</v>
      </c>
      <c r="H32" s="216">
        <f t="shared" si="7"/>
        <v>0.11302447901619683</v>
      </c>
      <c r="I32" s="217">
        <f t="shared" si="8"/>
        <v>0.10420701753904058</v>
      </c>
      <c r="J32" s="217">
        <f t="shared" si="9"/>
        <v>0.21723149655523741</v>
      </c>
      <c r="K32" s="195">
        <f t="shared" si="2"/>
        <v>0.2172661933790756</v>
      </c>
      <c r="M32" s="218">
        <f t="shared" si="10"/>
        <v>0.2172661933790756</v>
      </c>
      <c r="N32" s="218">
        <f>Calculations!F42</f>
        <v>0.78099999999999992</v>
      </c>
      <c r="O32" s="219">
        <f>Spectra!$C$10*$A32</f>
        <v>2013646803277.6909</v>
      </c>
      <c r="P32" s="219">
        <f t="shared" si="11"/>
        <v>341685450467.06689</v>
      </c>
      <c r="Q32" s="218">
        <f t="shared" si="3"/>
        <v>6.580380507055116E-3</v>
      </c>
    </row>
    <row r="33" spans="1:17" x14ac:dyDescent="0.25">
      <c r="A33" s="214">
        <v>405</v>
      </c>
      <c r="C33" s="215">
        <f t="shared" si="0"/>
        <v>1.2296296296296296</v>
      </c>
      <c r="D33" s="216">
        <f t="shared" si="4"/>
        <v>2.8416123902060176E-11</v>
      </c>
      <c r="E33" s="216">
        <f t="shared" si="5"/>
        <v>1.8161352283307299E-4</v>
      </c>
      <c r="F33" s="217">
        <f t="shared" si="6"/>
        <v>6.5005155002097705</v>
      </c>
      <c r="G33" s="216">
        <f t="shared" si="1"/>
        <v>7.1746971137610203</v>
      </c>
      <c r="H33" s="216">
        <f t="shared" si="7"/>
        <v>0.13937870604767508</v>
      </c>
      <c r="I33" s="217">
        <f t="shared" si="8"/>
        <v>8.7327885197558866E-2</v>
      </c>
      <c r="J33" s="217">
        <f t="shared" si="9"/>
        <v>0.22670659124523396</v>
      </c>
      <c r="K33" s="195">
        <f t="shared" si="2"/>
        <v>0.22674280145776818</v>
      </c>
      <c r="M33" s="218">
        <f t="shared" si="10"/>
        <v>0.22674280145776818</v>
      </c>
      <c r="N33" s="218">
        <f>Calculations!F43</f>
        <v>0.792848564169089</v>
      </c>
      <c r="O33" s="219">
        <f>Spectra!$C$10*$A33</f>
        <v>2038817388318.6621</v>
      </c>
      <c r="P33" s="219">
        <f t="shared" si="11"/>
        <v>366523716025.38348</v>
      </c>
      <c r="Q33" s="218">
        <f t="shared" si="3"/>
        <v>7.0587305166489788E-3</v>
      </c>
    </row>
    <row r="34" spans="1:17" x14ac:dyDescent="0.25">
      <c r="A34" s="214">
        <v>410</v>
      </c>
      <c r="C34" s="215">
        <f t="shared" si="0"/>
        <v>1.2146341463414634</v>
      </c>
      <c r="D34" s="216">
        <f t="shared" si="4"/>
        <v>8.0813328796679838E-11</v>
      </c>
      <c r="E34" s="216">
        <f t="shared" si="5"/>
        <v>2.7637384509366329E-4</v>
      </c>
      <c r="F34" s="217">
        <f t="shared" si="6"/>
        <v>5.1989089199650937</v>
      </c>
      <c r="G34" s="216">
        <f t="shared" si="1"/>
        <v>5.8731852938910007</v>
      </c>
      <c r="H34" s="216">
        <f t="shared" si="7"/>
        <v>0.17026535856788835</v>
      </c>
      <c r="I34" s="217">
        <f t="shared" si="8"/>
        <v>7.2049837210801979E-2</v>
      </c>
      <c r="J34" s="217">
        <f t="shared" si="9"/>
        <v>0.24231519577869032</v>
      </c>
      <c r="K34" s="195">
        <f t="shared" si="2"/>
        <v>0.24235389904131369</v>
      </c>
      <c r="M34" s="218">
        <f t="shared" si="10"/>
        <v>0.24235389904131369</v>
      </c>
      <c r="N34" s="218">
        <f>Calculations!F44</f>
        <v>0.80299999999999994</v>
      </c>
      <c r="O34" s="219">
        <f>Spectra!$C$10*$A34</f>
        <v>2063987973359.6331</v>
      </c>
      <c r="P34" s="219">
        <f t="shared" si="11"/>
        <v>401673072933.22314</v>
      </c>
      <c r="Q34" s="218">
        <f t="shared" si="3"/>
        <v>7.7356576223121002E-3</v>
      </c>
    </row>
    <row r="35" spans="1:17" x14ac:dyDescent="0.25">
      <c r="A35" s="214">
        <v>415</v>
      </c>
      <c r="C35" s="215">
        <f t="shared" si="0"/>
        <v>1.2</v>
      </c>
      <c r="D35" s="216">
        <f t="shared" si="4"/>
        <v>2.2411110027747766E-10</v>
      </c>
      <c r="E35" s="216">
        <f t="shared" si="5"/>
        <v>4.1634346555562574E-4</v>
      </c>
      <c r="F35" s="217">
        <f t="shared" si="6"/>
        <v>4.1803710059405192</v>
      </c>
      <c r="G35" s="216">
        <f t="shared" si="1"/>
        <v>4.8547873496301861</v>
      </c>
      <c r="H35" s="216">
        <f t="shared" si="7"/>
        <v>0.20598224556141992</v>
      </c>
      <c r="I35" s="217">
        <f t="shared" si="8"/>
        <v>5.8524424111689961E-2</v>
      </c>
      <c r="J35" s="217">
        <f t="shared" si="9"/>
        <v>0.26450666967310987</v>
      </c>
      <c r="K35" s="195">
        <f t="shared" si="2"/>
        <v>0.26454891742017789</v>
      </c>
      <c r="M35" s="218">
        <f t="shared" si="10"/>
        <v>0.26454891742017789</v>
      </c>
      <c r="N35" s="218">
        <f>Calculations!F45</f>
        <v>0.81195658451080899</v>
      </c>
      <c r="O35" s="219">
        <f>Spectra!$C$10*$A35</f>
        <v>2089158558400.6042</v>
      </c>
      <c r="P35" s="219">
        <f t="shared" si="11"/>
        <v>448755928500.7168</v>
      </c>
      <c r="Q35" s="218">
        <f t="shared" si="3"/>
        <v>8.64240710365324E-3</v>
      </c>
    </row>
    <row r="36" spans="1:17" x14ac:dyDescent="0.25">
      <c r="A36" s="214">
        <v>420</v>
      </c>
      <c r="C36" s="215">
        <f t="shared" si="0"/>
        <v>1.1857142857142857</v>
      </c>
      <c r="D36" s="216">
        <f t="shared" si="4"/>
        <v>6.0659187327490599E-10</v>
      </c>
      <c r="E36" s="216">
        <f t="shared" si="5"/>
        <v>6.2111146461743918E-4</v>
      </c>
      <c r="F36" s="217">
        <f t="shared" si="6"/>
        <v>3.3788751462654893</v>
      </c>
      <c r="G36" s="216">
        <f t="shared" si="1"/>
        <v>4.0534962583366987</v>
      </c>
      <c r="H36" s="216">
        <f t="shared" si="7"/>
        <v>0.24670061010746744</v>
      </c>
      <c r="I36" s="217">
        <f t="shared" si="8"/>
        <v>4.6802104067840557E-2</v>
      </c>
      <c r="J36" s="217">
        <f t="shared" si="9"/>
        <v>0.29350271417530799</v>
      </c>
      <c r="K36" s="195">
        <f t="shared" si="2"/>
        <v>0.29354959325192098</v>
      </c>
      <c r="M36" s="218">
        <f t="shared" si="10"/>
        <v>0.29354959325192098</v>
      </c>
      <c r="N36" s="218">
        <f>Calculations!F46</f>
        <v>0.82</v>
      </c>
      <c r="O36" s="219">
        <f>Spectra!$C$10*$A36</f>
        <v>2114329143441.5754</v>
      </c>
      <c r="P36" s="219">
        <f t="shared" si="11"/>
        <v>508941577247.52466</v>
      </c>
      <c r="Q36" s="218">
        <f t="shared" si="3"/>
        <v>9.8014979261526695E-3</v>
      </c>
    </row>
    <row r="37" spans="1:17" x14ac:dyDescent="0.25">
      <c r="A37" s="214">
        <v>425</v>
      </c>
      <c r="C37" s="215">
        <f t="shared" si="0"/>
        <v>1.171764705882353</v>
      </c>
      <c r="D37" s="216">
        <f t="shared" si="4"/>
        <v>1.603817353056875E-9</v>
      </c>
      <c r="E37" s="216">
        <f t="shared" si="5"/>
        <v>9.1790949208358564E-4</v>
      </c>
      <c r="F37" s="217">
        <f t="shared" si="6"/>
        <v>2.7447613125498367</v>
      </c>
      <c r="G37" s="216">
        <f t="shared" si="1"/>
        <v>3.4196792236457374</v>
      </c>
      <c r="H37" s="216">
        <f t="shared" si="7"/>
        <v>0.29242508861222805</v>
      </c>
      <c r="I37" s="217">
        <f t="shared" si="8"/>
        <v>3.6848319915279239E-2</v>
      </c>
      <c r="J37" s="217">
        <f t="shared" si="9"/>
        <v>0.32927340852750731</v>
      </c>
      <c r="K37" s="195">
        <f t="shared" si="2"/>
        <v>0.3293260009997383</v>
      </c>
      <c r="M37" s="218">
        <f t="shared" si="10"/>
        <v>0.3293260009997383</v>
      </c>
      <c r="N37" s="218">
        <f>Calculations!F47</f>
        <v>0.82745009778767498</v>
      </c>
      <c r="O37" s="219">
        <f>Spectra!$C$10*$A37</f>
        <v>2139499728482.5466</v>
      </c>
      <c r="P37" s="219">
        <f t="shared" si="11"/>
        <v>583015455500.29333</v>
      </c>
      <c r="Q37" s="218">
        <f t="shared" si="3"/>
        <v>1.1228056487163079E-2</v>
      </c>
    </row>
    <row r="38" spans="1:17" x14ac:dyDescent="0.25">
      <c r="A38" s="214">
        <v>430</v>
      </c>
      <c r="C38" s="215">
        <f t="shared" si="0"/>
        <v>1.1581395348837209</v>
      </c>
      <c r="D38" s="216">
        <f t="shared" si="4"/>
        <v>4.1456560533447353E-9</v>
      </c>
      <c r="E38" s="216">
        <f t="shared" si="5"/>
        <v>1.3442662191869561E-3</v>
      </c>
      <c r="F38" s="217">
        <f t="shared" si="6"/>
        <v>2.240455222987078</v>
      </c>
      <c r="G38" s="216">
        <f t="shared" si="1"/>
        <v>2.9157994933519209</v>
      </c>
      <c r="H38" s="216">
        <f t="shared" si="7"/>
        <v>0.3429591102817664</v>
      </c>
      <c r="I38" s="217">
        <f t="shared" si="8"/>
        <v>2.8562359985562672E-2</v>
      </c>
      <c r="J38" s="217">
        <f t="shared" si="9"/>
        <v>0.37152147026732907</v>
      </c>
      <c r="K38" s="195">
        <f t="shared" si="2"/>
        <v>0.37158081071846244</v>
      </c>
      <c r="M38" s="218">
        <f t="shared" si="10"/>
        <v>0.37158081071846244</v>
      </c>
      <c r="N38" s="218">
        <f>Calculations!F48</f>
        <v>0.83499999999999996</v>
      </c>
      <c r="O38" s="219">
        <f>Spectra!$C$10*$A38</f>
        <v>2164670313523.5178</v>
      </c>
      <c r="P38" s="219">
        <f t="shared" si="11"/>
        <v>671632208281.10962</v>
      </c>
      <c r="Q38" s="218">
        <f t="shared" si="3"/>
        <v>1.2934690327732801E-2</v>
      </c>
    </row>
    <row r="39" spans="1:17" x14ac:dyDescent="0.25">
      <c r="A39" s="214">
        <v>435</v>
      </c>
      <c r="C39" s="215">
        <f t="shared" si="0"/>
        <v>1.1448275862068966</v>
      </c>
      <c r="D39" s="216">
        <f t="shared" si="4"/>
        <v>1.0484561844369045E-8</v>
      </c>
      <c r="E39" s="216">
        <f t="shared" si="5"/>
        <v>1.9514698642924856E-3</v>
      </c>
      <c r="F39" s="217">
        <f t="shared" si="6"/>
        <v>1.8373623440258913</v>
      </c>
      <c r="G39" s="216">
        <f t="shared" si="1"/>
        <v>2.5133138243747455</v>
      </c>
      <c r="H39" s="216">
        <f t="shared" si="7"/>
        <v>0.39788107251141902</v>
      </c>
      <c r="I39" s="217">
        <f t="shared" si="8"/>
        <v>2.1796891878387615E-2</v>
      </c>
      <c r="J39" s="217">
        <f t="shared" si="9"/>
        <v>0.41967796438980665</v>
      </c>
      <c r="K39" s="195">
        <f t="shared" si="2"/>
        <v>0.41974499653123232</v>
      </c>
      <c r="M39" s="218">
        <f t="shared" si="10"/>
        <v>0.41974499653123232</v>
      </c>
      <c r="N39" s="218">
        <f>Calculations!F49</f>
        <v>0.84311802433849192</v>
      </c>
      <c r="O39" s="219">
        <f>Spectra!$C$10*$A39</f>
        <v>2189840898564.4888</v>
      </c>
      <c r="P39" s="219">
        <f t="shared" si="11"/>
        <v>774972807986.5647</v>
      </c>
      <c r="Q39" s="218">
        <f t="shared" si="3"/>
        <v>1.492488472131792E-2</v>
      </c>
    </row>
    <row r="40" spans="1:17" x14ac:dyDescent="0.25">
      <c r="A40" s="214">
        <v>440</v>
      </c>
      <c r="C40" s="215">
        <f t="shared" si="0"/>
        <v>1.1318181818181818</v>
      </c>
      <c r="D40" s="216">
        <f t="shared" si="4"/>
        <v>2.5962660224581372E-8</v>
      </c>
      <c r="E40" s="216">
        <f t="shared" si="5"/>
        <v>2.8090495510592279E-3</v>
      </c>
      <c r="F40" s="217">
        <f t="shared" si="6"/>
        <v>1.5135999845240928</v>
      </c>
      <c r="G40" s="216">
        <f t="shared" si="1"/>
        <v>2.1904090600378123</v>
      </c>
      <c r="H40" s="216">
        <f t="shared" si="7"/>
        <v>0.45653573035473899</v>
      </c>
      <c r="I40" s="217">
        <f t="shared" si="8"/>
        <v>1.6376426315815776E-2</v>
      </c>
      <c r="J40" s="217">
        <f t="shared" si="9"/>
        <v>0.47291215667055475</v>
      </c>
      <c r="K40" s="195">
        <f t="shared" si="2"/>
        <v>0.47298769152646253</v>
      </c>
      <c r="M40" s="218">
        <f t="shared" si="10"/>
        <v>0.47298769152646253</v>
      </c>
      <c r="N40" s="218">
        <f>Calculations!F50</f>
        <v>0.85099999999999998</v>
      </c>
      <c r="O40" s="219">
        <f>Spectra!$C$10*$A40</f>
        <v>2215011483605.46</v>
      </c>
      <c r="P40" s="219">
        <f t="shared" si="11"/>
        <v>891569866253.21387</v>
      </c>
      <c r="Q40" s="218">
        <f t="shared" si="3"/>
        <v>1.7170379834876404E-2</v>
      </c>
    </row>
    <row r="41" spans="1:17" x14ac:dyDescent="0.25">
      <c r="A41" s="214">
        <v>445</v>
      </c>
      <c r="C41" s="215">
        <f t="shared" si="0"/>
        <v>1.1191011235955055</v>
      </c>
      <c r="D41" s="216">
        <f t="shared" si="4"/>
        <v>6.2993926607484682E-8</v>
      </c>
      <c r="E41" s="216">
        <f t="shared" si="5"/>
        <v>4.0105316689706752E-3</v>
      </c>
      <c r="F41" s="217">
        <f t="shared" si="6"/>
        <v>1.2523311588453718</v>
      </c>
      <c r="G41" s="216">
        <f t="shared" si="1"/>
        <v>1.930341753508269</v>
      </c>
      <c r="H41" s="216">
        <f t="shared" si="7"/>
        <v>0.51804298289801065</v>
      </c>
      <c r="I41" s="217">
        <f t="shared" si="8"/>
        <v>1.211344816250969E-2</v>
      </c>
      <c r="J41" s="217">
        <f t="shared" si="9"/>
        <v>0.53015643106052035</v>
      </c>
      <c r="K41" s="195">
        <f t="shared" si="2"/>
        <v>0.53024110913247069</v>
      </c>
      <c r="M41" s="218">
        <f t="shared" si="10"/>
        <v>0.53024110913247069</v>
      </c>
      <c r="N41" s="218">
        <f>Calculations!F51</f>
        <v>0.85782780485835697</v>
      </c>
      <c r="O41" s="219">
        <f>Spectra!$C$10*$A41</f>
        <v>2240182068646.4312</v>
      </c>
      <c r="P41" s="219">
        <f t="shared" si="11"/>
        <v>1018959284329.1494</v>
      </c>
      <c r="Q41" s="218">
        <f t="shared" si="3"/>
        <v>1.962372059716554E-2</v>
      </c>
    </row>
    <row r="42" spans="1:17" x14ac:dyDescent="0.25">
      <c r="A42" s="214">
        <v>450</v>
      </c>
      <c r="C42" s="215">
        <f t="shared" si="0"/>
        <v>1.1066666666666667</v>
      </c>
      <c r="D42" s="216">
        <f t="shared" si="4"/>
        <v>1.4986276369753117E-7</v>
      </c>
      <c r="E42" s="216">
        <f t="shared" si="5"/>
        <v>5.6807803696302967E-3</v>
      </c>
      <c r="F42" s="217">
        <f t="shared" si="6"/>
        <v>1.0405332616559184</v>
      </c>
      <c r="G42" s="216">
        <f t="shared" si="1"/>
        <v>1.7202141918883123</v>
      </c>
      <c r="H42" s="216">
        <f t="shared" si="7"/>
        <v>0.58132295659198152</v>
      </c>
      <c r="I42" s="217">
        <f t="shared" si="8"/>
        <v>8.8214610106247902E-3</v>
      </c>
      <c r="J42" s="217">
        <f t="shared" si="9"/>
        <v>0.59014441760260627</v>
      </c>
      <c r="K42" s="195">
        <f t="shared" si="2"/>
        <v>0.59023867712399869</v>
      </c>
      <c r="M42" s="218">
        <f t="shared" si="10"/>
        <v>0.59023867712399869</v>
      </c>
      <c r="N42" s="218">
        <f>Calculations!F52</f>
        <v>0.8640000000000001</v>
      </c>
      <c r="O42" s="219">
        <f>Spectra!$C$10*$A42</f>
        <v>2265352653687.4023</v>
      </c>
      <c r="P42" s="219">
        <f t="shared" si="11"/>
        <v>1155253323051.4685</v>
      </c>
      <c r="Q42" s="218">
        <f t="shared" si="3"/>
        <v>2.2248551810815965E-2</v>
      </c>
    </row>
    <row r="43" spans="1:17" x14ac:dyDescent="0.25">
      <c r="A43" s="214">
        <v>455</v>
      </c>
      <c r="C43" s="215">
        <f t="shared" si="0"/>
        <v>1.0945054945054946</v>
      </c>
      <c r="D43" s="216">
        <f t="shared" si="4"/>
        <v>3.4979723787744175E-7</v>
      </c>
      <c r="E43" s="216">
        <f t="shared" si="5"/>
        <v>7.9852926648863037E-3</v>
      </c>
      <c r="F43" s="217">
        <f t="shared" si="6"/>
        <v>0.86808283932248975</v>
      </c>
      <c r="G43" s="216">
        <f t="shared" si="1"/>
        <v>1.550068481784614</v>
      </c>
      <c r="H43" s="216">
        <f t="shared" si="7"/>
        <v>0.64513278719704503</v>
      </c>
      <c r="I43" s="217">
        <f t="shared" si="8"/>
        <v>6.3246622299243218E-3</v>
      </c>
      <c r="J43" s="217">
        <f t="shared" si="9"/>
        <v>0.65145744942696937</v>
      </c>
      <c r="K43" s="195">
        <f t="shared" si="2"/>
        <v>0.6515615020377522</v>
      </c>
      <c r="M43" s="218">
        <f t="shared" si="10"/>
        <v>0.6515615020377522</v>
      </c>
      <c r="N43" s="218">
        <f>Calculations!F53</f>
        <v>0.87007075622808105</v>
      </c>
      <c r="O43" s="219">
        <f>Spectra!$C$10*$A43</f>
        <v>2290523238728.3735</v>
      </c>
      <c r="P43" s="219">
        <f t="shared" si="11"/>
        <v>1298508180614.8608</v>
      </c>
      <c r="Q43" s="218">
        <f t="shared" si="3"/>
        <v>2.5007438590930599E-2</v>
      </c>
    </row>
    <row r="44" spans="1:17" x14ac:dyDescent="0.25">
      <c r="A44" s="214">
        <v>460</v>
      </c>
      <c r="C44" s="215">
        <f t="shared" ref="C44:C75" si="12">$C$4/A44</f>
        <v>1.0826086956521739</v>
      </c>
      <c r="D44" s="216">
        <f t="shared" si="4"/>
        <v>8.0156057508178009E-7</v>
      </c>
      <c r="E44" s="216">
        <f t="shared" si="5"/>
        <v>1.1141889127876163E-2</v>
      </c>
      <c r="F44" s="217">
        <f t="shared" si="6"/>
        <v>0.72707151608352882</v>
      </c>
      <c r="G44" s="216">
        <f t="shared" ref="G44:G75" si="13">D44+E44+F44+$G$4</f>
        <v>1.4122142067719801</v>
      </c>
      <c r="H44" s="216">
        <f t="shared" si="7"/>
        <v>0.70810787429039279</v>
      </c>
      <c r="I44" s="217">
        <f t="shared" si="8"/>
        <v>4.4643500353633968E-3</v>
      </c>
      <c r="J44" s="217">
        <f t="shared" si="9"/>
        <v>0.71257222432575618</v>
      </c>
      <c r="K44" s="195">
        <f t="shared" si="2"/>
        <v>0.7126860383597774</v>
      </c>
      <c r="M44" s="218">
        <f t="shared" si="10"/>
        <v>0.7126860383597774</v>
      </c>
      <c r="N44" s="218">
        <f>Calculations!F54</f>
        <v>0.87599999999999989</v>
      </c>
      <c r="O44" s="219">
        <f>Spectra!$C$10*$A44</f>
        <v>2315693823769.3447</v>
      </c>
      <c r="P44" s="219">
        <f t="shared" si="11"/>
        <v>1445717687809.1477</v>
      </c>
      <c r="Q44" s="218">
        <f t="shared" ref="Q44:Q75" si="14">P44/SUM(P$12:P$108)</f>
        <v>2.7842486352754575E-2</v>
      </c>
    </row>
    <row r="45" spans="1:17" x14ac:dyDescent="0.25">
      <c r="A45" s="214">
        <v>465</v>
      </c>
      <c r="C45" s="215">
        <f t="shared" si="12"/>
        <v>1.0709677419354839</v>
      </c>
      <c r="D45" s="216">
        <f t="shared" si="4"/>
        <v>1.8043126959617646E-6</v>
      </c>
      <c r="E45" s="216">
        <f t="shared" si="5"/>
        <v>1.5435321774243954E-2</v>
      </c>
      <c r="F45" s="217">
        <f t="shared" si="6"/>
        <v>0.6112919289286658</v>
      </c>
      <c r="G45" s="216">
        <f t="shared" si="13"/>
        <v>1.3007290550156059</v>
      </c>
      <c r="H45" s="216">
        <f t="shared" si="7"/>
        <v>0.76879961752526715</v>
      </c>
      <c r="I45" s="217">
        <f t="shared" si="8"/>
        <v>3.102438813374271E-3</v>
      </c>
      <c r="J45" s="217">
        <f t="shared" si="9"/>
        <v>0.7719020563386414</v>
      </c>
      <c r="K45" s="195">
        <f t="shared" si="2"/>
        <v>0.77202534669981748</v>
      </c>
      <c r="M45" s="218">
        <f t="shared" si="10"/>
        <v>0.77202534669981748</v>
      </c>
      <c r="N45" s="218">
        <f>Calculations!F55</f>
        <v>0.88163917022932092</v>
      </c>
      <c r="O45" s="219">
        <f>Spectra!$C$10*$A45</f>
        <v>2340864408810.3154</v>
      </c>
      <c r="P45" s="219">
        <f t="shared" si="11"/>
        <v>1593304177324.4006</v>
      </c>
      <c r="Q45" s="218">
        <f t="shared" si="14"/>
        <v>3.0684794263095259E-2</v>
      </c>
    </row>
    <row r="46" spans="1:17" x14ac:dyDescent="0.25">
      <c r="A46" s="214">
        <v>470</v>
      </c>
      <c r="C46" s="215">
        <f t="shared" si="12"/>
        <v>1.0595744680851065</v>
      </c>
      <c r="D46" s="216">
        <f t="shared" si="4"/>
        <v>3.9919942927699065E-6</v>
      </c>
      <c r="E46" s="216">
        <f t="shared" si="5"/>
        <v>2.1235412150588016E-2</v>
      </c>
      <c r="F46" s="217">
        <f t="shared" si="6"/>
        <v>0.51584939537454877</v>
      </c>
      <c r="G46" s="216">
        <f t="shared" si="13"/>
        <v>1.2110887995194295</v>
      </c>
      <c r="H46" s="216">
        <f t="shared" si="7"/>
        <v>0.82570328484319944</v>
      </c>
      <c r="I46" s="217">
        <f t="shared" si="8"/>
        <v>2.1226202118778187E-3</v>
      </c>
      <c r="J46" s="217">
        <f t="shared" si="9"/>
        <v>0.82782590505507725</v>
      </c>
      <c r="K46" s="195">
        <f t="shared" si="2"/>
        <v>0.82795812773020427</v>
      </c>
      <c r="M46" s="218">
        <f t="shared" si="10"/>
        <v>0.82795812773020427</v>
      </c>
      <c r="N46" s="218">
        <f>Calculations!F56</f>
        <v>0.88700000000000001</v>
      </c>
      <c r="O46" s="219">
        <f>Spectra!$C$10*$A46</f>
        <v>2366034993851.2866</v>
      </c>
      <c r="P46" s="219">
        <f t="shared" si="11"/>
        <v>1737613400540.4387</v>
      </c>
      <c r="Q46" s="218">
        <f t="shared" si="14"/>
        <v>3.346398664059045E-2</v>
      </c>
    </row>
    <row r="47" spans="1:17" x14ac:dyDescent="0.25">
      <c r="A47" s="214">
        <v>475</v>
      </c>
      <c r="C47" s="215">
        <f t="shared" si="12"/>
        <v>1.0484210526315789</v>
      </c>
      <c r="D47" s="216">
        <f t="shared" si="4"/>
        <v>8.6857520336969403E-6</v>
      </c>
      <c r="E47" s="216">
        <f t="shared" si="5"/>
        <v>2.9019435794056258E-2</v>
      </c>
      <c r="F47" s="217">
        <f t="shared" si="6"/>
        <v>0.43686707088008503</v>
      </c>
      <c r="G47" s="216">
        <f t="shared" si="13"/>
        <v>1.1398951924261751</v>
      </c>
      <c r="H47" s="216">
        <f t="shared" si="7"/>
        <v>0.87727363589592877</v>
      </c>
      <c r="I47" s="217">
        <f t="shared" si="8"/>
        <v>1.429767594833058E-3</v>
      </c>
      <c r="J47" s="217">
        <f t="shared" si="9"/>
        <v>0.87870340349076181</v>
      </c>
      <c r="K47" s="195">
        <f t="shared" si="2"/>
        <v>0.87884375246262081</v>
      </c>
      <c r="M47" s="218">
        <f t="shared" si="10"/>
        <v>0.87884375246262081</v>
      </c>
      <c r="N47" s="218">
        <f>Calculations!F57</f>
        <v>0.89199756285463494</v>
      </c>
      <c r="O47" s="219">
        <f>Spectra!$C$10*$A47</f>
        <v>2391205578892.2578</v>
      </c>
      <c r="P47" s="219">
        <f t="shared" si="11"/>
        <v>1874529385154.5566</v>
      </c>
      <c r="Q47" s="218">
        <f t="shared" si="14"/>
        <v>3.6100795656097064E-2</v>
      </c>
    </row>
    <row r="48" spans="1:17" x14ac:dyDescent="0.25">
      <c r="A48" s="214">
        <v>480</v>
      </c>
      <c r="C48" s="215">
        <f t="shared" si="12"/>
        <v>1.0375000000000001</v>
      </c>
      <c r="D48" s="216">
        <f t="shared" si="4"/>
        <v>1.8594788519081605E-5</v>
      </c>
      <c r="E48" s="216">
        <f t="shared" si="5"/>
        <v>3.9399584831710341E-2</v>
      </c>
      <c r="F48" s="217">
        <f t="shared" si="6"/>
        <v>0.37126098502873217</v>
      </c>
      <c r="G48" s="216">
        <f t="shared" si="13"/>
        <v>1.0846791646489615</v>
      </c>
      <c r="H48" s="216">
        <f t="shared" si="7"/>
        <v>0.92193160207298119</v>
      </c>
      <c r="I48" s="217">
        <f t="shared" si="8"/>
        <v>9.4816231076986905E-4</v>
      </c>
      <c r="J48" s="217">
        <f t="shared" si="9"/>
        <v>0.92287976438375108</v>
      </c>
      <c r="K48" s="195">
        <f t="shared" si="2"/>
        <v>0.923027169327861</v>
      </c>
      <c r="M48" s="218">
        <f t="shared" si="10"/>
        <v>0.923027169327861</v>
      </c>
      <c r="N48" s="218">
        <f>Calculations!F58</f>
        <v>0.89599999999999991</v>
      </c>
      <c r="O48" s="219">
        <f>Spectra!$C$10*$A48</f>
        <v>2416376163933.229</v>
      </c>
      <c r="P48" s="219">
        <f t="shared" si="11"/>
        <v>1998421242161.4368</v>
      </c>
      <c r="Q48" s="218">
        <f t="shared" si="14"/>
        <v>3.8486778318561968E-2</v>
      </c>
    </row>
    <row r="49" spans="1:17" x14ac:dyDescent="0.25">
      <c r="A49" s="214">
        <v>485</v>
      </c>
      <c r="C49" s="215">
        <f t="shared" si="12"/>
        <v>1.0268041237113401</v>
      </c>
      <c r="D49" s="216">
        <f t="shared" si="4"/>
        <v>3.9188523325942414E-5</v>
      </c>
      <c r="E49" s="216">
        <f t="shared" si="5"/>
        <v>5.3156469294886231E-2</v>
      </c>
      <c r="F49" s="217">
        <f t="shared" si="6"/>
        <v>0.31656757385316014</v>
      </c>
      <c r="G49" s="216">
        <f t="shared" si="13"/>
        <v>1.0437632316713723</v>
      </c>
      <c r="H49" s="216">
        <f t="shared" si="7"/>
        <v>0.95807168681225297</v>
      </c>
      <c r="I49" s="217">
        <f t="shared" si="8"/>
        <v>6.1904755244647817E-4</v>
      </c>
      <c r="J49" s="217">
        <f t="shared" si="9"/>
        <v>0.95869073436469943</v>
      </c>
      <c r="K49" s="195">
        <f t="shared" si="2"/>
        <v>0.9588438591373637</v>
      </c>
      <c r="M49" s="218">
        <f t="shared" si="10"/>
        <v>0.9588438591373637</v>
      </c>
      <c r="N49" s="218">
        <f>Calculations!F59</f>
        <v>0.89874557835213809</v>
      </c>
      <c r="O49" s="219">
        <f>Spectra!$C$10*$A49</f>
        <v>2441546748974.2002</v>
      </c>
      <c r="P49" s="219">
        <f t="shared" si="11"/>
        <v>2104019217359.562</v>
      </c>
      <c r="Q49" s="218">
        <f t="shared" si="14"/>
        <v>4.0520446584589608E-2</v>
      </c>
    </row>
    <row r="50" spans="1:17" x14ac:dyDescent="0.25">
      <c r="A50" s="214">
        <v>490</v>
      </c>
      <c r="C50" s="215">
        <f t="shared" si="12"/>
        <v>1.0163265306122449</v>
      </c>
      <c r="D50" s="216">
        <f t="shared" si="4"/>
        <v>8.1342787582637624E-5</v>
      </c>
      <c r="E50" s="216">
        <f t="shared" si="5"/>
        <v>7.1279760405279849E-2</v>
      </c>
      <c r="F50" s="217">
        <f t="shared" si="6"/>
        <v>0.27081084415031903</v>
      </c>
      <c r="G50" s="216">
        <f t="shared" si="13"/>
        <v>1.0161719473431816</v>
      </c>
      <c r="H50" s="216">
        <f t="shared" si="7"/>
        <v>0.98408542236826768</v>
      </c>
      <c r="I50" s="217">
        <f t="shared" si="8"/>
        <v>3.9791418158502612E-4</v>
      </c>
      <c r="J50" s="217">
        <f t="shared" si="9"/>
        <v>0.98448333654985276</v>
      </c>
      <c r="K50" s="195">
        <f t="shared" si="2"/>
        <v>0.98464058098927132</v>
      </c>
      <c r="M50" s="218">
        <f t="shared" si="10"/>
        <v>0.98464058098927132</v>
      </c>
      <c r="N50" s="218">
        <f>Calculations!F60</f>
        <v>0.90200000000000002</v>
      </c>
      <c r="O50" s="219">
        <f>Spectra!$C$10*$A50</f>
        <v>2466717334015.1714</v>
      </c>
      <c r="P50" s="219">
        <f t="shared" si="11"/>
        <v>2190804649988.7065</v>
      </c>
      <c r="Q50" s="218">
        <f t="shared" si="14"/>
        <v>4.2191811778479277E-2</v>
      </c>
    </row>
    <row r="51" spans="1:17" x14ac:dyDescent="0.25">
      <c r="A51" s="214">
        <v>495</v>
      </c>
      <c r="C51" s="215">
        <f t="shared" si="12"/>
        <v>1.0060606060606061</v>
      </c>
      <c r="D51" s="216">
        <f t="shared" si="4"/>
        <v>1.6636881681692997E-4</v>
      </c>
      <c r="E51" s="216">
        <f t="shared" si="5"/>
        <v>9.5017236243471942E-2</v>
      </c>
      <c r="F51" s="217">
        <f t="shared" si="6"/>
        <v>0.23239960127338424</v>
      </c>
      <c r="G51" s="216">
        <f t="shared" si="13"/>
        <v>1.0015832063336731</v>
      </c>
      <c r="H51" s="216">
        <f t="shared" si="7"/>
        <v>0.99841929624652104</v>
      </c>
      <c r="I51" s="217">
        <f t="shared" si="8"/>
        <v>2.5181344146999395E-4</v>
      </c>
      <c r="J51" s="217">
        <f t="shared" si="9"/>
        <v>0.998671109687991</v>
      </c>
      <c r="K51" s="195">
        <f t="shared" si="2"/>
        <v>0.9988306202383237</v>
      </c>
      <c r="M51" s="218">
        <f t="shared" si="10"/>
        <v>0.9988306202383237</v>
      </c>
      <c r="N51" s="218">
        <f>Calculations!F61</f>
        <v>0.90727012373681504</v>
      </c>
      <c r="O51" s="219">
        <f>Spectra!$C$10*$A51</f>
        <v>2491887919056.1426</v>
      </c>
      <c r="P51" s="219">
        <f t="shared" si="11"/>
        <v>2258171708815.7598</v>
      </c>
      <c r="Q51" s="218">
        <f t="shared" si="14"/>
        <v>4.3489206444003392E-2</v>
      </c>
    </row>
    <row r="52" spans="1:17" x14ac:dyDescent="0.25">
      <c r="A52" s="214">
        <v>500</v>
      </c>
      <c r="C52" s="215">
        <f t="shared" si="12"/>
        <v>0.996</v>
      </c>
      <c r="D52" s="216">
        <f t="shared" si="4"/>
        <v>3.3543605908979067E-4</v>
      </c>
      <c r="E52" s="216">
        <f t="shared" si="5"/>
        <v>0.12593366234502862</v>
      </c>
      <c r="F52" s="217">
        <f t="shared" si="6"/>
        <v>0.20004758814750132</v>
      </c>
      <c r="G52" s="216">
        <f t="shared" si="13"/>
        <v>1.0003166865516198</v>
      </c>
      <c r="H52" s="216">
        <f t="shared" si="7"/>
        <v>0.99968341370700164</v>
      </c>
      <c r="I52" s="217">
        <f t="shared" si="8"/>
        <v>1.5688899587839396E-4</v>
      </c>
      <c r="J52" s="217">
        <f t="shared" si="9"/>
        <v>0.99984030270288005</v>
      </c>
      <c r="K52" s="195">
        <f t="shared" si="2"/>
        <v>1</v>
      </c>
      <c r="M52" s="218">
        <f t="shared" si="10"/>
        <v>1</v>
      </c>
      <c r="N52" s="218">
        <f>Calculations!F62</f>
        <v>0.91299999999999992</v>
      </c>
      <c r="O52" s="219">
        <f>Spectra!$C$10*$A52</f>
        <v>2517058504097.1138</v>
      </c>
      <c r="P52" s="219">
        <f t="shared" si="11"/>
        <v>2298074414240.6646</v>
      </c>
      <c r="Q52" s="218">
        <f t="shared" si="14"/>
        <v>4.4257676346944469E-2</v>
      </c>
    </row>
    <row r="53" spans="1:17" x14ac:dyDescent="0.25">
      <c r="A53" s="214">
        <v>505</v>
      </c>
      <c r="C53" s="215">
        <f t="shared" si="12"/>
        <v>0.98613861386138613</v>
      </c>
      <c r="D53" s="216">
        <f t="shared" si="4"/>
        <v>6.6698660828120638E-4</v>
      </c>
      <c r="E53" s="216">
        <f t="shared" si="5"/>
        <v>0.16598112728903636</v>
      </c>
      <c r="F53" s="217">
        <f t="shared" si="6"/>
        <v>0.17271116375170034</v>
      </c>
      <c r="G53" s="216">
        <f t="shared" si="13"/>
        <v>1.0133592776490179</v>
      </c>
      <c r="H53" s="216">
        <f t="shared" si="7"/>
        <v>0.98681683984774748</v>
      </c>
      <c r="I53" s="217">
        <f t="shared" si="8"/>
        <v>9.6234355596919017E-5</v>
      </c>
      <c r="J53" s="217">
        <f t="shared" si="9"/>
        <v>0.9869130742033444</v>
      </c>
      <c r="K53" s="195">
        <f t="shared" si="2"/>
        <v>0.98707070672727504</v>
      </c>
      <c r="M53" s="218">
        <f t="shared" si="10"/>
        <v>0.98707070672727504</v>
      </c>
      <c r="N53" s="218">
        <f>Calculations!F63</f>
        <v>0.91742392670060402</v>
      </c>
      <c r="O53" s="219">
        <f>Spectra!$C$10*$A53</f>
        <v>2542229089138.085</v>
      </c>
      <c r="P53" s="219">
        <f t="shared" si="11"/>
        <v>2302146779640.5156</v>
      </c>
      <c r="Q53" s="218">
        <f t="shared" si="14"/>
        <v>4.4336104368559538E-2</v>
      </c>
    </row>
    <row r="54" spans="1:17" x14ac:dyDescent="0.25">
      <c r="A54" s="214">
        <v>510</v>
      </c>
      <c r="C54" s="215">
        <f t="shared" si="12"/>
        <v>0.97647058823529409</v>
      </c>
      <c r="D54" s="216">
        <f t="shared" si="4"/>
        <v>1.3084929764397451E-3</v>
      </c>
      <c r="E54" s="216">
        <f t="shared" si="5"/>
        <v>0.21758265653767975</v>
      </c>
      <c r="F54" s="217">
        <f t="shared" si="6"/>
        <v>0.14954046777923538</v>
      </c>
      <c r="G54" s="216">
        <f t="shared" si="13"/>
        <v>1.042431617293355</v>
      </c>
      <c r="H54" s="216">
        <f t="shared" si="7"/>
        <v>0.95929553882534035</v>
      </c>
      <c r="I54" s="217">
        <f t="shared" si="8"/>
        <v>5.8115487572469048E-5</v>
      </c>
      <c r="J54" s="217">
        <f t="shared" si="9"/>
        <v>0.95935365431291286</v>
      </c>
      <c r="K54" s="195">
        <f t="shared" si="2"/>
        <v>0.95950688496901038</v>
      </c>
      <c r="M54" s="218">
        <f t="shared" si="10"/>
        <v>0.95950688496901038</v>
      </c>
      <c r="N54" s="218">
        <f>Calculations!F64</f>
        <v>0.92099999999999993</v>
      </c>
      <c r="O54" s="219">
        <f>Spectra!$C$10*$A54</f>
        <v>2567399674179.0557</v>
      </c>
      <c r="P54" s="219">
        <f t="shared" si="11"/>
        <v>2268826088398.48</v>
      </c>
      <c r="Q54" s="218">
        <f t="shared" si="14"/>
        <v>4.3694394787917541E-2</v>
      </c>
    </row>
    <row r="55" spans="1:17" x14ac:dyDescent="0.25">
      <c r="A55" s="214">
        <v>515</v>
      </c>
      <c r="C55" s="215">
        <f t="shared" si="12"/>
        <v>0.96699029126213587</v>
      </c>
      <c r="D55" s="216">
        <f t="shared" si="4"/>
        <v>2.5336292838168948E-3</v>
      </c>
      <c r="E55" s="216">
        <f t="shared" si="5"/>
        <v>0.28373114681411554</v>
      </c>
      <c r="F55" s="217">
        <f t="shared" si="6"/>
        <v>0.1298409991981628</v>
      </c>
      <c r="G55" s="216">
        <f t="shared" si="13"/>
        <v>1.0901057752960952</v>
      </c>
      <c r="H55" s="216">
        <f t="shared" si="7"/>
        <v>0.91734217234871485</v>
      </c>
      <c r="I55" s="217">
        <f t="shared" si="8"/>
        <v>3.4552359772243176E-5</v>
      </c>
      <c r="J55" s="217">
        <f t="shared" si="9"/>
        <v>0.91737672470848708</v>
      </c>
      <c r="K55" s="195">
        <f t="shared" si="2"/>
        <v>0.91752325069166729</v>
      </c>
      <c r="M55" s="218">
        <f t="shared" si="10"/>
        <v>0.91752325069166729</v>
      </c>
      <c r="N55" s="218">
        <f>Calculations!F65</f>
        <v>0.92453416946076994</v>
      </c>
      <c r="O55" s="219">
        <f>Spectra!$C$10*$A55</f>
        <v>2592570259220.0269</v>
      </c>
      <c r="P55" s="219">
        <f t="shared" si="11"/>
        <v>2199229638631.125</v>
      </c>
      <c r="Q55" s="218">
        <f t="shared" si="14"/>
        <v>4.2354065193012873E-2</v>
      </c>
    </row>
    <row r="56" spans="1:17" x14ac:dyDescent="0.25">
      <c r="A56" s="214">
        <v>520</v>
      </c>
      <c r="C56" s="215">
        <f t="shared" si="12"/>
        <v>0.95769230769230773</v>
      </c>
      <c r="D56" s="216">
        <f t="shared" si="4"/>
        <v>4.8439099193258511E-3</v>
      </c>
      <c r="E56" s="216">
        <f t="shared" si="5"/>
        <v>0.36810589819179218</v>
      </c>
      <c r="F56" s="217">
        <f t="shared" si="6"/>
        <v>0.11304326975429892</v>
      </c>
      <c r="G56" s="216">
        <f t="shared" si="13"/>
        <v>1.1599930778654171</v>
      </c>
      <c r="H56" s="216">
        <f t="shared" si="7"/>
        <v>0.86207410982155919</v>
      </c>
      <c r="I56" s="217">
        <f t="shared" si="8"/>
        <v>2.0224957820608622E-5</v>
      </c>
      <c r="J56" s="217">
        <f t="shared" si="9"/>
        <v>0.8620943347793798</v>
      </c>
      <c r="K56" s="195">
        <f t="shared" si="2"/>
        <v>0.86223203090420542</v>
      </c>
      <c r="M56" s="218">
        <f t="shared" si="10"/>
        <v>0.86223203090420542</v>
      </c>
      <c r="N56" s="218">
        <f>Calculations!F66</f>
        <v>0.92799999999999994</v>
      </c>
      <c r="O56" s="219">
        <f>Spectra!$C$10*$A56</f>
        <v>2617740844260.998</v>
      </c>
      <c r="P56" s="219">
        <f t="shared" si="11"/>
        <v>2094588804202.0298</v>
      </c>
      <c r="Q56" s="218">
        <f t="shared" si="14"/>
        <v>4.0338830110050017E-2</v>
      </c>
    </row>
    <row r="57" spans="1:17" x14ac:dyDescent="0.25">
      <c r="A57" s="214">
        <v>525</v>
      </c>
      <c r="C57" s="215">
        <f t="shared" si="12"/>
        <v>0.94857142857142862</v>
      </c>
      <c r="D57" s="216">
        <f t="shared" si="4"/>
        <v>9.1471970946208608E-3</v>
      </c>
      <c r="E57" s="216">
        <f t="shared" si="5"/>
        <v>0.47520927168614435</v>
      </c>
      <c r="F57" s="217">
        <f t="shared" si="6"/>
        <v>9.8678744111111924E-2</v>
      </c>
      <c r="G57" s="216">
        <f t="shared" si="13"/>
        <v>1.2570352128918771</v>
      </c>
      <c r="H57" s="216">
        <f t="shared" si="7"/>
        <v>0.79552266296458485</v>
      </c>
      <c r="I57" s="217">
        <f t="shared" si="8"/>
        <v>1.165525071796013E-5</v>
      </c>
      <c r="J57" s="217">
        <f t="shared" si="9"/>
        <v>0.79553431821530285</v>
      </c>
      <c r="K57" s="195">
        <f t="shared" si="2"/>
        <v>0.79566138318762059</v>
      </c>
      <c r="M57" s="218">
        <f t="shared" si="10"/>
        <v>0.79566138318762059</v>
      </c>
      <c r="N57" s="218">
        <f>Calculations!F67</f>
        <v>0.93118939545631607</v>
      </c>
      <c r="O57" s="219">
        <f>Spectra!$C$10*$A57</f>
        <v>2642911429301.9692</v>
      </c>
      <c r="P57" s="219">
        <f t="shared" si="11"/>
        <v>1958163319215.3831</v>
      </c>
      <c r="Q57" s="218">
        <f t="shared" si="14"/>
        <v>3.7711467426492624E-2</v>
      </c>
    </row>
    <row r="58" spans="1:17" x14ac:dyDescent="0.25">
      <c r="A58" s="214">
        <v>530</v>
      </c>
      <c r="C58" s="215">
        <f t="shared" si="12"/>
        <v>0.93962264150943398</v>
      </c>
      <c r="D58" s="216">
        <f t="shared" si="4"/>
        <v>1.7067532288553632E-2</v>
      </c>
      <c r="E58" s="216">
        <f t="shared" si="5"/>
        <v>0.61052626620861605</v>
      </c>
      <c r="F58" s="217">
        <f t="shared" si="6"/>
        <v>8.636069363128715E-2</v>
      </c>
      <c r="G58" s="216">
        <f t="shared" si="13"/>
        <v>1.3879544921284568</v>
      </c>
      <c r="H58" s="216">
        <f t="shared" si="7"/>
        <v>0.72048471738182096</v>
      </c>
      <c r="I58" s="217">
        <f t="shared" si="8"/>
        <v>6.6127133903968628E-6</v>
      </c>
      <c r="J58" s="217">
        <f t="shared" si="9"/>
        <v>0.72049133009521138</v>
      </c>
      <c r="K58" s="195">
        <f t="shared" si="2"/>
        <v>0.72060640899101458</v>
      </c>
      <c r="M58" s="218">
        <f t="shared" si="10"/>
        <v>0.72060640899101458</v>
      </c>
      <c r="N58" s="218">
        <f>Calculations!F68</f>
        <v>0.93400000000000005</v>
      </c>
      <c r="O58" s="219">
        <f>Spectra!$C$10*$A58</f>
        <v>2668082014342.9404</v>
      </c>
      <c r="P58" s="219">
        <f t="shared" si="11"/>
        <v>1795742957298.7334</v>
      </c>
      <c r="Q58" s="218">
        <f t="shared" si="14"/>
        <v>3.4583480027426672E-2</v>
      </c>
    </row>
    <row r="59" spans="1:17" x14ac:dyDescent="0.25">
      <c r="A59" s="214">
        <v>535</v>
      </c>
      <c r="C59" s="215">
        <f t="shared" si="12"/>
        <v>0.93084112149532705</v>
      </c>
      <c r="D59" s="216">
        <f t="shared" si="4"/>
        <v>3.1476772947809796E-2</v>
      </c>
      <c r="E59" s="216">
        <f t="shared" si="5"/>
        <v>0.78071008982164469</v>
      </c>
      <c r="F59" s="217">
        <f t="shared" si="6"/>
        <v>7.5768905382904608E-2</v>
      </c>
      <c r="G59" s="216">
        <f t="shared" si="13"/>
        <v>1.5619557681523593</v>
      </c>
      <c r="H59" s="216">
        <f t="shared" si="7"/>
        <v>0.64022299503583391</v>
      </c>
      <c r="I59" s="217">
        <f t="shared" si="8"/>
        <v>3.6937020772124343E-6</v>
      </c>
      <c r="J59" s="217">
        <f t="shared" si="9"/>
        <v>0.64022668873791111</v>
      </c>
      <c r="K59" s="195">
        <f t="shared" si="2"/>
        <v>0.64032894754010095</v>
      </c>
      <c r="M59" s="218">
        <f t="shared" si="10"/>
        <v>0.64032894754010095</v>
      </c>
      <c r="N59" s="218">
        <f>Calculations!F69</f>
        <v>0.93645824871396799</v>
      </c>
      <c r="O59" s="219">
        <f>Spectra!$C$10*$A59</f>
        <v>2693252599383.9116</v>
      </c>
      <c r="P59" s="219">
        <f t="shared" si="11"/>
        <v>1614985556754.0215</v>
      </c>
      <c r="Q59" s="218">
        <f t="shared" si="14"/>
        <v>3.11023470923706E-2</v>
      </c>
    </row>
    <row r="60" spans="1:17" x14ac:dyDescent="0.25">
      <c r="A60" s="214">
        <v>540</v>
      </c>
      <c r="C60" s="215">
        <f t="shared" si="12"/>
        <v>0.92222222222222228</v>
      </c>
      <c r="D60" s="216">
        <f t="shared" si="4"/>
        <v>5.7396721584526418E-2</v>
      </c>
      <c r="E60" s="216">
        <f t="shared" si="5"/>
        <v>0.99379709571486952</v>
      </c>
      <c r="F60" s="217">
        <f t="shared" si="6"/>
        <v>6.6637427228182555E-2</v>
      </c>
      <c r="G60" s="216">
        <f t="shared" si="13"/>
        <v>1.7918312445275784</v>
      </c>
      <c r="H60" s="216">
        <f t="shared" si="7"/>
        <v>0.55808827034024233</v>
      </c>
      <c r="I60" s="217">
        <f t="shared" si="8"/>
        <v>2.0312721381390374E-6</v>
      </c>
      <c r="J60" s="217">
        <f t="shared" si="9"/>
        <v>0.55809030161238049</v>
      </c>
      <c r="K60" s="195">
        <f t="shared" si="2"/>
        <v>0.5581794413604737</v>
      </c>
      <c r="M60" s="218">
        <f t="shared" si="10"/>
        <v>0.5581794413604737</v>
      </c>
      <c r="N60" s="218">
        <f>Calculations!F70</f>
        <v>0.93900000000000006</v>
      </c>
      <c r="O60" s="219">
        <f>Spectra!$C$10*$A60</f>
        <v>2718423184424.8828</v>
      </c>
      <c r="P60" s="219">
        <f t="shared" si="11"/>
        <v>1424808490461.3589</v>
      </c>
      <c r="Q60" s="218">
        <f t="shared" si="14"/>
        <v>2.7439804662745596E-2</v>
      </c>
    </row>
    <row r="61" spans="1:17" x14ac:dyDescent="0.25">
      <c r="A61" s="214">
        <v>545</v>
      </c>
      <c r="C61" s="215">
        <f t="shared" si="12"/>
        <v>0.91376146788990831</v>
      </c>
      <c r="D61" s="216">
        <f t="shared" si="4"/>
        <v>0.10351347147399763</v>
      </c>
      <c r="E61" s="216">
        <f t="shared" si="5"/>
        <v>1.2594547624340555</v>
      </c>
      <c r="F61" s="217">
        <f t="shared" si="6"/>
        <v>5.8744712592096689E-2</v>
      </c>
      <c r="G61" s="216">
        <f t="shared" si="13"/>
        <v>2.0957129465001501</v>
      </c>
      <c r="H61" s="216">
        <f t="shared" si="7"/>
        <v>0.47716458576543341</v>
      </c>
      <c r="I61" s="217">
        <f t="shared" si="8"/>
        <v>1.0997613268356953E-6</v>
      </c>
      <c r="J61" s="217">
        <f t="shared" si="9"/>
        <v>0.47716568552676025</v>
      </c>
      <c r="K61" s="195">
        <f t="shared" si="2"/>
        <v>0.47724189976822562</v>
      </c>
      <c r="M61" s="218">
        <f t="shared" si="10"/>
        <v>0.47724189976822562</v>
      </c>
      <c r="N61" s="218">
        <f>Calculations!F71</f>
        <v>0.94197760968781497</v>
      </c>
      <c r="O61" s="219">
        <f>Spectra!$C$10*$A61</f>
        <v>2743593769465.854</v>
      </c>
      <c r="P61" s="219">
        <f t="shared" si="11"/>
        <v>1233385827441.4824</v>
      </c>
      <c r="Q61" s="218">
        <f t="shared" si="14"/>
        <v>2.375327379459561E-2</v>
      </c>
    </row>
    <row r="62" spans="1:17" x14ac:dyDescent="0.25">
      <c r="A62" s="214">
        <v>550</v>
      </c>
      <c r="C62" s="215">
        <f t="shared" si="12"/>
        <v>0.9054545454545454</v>
      </c>
      <c r="D62" s="216">
        <f t="shared" si="4"/>
        <v>0.1846928651664882</v>
      </c>
      <c r="E62" s="216">
        <f t="shared" si="5"/>
        <v>1.5892667196945951</v>
      </c>
      <c r="F62" s="217">
        <f t="shared" si="6"/>
        <v>5.1905668624255517E-2</v>
      </c>
      <c r="G62" s="216">
        <f t="shared" si="13"/>
        <v>2.4998652534853387</v>
      </c>
      <c r="H62" s="216">
        <f t="shared" si="7"/>
        <v>0.40002156060443234</v>
      </c>
      <c r="I62" s="217">
        <f t="shared" si="8"/>
        <v>5.8620951018061885E-7</v>
      </c>
      <c r="J62" s="217">
        <f t="shared" si="9"/>
        <v>0.40002214681394249</v>
      </c>
      <c r="K62" s="195">
        <f t="shared" si="2"/>
        <v>0.40008603947306176</v>
      </c>
      <c r="M62" s="218">
        <f t="shared" si="10"/>
        <v>0.40008603947306176</v>
      </c>
      <c r="N62" s="218">
        <f>Calculations!F72</f>
        <v>0.94499999999999995</v>
      </c>
      <c r="O62" s="219">
        <f>Spectra!$C$10*$A62</f>
        <v>2768764354506.8252</v>
      </c>
      <c r="P62" s="219">
        <f t="shared" si="11"/>
        <v>1046818046763.2388</v>
      </c>
      <c r="Q62" s="218">
        <f t="shared" si="14"/>
        <v>2.0160241122172882E-2</v>
      </c>
    </row>
    <row r="63" spans="1:17" x14ac:dyDescent="0.25">
      <c r="A63" s="214">
        <v>555</v>
      </c>
      <c r="C63" s="215">
        <f t="shared" si="12"/>
        <v>0.89729729729729735</v>
      </c>
      <c r="D63" s="216">
        <f t="shared" si="4"/>
        <v>0.32611642636883059</v>
      </c>
      <c r="E63" s="216">
        <f t="shared" si="5"/>
        <v>1.9970591544963792</v>
      </c>
      <c r="F63" s="217">
        <f t="shared" si="6"/>
        <v>4.5965219317747164E-2</v>
      </c>
      <c r="G63" s="216">
        <f t="shared" si="13"/>
        <v>3.043140800182957</v>
      </c>
      <c r="H63" s="216">
        <f t="shared" si="7"/>
        <v>0.32860786459170044</v>
      </c>
      <c r="I63" s="217">
        <f t="shared" si="8"/>
        <v>3.0763189454409066E-7</v>
      </c>
      <c r="J63" s="217">
        <f t="shared" si="9"/>
        <v>0.32860817222359501</v>
      </c>
      <c r="K63" s="195">
        <f t="shared" si="2"/>
        <v>0.32866065844241793</v>
      </c>
      <c r="M63" s="218">
        <f t="shared" si="10"/>
        <v>0.32866065844241793</v>
      </c>
      <c r="N63" s="218">
        <f>Calculations!F73</f>
        <v>0.94763131253477395</v>
      </c>
      <c r="O63" s="219">
        <f>Spectra!$C$10*$A63</f>
        <v>2793934939547.7959</v>
      </c>
      <c r="P63" s="219">
        <f t="shared" si="11"/>
        <v>870168609379.18799</v>
      </c>
      <c r="Q63" s="218">
        <f t="shared" si="14"/>
        <v>1.6758221771465118E-2</v>
      </c>
    </row>
    <row r="64" spans="1:17" x14ac:dyDescent="0.25">
      <c r="A64" s="214">
        <v>560</v>
      </c>
      <c r="C64" s="215">
        <f t="shared" si="12"/>
        <v>0.88928571428571423</v>
      </c>
      <c r="D64" s="216">
        <f t="shared" si="4"/>
        <v>0.57001449459358855</v>
      </c>
      <c r="E64" s="216">
        <f t="shared" si="5"/>
        <v>2.4992732759606588</v>
      </c>
      <c r="F64" s="217">
        <f t="shared" si="6"/>
        <v>4.0793078476677742E-2</v>
      </c>
      <c r="G64" s="216">
        <f t="shared" si="13"/>
        <v>3.784080849030925</v>
      </c>
      <c r="H64" s="216">
        <f t="shared" si="7"/>
        <v>0.26426496681647077</v>
      </c>
      <c r="I64" s="217">
        <f t="shared" si="8"/>
        <v>1.5894026928669793E-7</v>
      </c>
      <c r="J64" s="217">
        <f t="shared" si="9"/>
        <v>0.26426512575674005</v>
      </c>
      <c r="K64" s="195">
        <f t="shared" si="2"/>
        <v>0.26430733492373637</v>
      </c>
      <c r="M64" s="218">
        <f t="shared" si="10"/>
        <v>0.26430733492373637</v>
      </c>
      <c r="N64" s="218">
        <f>Calculations!F74</f>
        <v>0.95</v>
      </c>
      <c r="O64" s="219">
        <f>Spectra!$C$10*$A64</f>
        <v>2819105524588.7671</v>
      </c>
      <c r="P64" s="219">
        <f t="shared" si="11"/>
        <v>707854754669.19678</v>
      </c>
      <c r="Q64" s="218">
        <f t="shared" si="14"/>
        <v>1.3632285551182453E-2</v>
      </c>
    </row>
    <row r="65" spans="1:17" x14ac:dyDescent="0.25">
      <c r="A65" s="214">
        <v>565</v>
      </c>
      <c r="C65" s="215">
        <f t="shared" si="12"/>
        <v>0.88141592920353984</v>
      </c>
      <c r="D65" s="216">
        <f t="shared" si="4"/>
        <v>0.98652218109193557</v>
      </c>
      <c r="E65" s="216">
        <f t="shared" si="5"/>
        <v>3.1153888699122994</v>
      </c>
      <c r="F65" s="217">
        <f t="shared" si="6"/>
        <v>3.6279492042484977E-2</v>
      </c>
      <c r="G65" s="216">
        <f t="shared" si="13"/>
        <v>4.8121905430467207</v>
      </c>
      <c r="H65" s="216">
        <f t="shared" si="7"/>
        <v>0.20780557026049815</v>
      </c>
      <c r="I65" s="217">
        <f t="shared" si="8"/>
        <v>8.084638640916291E-8</v>
      </c>
      <c r="J65" s="217">
        <f t="shared" si="9"/>
        <v>0.20780565110688456</v>
      </c>
      <c r="K65" s="195">
        <f t="shared" si="2"/>
        <v>0.2078388424082537</v>
      </c>
      <c r="M65" s="218">
        <f t="shared" si="10"/>
        <v>0.2078388424082537</v>
      </c>
      <c r="N65" s="218">
        <f>Calculations!F75</f>
        <v>0.95237214017309002</v>
      </c>
      <c r="O65" s="219">
        <f>Spectra!$C$10*$A65</f>
        <v>2844276109629.7383</v>
      </c>
      <c r="P65" s="219">
        <f t="shared" si="11"/>
        <v>562995794572.98181</v>
      </c>
      <c r="Q65" s="218">
        <f t="shared" si="14"/>
        <v>1.084250601568747E-2</v>
      </c>
    </row>
    <row r="66" spans="1:17" x14ac:dyDescent="0.25">
      <c r="A66" s="214">
        <v>570</v>
      </c>
      <c r="C66" s="215">
        <f t="shared" si="12"/>
        <v>0.87368421052631584</v>
      </c>
      <c r="D66" s="216">
        <f t="shared" si="4"/>
        <v>1.6910190285044844</v>
      </c>
      <c r="E66" s="216">
        <f t="shared" si="5"/>
        <v>3.868404334167407</v>
      </c>
      <c r="F66" s="217">
        <f t="shared" si="6"/>
        <v>3.2331759578610765E-2</v>
      </c>
      <c r="G66" s="216">
        <f t="shared" si="13"/>
        <v>6.2657551222505026</v>
      </c>
      <c r="H66" s="216">
        <f t="shared" si="7"/>
        <v>0.15959768303885213</v>
      </c>
      <c r="I66" s="217">
        <f t="shared" si="8"/>
        <v>4.0486605473883488E-8</v>
      </c>
      <c r="J66" s="217">
        <f t="shared" si="9"/>
        <v>0.15959772352545762</v>
      </c>
      <c r="K66" s="195">
        <f t="shared" si="2"/>
        <v>0.15962321492143816</v>
      </c>
      <c r="M66" s="218">
        <f t="shared" si="10"/>
        <v>0.15962321492143816</v>
      </c>
      <c r="N66" s="218">
        <f>Calculations!F76</f>
        <v>0.95499999999999996</v>
      </c>
      <c r="O66" s="219">
        <f>Spectra!$C$10*$A66</f>
        <v>2869446694670.7095</v>
      </c>
      <c r="P66" s="219">
        <f t="shared" si="11"/>
        <v>437418942658.82654</v>
      </c>
      <c r="Q66" s="218">
        <f t="shared" si="14"/>
        <v>8.424072724648346E-3</v>
      </c>
    </row>
    <row r="67" spans="1:17" x14ac:dyDescent="0.25">
      <c r="A67" s="214">
        <v>575</v>
      </c>
      <c r="C67" s="215">
        <f t="shared" si="12"/>
        <v>0.86608695652173917</v>
      </c>
      <c r="D67" s="216">
        <f t="shared" si="4"/>
        <v>2.8715728952780801</v>
      </c>
      <c r="E67" s="216">
        <f t="shared" si="5"/>
        <v>4.7853789510522011</v>
      </c>
      <c r="F67" s="217">
        <f t="shared" si="6"/>
        <v>2.8871383988254597E-2</v>
      </c>
      <c r="G67" s="216">
        <f t="shared" si="13"/>
        <v>8.3598232303185362</v>
      </c>
      <c r="H67" s="216">
        <f t="shared" si="7"/>
        <v>0.11961975420404873</v>
      </c>
      <c r="I67" s="217">
        <f t="shared" si="8"/>
        <v>1.9961179609639963E-8</v>
      </c>
      <c r="J67" s="217">
        <f t="shared" si="9"/>
        <v>0.11961977416522834</v>
      </c>
      <c r="K67" s="195">
        <f t="shared" si="2"/>
        <v>0.11963888017102212</v>
      </c>
      <c r="M67" s="218">
        <f t="shared" si="10"/>
        <v>0.11963888017102212</v>
      </c>
      <c r="N67" s="218">
        <f>Calculations!F77</f>
        <v>0.95800512677286409</v>
      </c>
      <c r="O67" s="219">
        <f>Spectra!$C$10*$A67</f>
        <v>2894617279711.6807</v>
      </c>
      <c r="P67" s="219">
        <f t="shared" si="11"/>
        <v>331765576980.32715</v>
      </c>
      <c r="Q67" s="218">
        <f t="shared" si="14"/>
        <v>6.3893377159869999E-3</v>
      </c>
    </row>
    <row r="68" spans="1:17" x14ac:dyDescent="0.25">
      <c r="A68" s="214">
        <v>580</v>
      </c>
      <c r="C68" s="215">
        <f t="shared" si="12"/>
        <v>0.85862068965517246</v>
      </c>
      <c r="D68" s="216">
        <f t="shared" si="4"/>
        <v>4.8319916249478529</v>
      </c>
      <c r="E68" s="216">
        <f t="shared" si="5"/>
        <v>5.8980435230483765</v>
      </c>
      <c r="F68" s="217">
        <f t="shared" si="6"/>
        <v>2.5831729317918977E-2</v>
      </c>
      <c r="G68" s="216">
        <f t="shared" si="13"/>
        <v>11.429866877314147</v>
      </c>
      <c r="H68" s="216">
        <f t="shared" si="7"/>
        <v>8.749008284469062E-2</v>
      </c>
      <c r="I68" s="217">
        <f t="shared" si="8"/>
        <v>9.6891375940839951E-9</v>
      </c>
      <c r="J68" s="217">
        <f t="shared" si="9"/>
        <v>8.7490092533828209E-2</v>
      </c>
      <c r="K68" s="195">
        <f t="shared" si="2"/>
        <v>8.7504066696766691E-2</v>
      </c>
      <c r="M68" s="218">
        <f t="shared" si="10"/>
        <v>8.7504066696766691E-2</v>
      </c>
      <c r="N68" s="218">
        <f>Calculations!F78</f>
        <v>0.96099999999999997</v>
      </c>
      <c r="O68" s="219">
        <f>Spectra!$C$10*$A68</f>
        <v>2919787864752.6519</v>
      </c>
      <c r="P68" s="219">
        <f t="shared" si="11"/>
        <v>245529072887.47473</v>
      </c>
      <c r="Q68" s="218">
        <f t="shared" si="14"/>
        <v>4.728544112532468E-3</v>
      </c>
    </row>
    <row r="69" spans="1:17" x14ac:dyDescent="0.25">
      <c r="A69" s="214">
        <v>585</v>
      </c>
      <c r="C69" s="215">
        <f t="shared" si="12"/>
        <v>0.85128205128205126</v>
      </c>
      <c r="D69" s="216">
        <f t="shared" si="4"/>
        <v>8.0587771124795751</v>
      </c>
      <c r="E69" s="216">
        <f t="shared" si="5"/>
        <v>7.2434858686913417</v>
      </c>
      <c r="F69" s="217">
        <f t="shared" si="6"/>
        <v>2.3156090699171676E-2</v>
      </c>
      <c r="G69" s="216">
        <f t="shared" si="13"/>
        <v>15.999419071870086</v>
      </c>
      <c r="H69" s="216">
        <f t="shared" si="7"/>
        <v>6.2502269332902427E-2</v>
      </c>
      <c r="I69" s="217">
        <f t="shared" si="8"/>
        <v>4.6302893188143359E-9</v>
      </c>
      <c r="J69" s="217">
        <f t="shared" si="9"/>
        <v>6.2502273963191746E-2</v>
      </c>
      <c r="K69" s="195">
        <f t="shared" si="2"/>
        <v>6.2512257001671775E-2</v>
      </c>
      <c r="M69" s="218">
        <f t="shared" si="10"/>
        <v>6.2512257001671775E-2</v>
      </c>
      <c r="N69" s="218">
        <f>Calculations!F79</f>
        <v>0.96360735273545206</v>
      </c>
      <c r="O69" s="219">
        <f>Spectra!$C$10*$A69</f>
        <v>2944958449793.623</v>
      </c>
      <c r="P69" s="219">
        <f t="shared" si="11"/>
        <v>177396258701.11789</v>
      </c>
      <c r="Q69" s="218">
        <f t="shared" si="14"/>
        <v>3.4164020773657594E-3</v>
      </c>
    </row>
    <row r="70" spans="1:17" x14ac:dyDescent="0.25">
      <c r="A70" s="214">
        <v>590</v>
      </c>
      <c r="C70" s="215">
        <f t="shared" si="12"/>
        <v>0.84406779661016951</v>
      </c>
      <c r="D70" s="216">
        <f t="shared" si="4"/>
        <v>13.324379103688297</v>
      </c>
      <c r="E70" s="216">
        <f t="shared" si="5"/>
        <v>8.8649180469030409</v>
      </c>
      <c r="F70" s="217">
        <f t="shared" si="6"/>
        <v>2.0796099570492152E-2</v>
      </c>
      <c r="G70" s="216">
        <f t="shared" si="13"/>
        <v>22.884093250161829</v>
      </c>
      <c r="H70" s="216">
        <f t="shared" si="7"/>
        <v>4.3698476014247506E-2</v>
      </c>
      <c r="I70" s="217">
        <f t="shared" si="8"/>
        <v>2.1784882278163112E-9</v>
      </c>
      <c r="J70" s="217">
        <f t="shared" si="9"/>
        <v>4.3698478192735736E-2</v>
      </c>
      <c r="K70" s="195">
        <f t="shared" si="2"/>
        <v>4.3705457836221567E-2</v>
      </c>
      <c r="M70" s="218">
        <f t="shared" si="10"/>
        <v>4.3705457836221567E-2</v>
      </c>
      <c r="N70" s="218">
        <f>Calculations!F80</f>
        <v>0.96599999999999997</v>
      </c>
      <c r="O70" s="219">
        <f>Spectra!$C$10*$A70</f>
        <v>2970129034834.5942</v>
      </c>
      <c r="P70" s="219">
        <f t="shared" si="11"/>
        <v>125397280423.89738</v>
      </c>
      <c r="Q70" s="218">
        <f t="shared" si="14"/>
        <v>2.4149749970658204E-3</v>
      </c>
    </row>
    <row r="71" spans="1:17" x14ac:dyDescent="0.25">
      <c r="A71" s="214">
        <v>595</v>
      </c>
      <c r="C71" s="215">
        <f t="shared" si="12"/>
        <v>0.83697478991596641</v>
      </c>
      <c r="D71" s="216">
        <f t="shared" si="4"/>
        <v>21.845128379132809</v>
      </c>
      <c r="E71" s="216">
        <f t="shared" si="5"/>
        <v>10.812532546700567</v>
      </c>
      <c r="F71" s="217">
        <f t="shared" si="6"/>
        <v>1.8710402427315705E-2</v>
      </c>
      <c r="G71" s="216">
        <f t="shared" si="13"/>
        <v>33.350371328260692</v>
      </c>
      <c r="H71" s="216">
        <f t="shared" si="7"/>
        <v>2.9984673638479471E-2</v>
      </c>
      <c r="I71" s="217">
        <f t="shared" si="8"/>
        <v>1.0090818405186306E-9</v>
      </c>
      <c r="J71" s="217">
        <f t="shared" si="9"/>
        <v>2.9984674647561309E-2</v>
      </c>
      <c r="K71" s="195">
        <f t="shared" si="2"/>
        <v>2.9989463883885643E-2</v>
      </c>
      <c r="M71" s="218">
        <f t="shared" si="10"/>
        <v>2.9989463883885643E-2</v>
      </c>
      <c r="N71" s="218">
        <f>Calculations!F81</f>
        <v>0.96844046228532799</v>
      </c>
      <c r="O71" s="219">
        <f>Spectra!$C$10*$A71</f>
        <v>2995299619875.5654</v>
      </c>
      <c r="P71" s="219">
        <f t="shared" si="11"/>
        <v>86992517613.983444</v>
      </c>
      <c r="Q71" s="218">
        <f t="shared" si="14"/>
        <v>1.6753533590154435E-3</v>
      </c>
    </row>
    <row r="72" spans="1:17" x14ac:dyDescent="0.25">
      <c r="A72" s="214">
        <v>600</v>
      </c>
      <c r="C72" s="215">
        <f t="shared" si="12"/>
        <v>0.83</v>
      </c>
      <c r="D72" s="216">
        <f t="shared" si="4"/>
        <v>35.520883685544895</v>
      </c>
      <c r="E72" s="216">
        <f t="shared" si="5"/>
        <v>13.144455043496215</v>
      </c>
      <c r="F72" s="217">
        <f t="shared" si="6"/>
        <v>1.6863563339746691E-2</v>
      </c>
      <c r="G72" s="216">
        <f t="shared" si="13"/>
        <v>49.356202292380857</v>
      </c>
      <c r="H72" s="216">
        <f t="shared" si="7"/>
        <v>2.0260878137991798E-2</v>
      </c>
      <c r="I72" s="217">
        <f t="shared" si="8"/>
        <v>4.6017354521312737E-10</v>
      </c>
      <c r="J72" s="217">
        <f t="shared" si="9"/>
        <v>2.0260878598165343E-2</v>
      </c>
      <c r="K72" s="195">
        <f t="shared" si="2"/>
        <v>2.0264114722515058E-2</v>
      </c>
      <c r="M72" s="218">
        <f t="shared" si="10"/>
        <v>2.0264114722515058E-2</v>
      </c>
      <c r="N72" s="218">
        <f>Calculations!F82</f>
        <v>0.97099999999999997</v>
      </c>
      <c r="O72" s="219">
        <f>Spectra!$C$10*$A72</f>
        <v>3020470204916.5361</v>
      </c>
      <c r="P72" s="219">
        <f t="shared" si="11"/>
        <v>59432147260.664597</v>
      </c>
      <c r="Q72" s="218">
        <f t="shared" si="14"/>
        <v>1.1445794451941434E-3</v>
      </c>
    </row>
    <row r="73" spans="1:17" x14ac:dyDescent="0.25">
      <c r="A73" s="214">
        <v>605</v>
      </c>
      <c r="C73" s="215">
        <f t="shared" si="12"/>
        <v>0.82314049586776861</v>
      </c>
      <c r="D73" s="216">
        <f t="shared" si="4"/>
        <v>57.295852240076812</v>
      </c>
      <c r="E73" s="216">
        <f t="shared" si="5"/>
        <v>15.927801680760282</v>
      </c>
      <c r="F73" s="217">
        <f t="shared" si="6"/>
        <v>1.5225150025086643E-2</v>
      </c>
      <c r="G73" s="216">
        <f t="shared" si="13"/>
        <v>73.912879070862189</v>
      </c>
      <c r="H73" s="216">
        <f t="shared" si="7"/>
        <v>1.3529441858722268E-2</v>
      </c>
      <c r="I73" s="217">
        <f t="shared" si="8"/>
        <v>2.0660507702994685E-10</v>
      </c>
      <c r="J73" s="217">
        <f t="shared" si="9"/>
        <v>1.3529442065327345E-2</v>
      </c>
      <c r="K73" s="195">
        <f t="shared" si="2"/>
        <v>1.3531603025756258E-2</v>
      </c>
      <c r="M73" s="218">
        <f t="shared" si="10"/>
        <v>1.3531603025756258E-2</v>
      </c>
      <c r="N73" s="218">
        <f>Calculations!F83</f>
        <v>0.97363079812323805</v>
      </c>
      <c r="O73" s="219">
        <f>Spectra!$C$10*$A73</f>
        <v>3045640789957.5073</v>
      </c>
      <c r="P73" s="219">
        <f t="shared" si="11"/>
        <v>40125663977.196236</v>
      </c>
      <c r="Q73" s="218">
        <f t="shared" si="14"/>
        <v>7.7276377061783982E-4</v>
      </c>
    </row>
    <row r="74" spans="1:17" x14ac:dyDescent="0.25">
      <c r="A74" s="214">
        <v>610</v>
      </c>
      <c r="C74" s="215">
        <f t="shared" si="12"/>
        <v>0.81639344262295077</v>
      </c>
      <c r="D74" s="216">
        <f t="shared" si="4"/>
        <v>91.697750284271592</v>
      </c>
      <c r="E74" s="216">
        <f t="shared" si="5"/>
        <v>19.239849184384418</v>
      </c>
      <c r="F74" s="217">
        <f t="shared" si="6"/>
        <v>1.3768970886882878E-2</v>
      </c>
      <c r="G74" s="216">
        <f t="shared" si="13"/>
        <v>111.6253684395429</v>
      </c>
      <c r="H74" s="216">
        <f t="shared" si="7"/>
        <v>8.9585370599838798E-3</v>
      </c>
      <c r="I74" s="217">
        <f t="shared" si="8"/>
        <v>9.1323892695834437E-11</v>
      </c>
      <c r="J74" s="217">
        <f t="shared" si="9"/>
        <v>8.9585371513077727E-3</v>
      </c>
      <c r="K74" s="195">
        <f t="shared" si="2"/>
        <v>8.9599680339850808E-3</v>
      </c>
      <c r="M74" s="218">
        <f t="shared" si="10"/>
        <v>8.9599680339850808E-3</v>
      </c>
      <c r="N74" s="218">
        <f>Calculations!F84</f>
        <v>0.97599999999999998</v>
      </c>
      <c r="O74" s="219">
        <f>Spectra!$C$10*$A74</f>
        <v>3070811374998.4785</v>
      </c>
      <c r="P74" s="219">
        <f t="shared" si="11"/>
        <v>26854026836.182922</v>
      </c>
      <c r="Q74" s="218">
        <f t="shared" si="14"/>
        <v>5.1717073257640835E-4</v>
      </c>
    </row>
    <row r="75" spans="1:17" x14ac:dyDescent="0.25">
      <c r="A75" s="214">
        <v>615</v>
      </c>
      <c r="C75" s="215">
        <f t="shared" si="12"/>
        <v>0.80975609756097566</v>
      </c>
      <c r="D75" s="216">
        <f t="shared" si="4"/>
        <v>145.63752021491203</v>
      </c>
      <c r="E75" s="216">
        <f t="shared" si="5"/>
        <v>23.169326454377462</v>
      </c>
      <c r="F75" s="217">
        <f t="shared" si="6"/>
        <v>1.2472436538679755E-2</v>
      </c>
      <c r="G75" s="216">
        <f t="shared" si="13"/>
        <v>169.49331910582816</v>
      </c>
      <c r="H75" s="216">
        <f t="shared" si="7"/>
        <v>5.8999375625868799E-3</v>
      </c>
      <c r="I75" s="217">
        <f t="shared" si="8"/>
        <v>3.9742201850074381E-11</v>
      </c>
      <c r="J75" s="217">
        <f t="shared" si="9"/>
        <v>5.8999376023290816E-3</v>
      </c>
      <c r="K75" s="195">
        <f t="shared" si="2"/>
        <v>5.9008799569088295E-3</v>
      </c>
      <c r="M75" s="218">
        <f t="shared" si="10"/>
        <v>5.9008799569088295E-3</v>
      </c>
      <c r="N75" s="218">
        <f>Calculations!F85</f>
        <v>0.97778634522172103</v>
      </c>
      <c r="O75" s="219">
        <f>Spectra!$C$10*$A75</f>
        <v>3095981960039.4497</v>
      </c>
      <c r="P75" s="219">
        <f t="shared" si="11"/>
        <v>17863196238.291523</v>
      </c>
      <c r="Q75" s="218">
        <f t="shared" si="14"/>
        <v>3.4401999897705173E-4</v>
      </c>
    </row>
    <row r="76" spans="1:17" x14ac:dyDescent="0.25">
      <c r="A76" s="214">
        <v>620</v>
      </c>
      <c r="C76" s="215">
        <f t="shared" ref="C76:C108" si="15">$C$4/A76</f>
        <v>0.8032258064516129</v>
      </c>
      <c r="D76" s="216">
        <f t="shared" si="4"/>
        <v>229.58701011059813</v>
      </c>
      <c r="E76" s="216">
        <f t="shared" si="5"/>
        <v>27.817836602274205</v>
      </c>
      <c r="F76" s="217">
        <f t="shared" si="6"/>
        <v>1.1316024235184574E-2</v>
      </c>
      <c r="G76" s="216">
        <f t="shared" ref="G76:G107" si="16">D76+E76+F76+$G$4</f>
        <v>258.09016273710745</v>
      </c>
      <c r="H76" s="216">
        <f t="shared" si="7"/>
        <v>3.8746149384182743E-3</v>
      </c>
      <c r="I76" s="217">
        <f t="shared" si="8"/>
        <v>1.7027211032121689E-11</v>
      </c>
      <c r="J76" s="217">
        <f t="shared" si="9"/>
        <v>3.8746149554454855E-3</v>
      </c>
      <c r="K76" s="195">
        <f t="shared" ref="K76:K107" si="17">IF(J76="","",J76/MAX(J$12:J$108))</f>
        <v>3.8752338198122173E-3</v>
      </c>
      <c r="M76" s="218">
        <f t="shared" si="10"/>
        <v>3.8752338198122173E-3</v>
      </c>
      <c r="N76" s="218">
        <f>Calculations!F86</f>
        <v>0.97900000000000009</v>
      </c>
      <c r="O76" s="219">
        <f>Spectra!$C$10*$A76</f>
        <v>3121152545080.4209</v>
      </c>
      <c r="P76" s="219">
        <f t="shared" si="11"/>
        <v>11841196785.599363</v>
      </c>
      <c r="Q76" s="218">
        <f t="shared" ref="Q76:Q107" si="18">P76/SUM(P$12:P$108)</f>
        <v>2.2804477159226296E-4</v>
      </c>
    </row>
    <row r="77" spans="1:17" x14ac:dyDescent="0.25">
      <c r="A77" s="214">
        <v>625</v>
      </c>
      <c r="C77" s="215">
        <f t="shared" si="15"/>
        <v>0.79679999999999995</v>
      </c>
      <c r="D77" s="216">
        <f t="shared" ref="D77:D108" si="19">EXP($D$7*($D$8-C77))</f>
        <v>359.301114632794</v>
      </c>
      <c r="E77" s="216">
        <f t="shared" ref="E77:E108" si="20">EXP($E$4*($E$5-C77))</f>
        <v>33.301418710573486</v>
      </c>
      <c r="F77" s="217">
        <f t="shared" ref="F77:F108" si="21">EXP($F$7*($F$8-C77))</f>
        <v>1.0282827583660325E-2</v>
      </c>
      <c r="G77" s="216">
        <f t="shared" si="16"/>
        <v>393.28681617095111</v>
      </c>
      <c r="H77" s="216">
        <f t="shared" ref="H77:H108" si="22">1/G77</f>
        <v>2.5426735880343548E-3</v>
      </c>
      <c r="I77" s="217">
        <f t="shared" ref="I77:I108" si="23">$I$4*(EXP(-(((A77-$C$5)/$I$5)^2)))</f>
        <v>7.1822281468698314E-12</v>
      </c>
      <c r="J77" s="217">
        <f t="shared" ref="J77:J108" si="24">IF(ISERROR(H77+I77),"",H77+I77)</f>
        <v>2.5426735952165831E-3</v>
      </c>
      <c r="K77" s="195">
        <f t="shared" si="17"/>
        <v>2.5430797181739359E-3</v>
      </c>
      <c r="M77" s="218">
        <f t="shared" ref="M77:M108" si="25">K77</f>
        <v>2.5430797181739359E-3</v>
      </c>
      <c r="N77" s="218">
        <f>Calculations!F87</f>
        <v>0.97984882098987991</v>
      </c>
      <c r="O77" s="219">
        <f>Spectra!$C$10*$A77</f>
        <v>3146323130121.3921</v>
      </c>
      <c r="P77" s="219">
        <f t="shared" ref="P77:P108" si="26">PRODUCT(M77:O77)</f>
        <v>7840113891.9984655</v>
      </c>
      <c r="Q77" s="218">
        <f t="shared" si="18"/>
        <v>1.509895506451226E-4</v>
      </c>
    </row>
    <row r="78" spans="1:17" x14ac:dyDescent="0.25">
      <c r="A78" s="214">
        <v>630</v>
      </c>
      <c r="C78" s="215">
        <f t="shared" si="15"/>
        <v>0.79047619047619044</v>
      </c>
      <c r="D78" s="216">
        <f t="shared" si="19"/>
        <v>558.31890873649559</v>
      </c>
      <c r="E78" s="216">
        <f t="shared" si="20"/>
        <v>39.752258880442007</v>
      </c>
      <c r="F78" s="217">
        <f t="shared" si="21"/>
        <v>9.3581770983946332E-3</v>
      </c>
      <c r="G78" s="216">
        <f t="shared" si="16"/>
        <v>598.754525794036</v>
      </c>
      <c r="H78" s="216">
        <f t="shared" si="22"/>
        <v>1.6701335136863539E-3</v>
      </c>
      <c r="I78" s="217">
        <f t="shared" si="23"/>
        <v>2.9826270940136435E-12</v>
      </c>
      <c r="J78" s="217">
        <f t="shared" si="24"/>
        <v>1.6701335166689811E-3</v>
      </c>
      <c r="K78" s="195">
        <f t="shared" si="17"/>
        <v>1.6704002750780194E-3</v>
      </c>
      <c r="M78" s="218">
        <f t="shared" si="25"/>
        <v>1.6704002750780194E-3</v>
      </c>
      <c r="N78" s="218">
        <f>Calculations!F88</f>
        <v>0.98099999999999998</v>
      </c>
      <c r="O78" s="219">
        <f>Spectra!$C$10*$A78</f>
        <v>3171493715162.3633</v>
      </c>
      <c r="P78" s="219">
        <f t="shared" si="26"/>
        <v>5197008358.705328</v>
      </c>
      <c r="Q78" s="218">
        <f t="shared" si="18"/>
        <v>1.0008706092659108E-4</v>
      </c>
    </row>
    <row r="79" spans="1:17" x14ac:dyDescent="0.25">
      <c r="A79" s="214">
        <v>635</v>
      </c>
      <c r="C79" s="215">
        <f t="shared" si="15"/>
        <v>0.78425196850393697</v>
      </c>
      <c r="D79" s="216">
        <f t="shared" si="19"/>
        <v>861.57196897410211</v>
      </c>
      <c r="E79" s="216">
        <f t="shared" si="20"/>
        <v>47.320560403648088</v>
      </c>
      <c r="F79" s="217">
        <f t="shared" si="21"/>
        <v>8.5293197441630702E-3</v>
      </c>
      <c r="G79" s="216">
        <f t="shared" si="16"/>
        <v>909.57505869749434</v>
      </c>
      <c r="H79" s="216">
        <f t="shared" si="22"/>
        <v>1.0994144907974868E-3</v>
      </c>
      <c r="I79" s="217">
        <f t="shared" si="23"/>
        <v>1.2194466496354598E-12</v>
      </c>
      <c r="J79" s="217">
        <f t="shared" si="24"/>
        <v>1.0994144920169334E-3</v>
      </c>
      <c r="K79" s="195">
        <f t="shared" si="17"/>
        <v>1.0995900935828185E-3</v>
      </c>
      <c r="M79" s="218">
        <f t="shared" si="25"/>
        <v>1.0995900935828185E-3</v>
      </c>
      <c r="N79" s="218">
        <f>Calculations!F89</f>
        <v>0.98294337081876093</v>
      </c>
      <c r="O79" s="219">
        <f>Spectra!$C$10*$A79</f>
        <v>3196664300203.3345</v>
      </c>
      <c r="P79" s="219">
        <f t="shared" si="26"/>
        <v>3455065997.5370893</v>
      </c>
      <c r="Q79" s="218">
        <f t="shared" si="18"/>
        <v>6.6539704601713381E-5</v>
      </c>
    </row>
    <row r="80" spans="1:17" x14ac:dyDescent="0.25">
      <c r="A80" s="214">
        <v>640</v>
      </c>
      <c r="C80" s="215">
        <f t="shared" si="15"/>
        <v>0.77812499999999996</v>
      </c>
      <c r="D80" s="216">
        <f t="shared" si="19"/>
        <v>1320.5562077661066</v>
      </c>
      <c r="E80" s="216">
        <f t="shared" si="20"/>
        <v>56.176583142147564</v>
      </c>
      <c r="F80" s="217">
        <f t="shared" si="21"/>
        <v>7.7851477116260212E-3</v>
      </c>
      <c r="G80" s="216">
        <f t="shared" si="16"/>
        <v>1377.4145760559659</v>
      </c>
      <c r="H80" s="216">
        <f t="shared" si="22"/>
        <v>7.2599783491718252E-4</v>
      </c>
      <c r="I80" s="217">
        <f t="shared" si="23"/>
        <v>4.908521924228995E-13</v>
      </c>
      <c r="J80" s="217">
        <f t="shared" si="24"/>
        <v>7.2599783540803467E-4</v>
      </c>
      <c r="K80" s="195">
        <f t="shared" si="17"/>
        <v>7.2611379381830896E-4</v>
      </c>
      <c r="M80" s="218">
        <f t="shared" si="25"/>
        <v>7.2611379381830896E-4</v>
      </c>
      <c r="N80" s="218">
        <f>Calculations!F90</f>
        <v>0.98499999999999999</v>
      </c>
      <c r="O80" s="219">
        <f>Spectra!$C$10*$A80</f>
        <v>3221834885244.3057</v>
      </c>
      <c r="P80" s="219">
        <f t="shared" si="26"/>
        <v>2304327470.3072052</v>
      </c>
      <c r="Q80" s="218">
        <f t="shared" si="18"/>
        <v>4.4378101399265369E-5</v>
      </c>
    </row>
    <row r="81" spans="1:17" x14ac:dyDescent="0.25">
      <c r="A81" s="214">
        <v>645</v>
      </c>
      <c r="C81" s="215">
        <f t="shared" si="15"/>
        <v>0.77209302325581397</v>
      </c>
      <c r="D81" s="216">
        <f t="shared" si="19"/>
        <v>2010.6977405518435</v>
      </c>
      <c r="E81" s="216">
        <f t="shared" si="20"/>
        <v>66.512862421927863</v>
      </c>
      <c r="F81" s="217">
        <f t="shared" si="21"/>
        <v>7.1159683743615646E-3</v>
      </c>
      <c r="G81" s="216">
        <f t="shared" si="16"/>
        <v>2077.8917189421459</v>
      </c>
      <c r="H81" s="216">
        <f t="shared" si="22"/>
        <v>4.8125703128991713E-4</v>
      </c>
      <c r="I81" s="217">
        <f t="shared" si="23"/>
        <v>1.9451932307697931E-13</v>
      </c>
      <c r="J81" s="217">
        <f t="shared" si="24"/>
        <v>4.8125703148443644E-4</v>
      </c>
      <c r="K81" s="195">
        <f t="shared" si="17"/>
        <v>4.8133389920715201E-4</v>
      </c>
      <c r="M81" s="218">
        <f t="shared" si="25"/>
        <v>4.8133389920715201E-4</v>
      </c>
      <c r="N81" s="218">
        <f>Calculations!F91</f>
        <v>0.98650269573507798</v>
      </c>
      <c r="O81" s="219">
        <f>Spectra!$C$10*$A81</f>
        <v>3247005470285.2764</v>
      </c>
      <c r="P81" s="219">
        <f t="shared" si="26"/>
        <v>1541798950.556263</v>
      </c>
      <c r="Q81" s="218">
        <f t="shared" si="18"/>
        <v>2.9692876141404056E-5</v>
      </c>
    </row>
    <row r="82" spans="1:17" x14ac:dyDescent="0.25">
      <c r="A82" s="214">
        <v>650</v>
      </c>
      <c r="C82" s="215">
        <f t="shared" si="15"/>
        <v>0.76615384615384619</v>
      </c>
      <c r="D82" s="216">
        <f t="shared" si="19"/>
        <v>3041.7786922280293</v>
      </c>
      <c r="E82" s="216">
        <f t="shared" si="20"/>
        <v>78.546617944728823</v>
      </c>
      <c r="F82" s="217">
        <f t="shared" si="21"/>
        <v>6.5133087698274836E-3</v>
      </c>
      <c r="G82" s="216">
        <f t="shared" si="16"/>
        <v>3121.0058234815278</v>
      </c>
      <c r="H82" s="216">
        <f t="shared" si="22"/>
        <v>3.2040952710702899E-4</v>
      </c>
      <c r="I82" s="217">
        <f t="shared" si="23"/>
        <v>7.5892498043812865E-14</v>
      </c>
      <c r="J82" s="217">
        <f t="shared" si="24"/>
        <v>3.2040952718292146E-4</v>
      </c>
      <c r="K82" s="195">
        <f t="shared" si="17"/>
        <v>3.2046070389116606E-4</v>
      </c>
      <c r="M82" s="218">
        <f t="shared" si="25"/>
        <v>3.2046070389116606E-4</v>
      </c>
      <c r="N82" s="218">
        <f>Calculations!F92</f>
        <v>0.98799999999999999</v>
      </c>
      <c r="O82" s="219">
        <f>Spectra!$C$10*$A82</f>
        <v>3272176055326.2476</v>
      </c>
      <c r="P82" s="219">
        <f t="shared" si="26"/>
        <v>1036020595.8423204</v>
      </c>
      <c r="Q82" s="218">
        <f t="shared" si="18"/>
        <v>1.9952297425803101E-5</v>
      </c>
    </row>
    <row r="83" spans="1:17" x14ac:dyDescent="0.25">
      <c r="A83" s="214">
        <v>655</v>
      </c>
      <c r="C83" s="215">
        <f t="shared" si="15"/>
        <v>0.7603053435114504</v>
      </c>
      <c r="D83" s="216">
        <f t="shared" si="19"/>
        <v>4572.6050467849045</v>
      </c>
      <c r="E83" s="216">
        <f t="shared" si="20"/>
        <v>92.522363390315832</v>
      </c>
      <c r="F83" s="217">
        <f t="shared" si="21"/>
        <v>5.9697490855654834E-3</v>
      </c>
      <c r="G83" s="216">
        <f t="shared" si="16"/>
        <v>4665.8073799243057</v>
      </c>
      <c r="H83" s="216">
        <f t="shared" si="22"/>
        <v>2.1432517859668333E-4</v>
      </c>
      <c r="I83" s="217">
        <f t="shared" si="23"/>
        <v>2.9151374098342063E-14</v>
      </c>
      <c r="J83" s="217">
        <f t="shared" si="24"/>
        <v>2.1432517862583471E-4</v>
      </c>
      <c r="K83" s="195">
        <f t="shared" si="17"/>
        <v>2.1435941124442267E-4</v>
      </c>
      <c r="M83" s="218">
        <f t="shared" si="25"/>
        <v>2.1435941124442267E-4</v>
      </c>
      <c r="N83" s="218">
        <f>Calculations!F93</f>
        <v>0.99004584624092695</v>
      </c>
      <c r="O83" s="219">
        <f>Spectra!$C$10*$A83</f>
        <v>3297346640367.2188</v>
      </c>
      <c r="P83" s="219">
        <f t="shared" si="26"/>
        <v>699781516.56842971</v>
      </c>
      <c r="Q83" s="218">
        <f t="shared" si="18"/>
        <v>1.3476806356635295E-5</v>
      </c>
    </row>
    <row r="84" spans="1:17" x14ac:dyDescent="0.25">
      <c r="A84" s="214">
        <v>660</v>
      </c>
      <c r="C84" s="215">
        <f t="shared" si="15"/>
        <v>0.75454545454545452</v>
      </c>
      <c r="D84" s="216">
        <f t="shared" si="19"/>
        <v>6831.5209505502071</v>
      </c>
      <c r="E84" s="216">
        <f t="shared" si="20"/>
        <v>108.71472752144152</v>
      </c>
      <c r="F84" s="217">
        <f t="shared" si="21"/>
        <v>5.4787805658042888E-3</v>
      </c>
      <c r="G84" s="216">
        <f t="shared" si="16"/>
        <v>6940.9151568522138</v>
      </c>
      <c r="H84" s="216">
        <f t="shared" si="22"/>
        <v>1.4407322051945549E-4</v>
      </c>
      <c r="I84" s="217">
        <f t="shared" si="23"/>
        <v>1.1024103895573152E-14</v>
      </c>
      <c r="J84" s="217">
        <f t="shared" si="24"/>
        <v>1.4407322053047961E-4</v>
      </c>
      <c r="K84" s="195">
        <f t="shared" si="17"/>
        <v>1.4409623230930458E-4</v>
      </c>
      <c r="M84" s="218">
        <f t="shared" si="25"/>
        <v>1.4409623230930458E-4</v>
      </c>
      <c r="N84" s="218">
        <f>Calculations!F94</f>
        <v>0.99199999999999999</v>
      </c>
      <c r="O84" s="219">
        <f>Spectra!$C$10*$A84</f>
        <v>3322517225408.1899</v>
      </c>
      <c r="P84" s="219">
        <f t="shared" si="26"/>
        <v>474932116.25237191</v>
      </c>
      <c r="Q84" s="218">
        <f t="shared" si="18"/>
        <v>9.1465236102078791E-6</v>
      </c>
    </row>
    <row r="85" spans="1:17" x14ac:dyDescent="0.25">
      <c r="A85" s="214">
        <v>665</v>
      </c>
      <c r="C85" s="215">
        <f t="shared" si="15"/>
        <v>0.7488721804511278</v>
      </c>
      <c r="D85" s="216">
        <f t="shared" si="19"/>
        <v>10144.934733828171</v>
      </c>
      <c r="E85" s="216">
        <f t="shared" si="20"/>
        <v>127.4314977119712</v>
      </c>
      <c r="F85" s="217">
        <f t="shared" si="21"/>
        <v>5.0346840210360204E-3</v>
      </c>
      <c r="G85" s="216">
        <f t="shared" si="16"/>
        <v>10273.045266224166</v>
      </c>
      <c r="H85" s="216">
        <f t="shared" si="22"/>
        <v>9.7342119506453579E-5</v>
      </c>
      <c r="I85" s="217">
        <f t="shared" si="23"/>
        <v>4.1044186133407605E-15</v>
      </c>
      <c r="J85" s="217">
        <f t="shared" si="24"/>
        <v>9.7342119510558002E-5</v>
      </c>
      <c r="K85" s="195">
        <f t="shared" si="17"/>
        <v>9.7357667266874428E-5</v>
      </c>
      <c r="M85" s="218">
        <f t="shared" si="25"/>
        <v>9.7357667266874428E-5</v>
      </c>
      <c r="N85" s="218">
        <f>Calculations!F95</f>
        <v>0.993188919301215</v>
      </c>
      <c r="O85" s="219">
        <f>Spectra!$C$10*$A85</f>
        <v>3347687810449.1611</v>
      </c>
      <c r="P85" s="219">
        <f t="shared" si="26"/>
        <v>323703187.59110004</v>
      </c>
      <c r="Q85" s="218">
        <f t="shared" si="18"/>
        <v>6.2340674523435331E-6</v>
      </c>
    </row>
    <row r="86" spans="1:17" x14ac:dyDescent="0.25">
      <c r="A86" s="214">
        <v>670</v>
      </c>
      <c r="C86" s="215">
        <f t="shared" si="15"/>
        <v>0.74328358208955225</v>
      </c>
      <c r="D86" s="216">
        <f t="shared" si="19"/>
        <v>14976.762687043685</v>
      </c>
      <c r="E86" s="216">
        <f t="shared" si="20"/>
        <v>149.01689689451302</v>
      </c>
      <c r="F86" s="217">
        <f t="shared" si="21"/>
        <v>4.6324257552352822E-3</v>
      </c>
      <c r="G86" s="216">
        <f t="shared" si="16"/>
        <v>15126.458216363953</v>
      </c>
      <c r="H86" s="216">
        <f t="shared" si="22"/>
        <v>6.6109328812886953E-5</v>
      </c>
      <c r="I86" s="217">
        <f t="shared" si="23"/>
        <v>1.5044719100916789E-15</v>
      </c>
      <c r="J86" s="217">
        <f t="shared" si="24"/>
        <v>6.6109328814391419E-5</v>
      </c>
      <c r="K86" s="195">
        <f t="shared" si="17"/>
        <v>6.6119887981787989E-5</v>
      </c>
      <c r="M86" s="218">
        <f t="shared" si="25"/>
        <v>6.6119887981787989E-5</v>
      </c>
      <c r="N86" s="218">
        <f>Calculations!F96</f>
        <v>0.99400000000000011</v>
      </c>
      <c r="O86" s="219">
        <f>Spectra!$C$10*$A86</f>
        <v>3372858395490.1323</v>
      </c>
      <c r="P86" s="219">
        <f t="shared" si="26"/>
        <v>221674941.17251128</v>
      </c>
      <c r="Q86" s="218">
        <f t="shared" si="18"/>
        <v>4.2691471345947141E-6</v>
      </c>
    </row>
    <row r="87" spans="1:17" x14ac:dyDescent="0.25">
      <c r="A87" s="214">
        <v>675</v>
      </c>
      <c r="C87" s="215">
        <f t="shared" si="15"/>
        <v>0.73777777777777775</v>
      </c>
      <c r="D87" s="216">
        <f t="shared" si="19"/>
        <v>21982.669793149838</v>
      </c>
      <c r="E87" s="216">
        <f t="shared" si="20"/>
        <v>173.85510496607844</v>
      </c>
      <c r="F87" s="217">
        <f t="shared" si="21"/>
        <v>4.2675682471933441E-3</v>
      </c>
      <c r="G87" s="216">
        <f t="shared" si="16"/>
        <v>22157.203165684165</v>
      </c>
      <c r="H87" s="216">
        <f t="shared" si="22"/>
        <v>4.5132049948828562E-5</v>
      </c>
      <c r="I87" s="217">
        <f t="shared" si="23"/>
        <v>5.4292595332655028E-16</v>
      </c>
      <c r="J87" s="217">
        <f t="shared" si="24"/>
        <v>4.513204994937149E-5</v>
      </c>
      <c r="K87" s="195">
        <f t="shared" si="17"/>
        <v>4.5139258566958632E-5</v>
      </c>
      <c r="M87" s="218">
        <f t="shared" si="25"/>
        <v>4.5139258566958632E-5</v>
      </c>
      <c r="N87" s="218">
        <f>Calculations!F97</f>
        <v>0.99494847655421392</v>
      </c>
      <c r="O87" s="219">
        <f>Spectra!$C$10*$A87</f>
        <v>3398028980531.1035</v>
      </c>
      <c r="P87" s="219">
        <f t="shared" si="26"/>
        <v>152609683.32793921</v>
      </c>
      <c r="Q87" s="218">
        <f t="shared" si="18"/>
        <v>2.9390475479312729E-6</v>
      </c>
    </row>
    <row r="88" spans="1:17" x14ac:dyDescent="0.25">
      <c r="A88" s="214">
        <v>680</v>
      </c>
      <c r="C88" s="215">
        <f t="shared" si="15"/>
        <v>0.73235294117647054</v>
      </c>
      <c r="D88" s="216">
        <f t="shared" si="19"/>
        <v>32084.25840115454</v>
      </c>
      <c r="E88" s="216">
        <f t="shared" si="20"/>
        <v>202.37403569777274</v>
      </c>
      <c r="F88" s="217">
        <f t="shared" si="21"/>
        <v>3.9361933541426407E-3</v>
      </c>
      <c r="G88" s="216">
        <f t="shared" si="16"/>
        <v>32287.310373045668</v>
      </c>
      <c r="H88" s="216">
        <f t="shared" si="22"/>
        <v>3.0971920189265049E-5</v>
      </c>
      <c r="I88" s="217">
        <f t="shared" si="23"/>
        <v>1.9289510452918359E-16</v>
      </c>
      <c r="J88" s="217">
        <f t="shared" si="24"/>
        <v>3.0971920189457942E-5</v>
      </c>
      <c r="K88" s="195">
        <f t="shared" si="17"/>
        <v>3.0976867111408876E-5</v>
      </c>
      <c r="M88" s="218">
        <f t="shared" si="25"/>
        <v>3.0976867111408876E-5</v>
      </c>
      <c r="N88" s="218">
        <f>Calculations!F98</f>
        <v>0.996</v>
      </c>
      <c r="O88" s="219">
        <f>Spectra!$C$10*$A88</f>
        <v>3423199565572.0747</v>
      </c>
      <c r="P88" s="219">
        <f t="shared" si="26"/>
        <v>105615838.04640453</v>
      </c>
      <c r="Q88" s="218">
        <f t="shared" si="18"/>
        <v>2.0340122793254166E-6</v>
      </c>
    </row>
    <row r="89" spans="1:17" x14ac:dyDescent="0.25">
      <c r="A89" s="214">
        <v>685</v>
      </c>
      <c r="C89" s="215">
        <f t="shared" si="15"/>
        <v>0.72700729927007302</v>
      </c>
      <c r="D89" s="216">
        <f t="shared" si="19"/>
        <v>46570.009372142347</v>
      </c>
      <c r="E89" s="216">
        <f t="shared" si="20"/>
        <v>235.0493801664027</v>
      </c>
      <c r="F89" s="217">
        <f t="shared" si="21"/>
        <v>3.6348361637762042E-3</v>
      </c>
      <c r="G89" s="216">
        <f t="shared" si="16"/>
        <v>46805.736387144912</v>
      </c>
      <c r="H89" s="216">
        <f t="shared" si="22"/>
        <v>2.1364902620667832E-5</v>
      </c>
      <c r="I89" s="217">
        <f t="shared" si="23"/>
        <v>6.7472358814011523E-17</v>
      </c>
      <c r="J89" s="217">
        <f t="shared" si="24"/>
        <v>2.1364902620735303E-5</v>
      </c>
      <c r="K89" s="195">
        <f t="shared" si="17"/>
        <v>2.1368315082898048E-5</v>
      </c>
      <c r="M89" s="218">
        <f t="shared" si="25"/>
        <v>2.1368315082898048E-5</v>
      </c>
      <c r="N89" s="218">
        <f>Calculations!F99</f>
        <v>0.99701717448192895</v>
      </c>
      <c r="O89" s="219">
        <f>Spectra!$C$10*$A89</f>
        <v>3448370150613.0454</v>
      </c>
      <c r="P89" s="219">
        <f t="shared" si="26"/>
        <v>73466067.837527156</v>
      </c>
      <c r="Q89" s="218">
        <f t="shared" si="18"/>
        <v>1.414852988522694E-6</v>
      </c>
    </row>
    <row r="90" spans="1:17" x14ac:dyDescent="0.25">
      <c r="A90" s="214">
        <v>690</v>
      </c>
      <c r="C90" s="215">
        <f t="shared" si="15"/>
        <v>0.72173913043478266</v>
      </c>
      <c r="D90" s="216">
        <f t="shared" si="19"/>
        <v>67231.919415766824</v>
      </c>
      <c r="E90" s="216">
        <f t="shared" si="20"/>
        <v>272.40892766151359</v>
      </c>
      <c r="F90" s="217">
        <f t="shared" si="21"/>
        <v>3.3604279181573401E-3</v>
      </c>
      <c r="G90" s="216">
        <f t="shared" si="16"/>
        <v>67505.005703856252</v>
      </c>
      <c r="H90" s="216">
        <f t="shared" si="22"/>
        <v>1.4813716250717606E-5</v>
      </c>
      <c r="I90" s="217">
        <f t="shared" si="23"/>
        <v>2.3235641368626375E-17</v>
      </c>
      <c r="J90" s="217">
        <f t="shared" si="24"/>
        <v>1.4813716250740842E-5</v>
      </c>
      <c r="K90" s="195">
        <f t="shared" si="17"/>
        <v>1.4816082339044293E-5</v>
      </c>
      <c r="M90" s="218">
        <f t="shared" si="25"/>
        <v>1.4816082339044293E-5</v>
      </c>
      <c r="N90" s="218">
        <f>Calculations!F100</f>
        <v>0.998</v>
      </c>
      <c r="O90" s="219">
        <f>Spectra!$C$10*$A90</f>
        <v>3473540735654.0166</v>
      </c>
      <c r="P90" s="219">
        <f t="shared" si="26"/>
        <v>51361337.016379446</v>
      </c>
      <c r="Q90" s="218">
        <f t="shared" si="18"/>
        <v>9.8914700774315636E-7</v>
      </c>
    </row>
    <row r="91" spans="1:17" x14ac:dyDescent="0.25">
      <c r="A91" s="214">
        <v>695</v>
      </c>
      <c r="C91" s="215">
        <f t="shared" si="15"/>
        <v>0.71654676258992811</v>
      </c>
      <c r="D91" s="216">
        <f t="shared" si="19"/>
        <v>96549.532310454844</v>
      </c>
      <c r="E91" s="216">
        <f t="shared" si="20"/>
        <v>315.03717492019808</v>
      </c>
      <c r="F91" s="217">
        <f t="shared" si="21"/>
        <v>3.1102466806173196E-3</v>
      </c>
      <c r="G91" s="216">
        <f t="shared" si="16"/>
        <v>96865.24659562172</v>
      </c>
      <c r="H91" s="216">
        <f t="shared" si="22"/>
        <v>1.0323620030356684E-5</v>
      </c>
      <c r="I91" s="217">
        <f t="shared" si="23"/>
        <v>7.8778466090857053E-18</v>
      </c>
      <c r="J91" s="217">
        <f t="shared" si="24"/>
        <v>1.0323620030364561E-5</v>
      </c>
      <c r="K91" s="195">
        <f t="shared" si="17"/>
        <v>1.0325268947907578E-5</v>
      </c>
      <c r="M91" s="218">
        <f t="shared" si="25"/>
        <v>1.0325268947907578E-5</v>
      </c>
      <c r="N91" s="218">
        <f>Calculations!F101</f>
        <v>0.99898282551807105</v>
      </c>
      <c r="O91" s="219">
        <f>Spectra!$C$10*$A91</f>
        <v>3498711320694.9878</v>
      </c>
      <c r="P91" s="219">
        <f t="shared" si="26"/>
        <v>36088389.79142303</v>
      </c>
      <c r="Q91" s="218">
        <f t="shared" si="18"/>
        <v>6.9501155635942372E-7</v>
      </c>
    </row>
    <row r="92" spans="1:17" x14ac:dyDescent="0.25">
      <c r="A92" s="214">
        <v>700</v>
      </c>
      <c r="C92" s="215">
        <f t="shared" si="15"/>
        <v>0.71142857142857141</v>
      </c>
      <c r="D92" s="216">
        <f t="shared" si="19"/>
        <v>137936.59027462962</v>
      </c>
      <c r="E92" s="216">
        <f t="shared" si="20"/>
        <v>363.5802344037686</v>
      </c>
      <c r="F92" s="217">
        <f t="shared" si="21"/>
        <v>2.8818746233073094E-3</v>
      </c>
      <c r="G92" s="216">
        <f t="shared" si="16"/>
        <v>138300.84739090802</v>
      </c>
      <c r="H92" s="216">
        <f t="shared" si="22"/>
        <v>7.2306136865054421E-6</v>
      </c>
      <c r="I92" s="217">
        <f t="shared" si="23"/>
        <v>2.6295683270554213E-18</v>
      </c>
      <c r="J92" s="217">
        <f t="shared" si="24"/>
        <v>7.2306136865080713E-6</v>
      </c>
      <c r="K92" s="195">
        <f t="shared" si="17"/>
        <v>7.2317685804037585E-6</v>
      </c>
      <c r="M92" s="218">
        <f t="shared" si="25"/>
        <v>7.2317685804037585E-6</v>
      </c>
      <c r="N92" s="218">
        <f>Calculations!F102</f>
        <v>1</v>
      </c>
      <c r="O92" s="219">
        <f>Spectra!$C$10*$A92</f>
        <v>3523881905735.959</v>
      </c>
      <c r="P92" s="219">
        <f t="shared" si="26"/>
        <v>25483898.446954627</v>
      </c>
      <c r="Q92" s="218">
        <f t="shared" si="18"/>
        <v>4.9078398964569139E-7</v>
      </c>
    </row>
    <row r="93" spans="1:17" x14ac:dyDescent="0.25">
      <c r="A93" s="214">
        <v>705</v>
      </c>
      <c r="C93" s="215">
        <f t="shared" si="15"/>
        <v>0.70638297872340428</v>
      </c>
      <c r="D93" s="216">
        <f t="shared" si="19"/>
        <v>196070.03176691916</v>
      </c>
      <c r="E93" s="216">
        <f t="shared" si="20"/>
        <v>418.75105215483529</v>
      </c>
      <c r="F93" s="217">
        <f t="shared" si="21"/>
        <v>2.6731609857489182E-3</v>
      </c>
      <c r="G93" s="216">
        <f t="shared" si="16"/>
        <v>196489.45949223498</v>
      </c>
      <c r="H93" s="216">
        <f t="shared" si="22"/>
        <v>5.0893315223329766E-6</v>
      </c>
      <c r="I93" s="217">
        <f t="shared" si="23"/>
        <v>8.6414273659750727E-19</v>
      </c>
      <c r="J93" s="217">
        <f t="shared" si="24"/>
        <v>5.0893315223338406E-6</v>
      </c>
      <c r="K93" s="195">
        <f t="shared" si="17"/>
        <v>5.0901444046372114E-6</v>
      </c>
      <c r="M93" s="218">
        <f t="shared" si="25"/>
        <v>5.0901444046372114E-6</v>
      </c>
      <c r="N93" s="218">
        <f>Calculations!F103</f>
        <v>1</v>
      </c>
      <c r="O93" s="219">
        <f>Spectra!$C$10*$A93</f>
        <v>3549052490776.9302</v>
      </c>
      <c r="P93" s="219">
        <f t="shared" si="26"/>
        <v>18065189.677691948</v>
      </c>
      <c r="Q93" s="218">
        <f t="shared" si="18"/>
        <v>3.4791010810919834E-7</v>
      </c>
    </row>
    <row r="94" spans="1:17" x14ac:dyDescent="0.25">
      <c r="A94" s="214">
        <v>710</v>
      </c>
      <c r="C94" s="215">
        <f t="shared" si="15"/>
        <v>0.70140845070422531</v>
      </c>
      <c r="D94" s="216">
        <f t="shared" si="19"/>
        <v>277326.77479072876</v>
      </c>
      <c r="E94" s="216">
        <f t="shared" si="20"/>
        <v>481.33494556060401</v>
      </c>
      <c r="F94" s="217">
        <f t="shared" si="21"/>
        <v>2.4821898993575122E-3</v>
      </c>
      <c r="G94" s="216">
        <f t="shared" si="16"/>
        <v>277808.78621847928</v>
      </c>
      <c r="H94" s="216">
        <f t="shared" si="22"/>
        <v>3.5995981754643368E-6</v>
      </c>
      <c r="I94" s="217">
        <f t="shared" si="23"/>
        <v>2.795828913378156E-19</v>
      </c>
      <c r="J94" s="217">
        <f t="shared" si="24"/>
        <v>3.5995981754646163E-6</v>
      </c>
      <c r="K94" s="195">
        <f t="shared" si="17"/>
        <v>3.6001731133799871E-6</v>
      </c>
      <c r="M94" s="218">
        <f t="shared" si="25"/>
        <v>3.6001731133799871E-6</v>
      </c>
      <c r="N94" s="218">
        <f>Calculations!F104</f>
        <v>1</v>
      </c>
      <c r="O94" s="219">
        <f>Spectra!$C$10*$A94</f>
        <v>3574223075817.9014</v>
      </c>
      <c r="P94" s="219">
        <f t="shared" si="26"/>
        <v>12867821.818781927</v>
      </c>
      <c r="Q94" s="218">
        <f t="shared" si="18"/>
        <v>2.4781612371502617E-7</v>
      </c>
    </row>
    <row r="95" spans="1:17" x14ac:dyDescent="0.25">
      <c r="A95" s="214">
        <v>715</v>
      </c>
      <c r="C95" s="215">
        <f t="shared" si="15"/>
        <v>0.69650349650349652</v>
      </c>
      <c r="D95" s="216">
        <f t="shared" si="19"/>
        <v>390360.9449845854</v>
      </c>
      <c r="E95" s="216">
        <f t="shared" si="20"/>
        <v>552.19547109838993</v>
      </c>
      <c r="F95" s="217">
        <f t="shared" si="21"/>
        <v>2.3072523942822918E-3</v>
      </c>
      <c r="G95" s="216">
        <f t="shared" si="16"/>
        <v>390913.81676293619</v>
      </c>
      <c r="H95" s="216">
        <f t="shared" si="22"/>
        <v>2.5581086089019846E-6</v>
      </c>
      <c r="I95" s="217">
        <f t="shared" si="23"/>
        <v>8.9055302660350911E-20</v>
      </c>
      <c r="J95" s="217">
        <f t="shared" si="24"/>
        <v>2.5581086089020736E-6</v>
      </c>
      <c r="K95" s="195">
        <f t="shared" si="17"/>
        <v>2.5585171971830986E-6</v>
      </c>
      <c r="M95" s="218">
        <f t="shared" si="25"/>
        <v>2.5585171971830986E-6</v>
      </c>
      <c r="N95" s="218">
        <f>Calculations!F105</f>
        <v>1</v>
      </c>
      <c r="O95" s="219">
        <f>Spectra!$C$10*$A95</f>
        <v>3599393660858.8726</v>
      </c>
      <c r="P95" s="219">
        <f t="shared" si="26"/>
        <v>9209110.580739256</v>
      </c>
      <c r="Q95" s="218">
        <f t="shared" si="18"/>
        <v>1.7735449861846679E-7</v>
      </c>
    </row>
    <row r="96" spans="1:17" x14ac:dyDescent="0.25">
      <c r="A96" s="214">
        <v>720</v>
      </c>
      <c r="C96" s="215">
        <f t="shared" si="15"/>
        <v>0.69166666666666665</v>
      </c>
      <c r="D96" s="216">
        <f t="shared" si="19"/>
        <v>546863.29349390161</v>
      </c>
      <c r="E96" s="216">
        <f t="shared" si="20"/>
        <v>632.28063185298333</v>
      </c>
      <c r="F96" s="217">
        <f t="shared" si="21"/>
        <v>2.1468220069487151E-3</v>
      </c>
      <c r="G96" s="216">
        <f t="shared" si="16"/>
        <v>547496.2502725767</v>
      </c>
      <c r="H96" s="216">
        <f t="shared" si="22"/>
        <v>1.8264965276056953E-6</v>
      </c>
      <c r="I96" s="217">
        <f t="shared" si="23"/>
        <v>2.7927564285114916E-20</v>
      </c>
      <c r="J96" s="217">
        <f t="shared" si="24"/>
        <v>1.8264965276057232E-6</v>
      </c>
      <c r="K96" s="195">
        <f t="shared" si="17"/>
        <v>1.8267882607533761E-6</v>
      </c>
      <c r="M96" s="218">
        <f t="shared" si="25"/>
        <v>1.8267882607533761E-6</v>
      </c>
      <c r="N96" s="218">
        <f>Calculations!F106</f>
        <v>1</v>
      </c>
      <c r="O96" s="219">
        <f>Spectra!$C$10*$A96</f>
        <v>3624564245899.8438</v>
      </c>
      <c r="P96" s="219">
        <f t="shared" si="26"/>
        <v>6621311.4147562478</v>
      </c>
      <c r="Q96" s="218">
        <f t="shared" si="18"/>
        <v>1.2751713163450334E-7</v>
      </c>
    </row>
    <row r="97" spans="1:17" x14ac:dyDescent="0.25">
      <c r="A97" s="214">
        <v>725</v>
      </c>
      <c r="C97" s="215">
        <f t="shared" si="15"/>
        <v>0.68689655172413788</v>
      </c>
      <c r="D97" s="216">
        <f t="shared" si="19"/>
        <v>762555.93425753247</v>
      </c>
      <c r="E97" s="216">
        <f t="shared" si="20"/>
        <v>722.62943427292885</v>
      </c>
      <c r="F97" s="217">
        <f t="shared" si="21"/>
        <v>1.9995334926394301E-3</v>
      </c>
      <c r="G97" s="216">
        <f t="shared" si="16"/>
        <v>763279.23969133885</v>
      </c>
      <c r="H97" s="216">
        <f t="shared" si="22"/>
        <v>1.3101365109895931E-6</v>
      </c>
      <c r="I97" s="217">
        <f t="shared" si="23"/>
        <v>8.622444755330461E-21</v>
      </c>
      <c r="J97" s="217">
        <f t="shared" si="24"/>
        <v>1.3101365109896018E-6</v>
      </c>
      <c r="K97" s="195">
        <f t="shared" si="17"/>
        <v>1.3103457696673102E-6</v>
      </c>
      <c r="M97" s="218">
        <f t="shared" si="25"/>
        <v>1.3103457696673102E-6</v>
      </c>
      <c r="N97" s="218">
        <f>Calculations!F107</f>
        <v>1</v>
      </c>
      <c r="O97" s="219">
        <f>Spectra!$C$10*$A97</f>
        <v>3649734830940.8149</v>
      </c>
      <c r="P97" s="219">
        <f t="shared" si="26"/>
        <v>4782414.5961307324</v>
      </c>
      <c r="Q97" s="218">
        <f t="shared" si="18"/>
        <v>9.2102569020765965E-8</v>
      </c>
    </row>
    <row r="98" spans="1:17" x14ac:dyDescent="0.25">
      <c r="A98" s="214">
        <v>730</v>
      </c>
      <c r="C98" s="215">
        <f t="shared" si="15"/>
        <v>0.68219178082191778</v>
      </c>
      <c r="D98" s="216">
        <f t="shared" si="19"/>
        <v>1058489.7363090205</v>
      </c>
      <c r="E98" s="216">
        <f t="shared" si="20"/>
        <v>824.37880327497362</v>
      </c>
      <c r="F98" s="217">
        <f t="shared" si="21"/>
        <v>1.8641642199768737E-3</v>
      </c>
      <c r="G98" s="216">
        <f t="shared" si="16"/>
        <v>1059314.7909764599</v>
      </c>
      <c r="H98" s="216">
        <f t="shared" si="22"/>
        <v>9.4400645447253278E-7</v>
      </c>
      <c r="I98" s="217">
        <f t="shared" si="23"/>
        <v>2.6209085339011328E-21</v>
      </c>
      <c r="J98" s="217">
        <f t="shared" si="24"/>
        <v>9.4400645447253543E-7</v>
      </c>
      <c r="K98" s="195">
        <f t="shared" si="17"/>
        <v>9.4415723383083447E-7</v>
      </c>
      <c r="M98" s="218">
        <f t="shared" si="25"/>
        <v>9.4415723383083447E-7</v>
      </c>
      <c r="N98" s="218">
        <f>Calculations!F108</f>
        <v>1</v>
      </c>
      <c r="O98" s="219">
        <f>Spectra!$C$10*$A98</f>
        <v>3674905415981.7856</v>
      </c>
      <c r="P98" s="219">
        <f t="shared" si="26"/>
        <v>3469688.5321433148</v>
      </c>
      <c r="Q98" s="218">
        <f t="shared" si="18"/>
        <v>6.6821314022176025E-8</v>
      </c>
    </row>
    <row r="99" spans="1:17" x14ac:dyDescent="0.25">
      <c r="A99" s="214">
        <v>735</v>
      </c>
      <c r="C99" s="215">
        <f t="shared" si="15"/>
        <v>0.67755102040816328</v>
      </c>
      <c r="D99" s="216">
        <f t="shared" si="19"/>
        <v>1462729.3611080935</v>
      </c>
      <c r="E99" s="216">
        <f t="shared" si="20"/>
        <v>938.77086441349331</v>
      </c>
      <c r="F99" s="217">
        <f t="shared" si="21"/>
        <v>1.7396178854804285E-3</v>
      </c>
      <c r="G99" s="216">
        <f t="shared" si="16"/>
        <v>1463668.8077121251</v>
      </c>
      <c r="H99" s="216">
        <f t="shared" si="22"/>
        <v>6.8321466900911125E-7</v>
      </c>
      <c r="I99" s="217">
        <f t="shared" si="23"/>
        <v>7.8432741156483032E-22</v>
      </c>
      <c r="J99" s="217">
        <f t="shared" si="24"/>
        <v>6.8321466900911199E-7</v>
      </c>
      <c r="K99" s="195">
        <f t="shared" si="17"/>
        <v>6.8332379397206708E-7</v>
      </c>
      <c r="M99" s="218">
        <f t="shared" si="25"/>
        <v>6.8332379397206708E-7</v>
      </c>
      <c r="N99" s="218">
        <f>Calculations!F109</f>
        <v>1</v>
      </c>
      <c r="O99" s="219">
        <f>Spectra!$C$10*$A99</f>
        <v>3700076001022.7568</v>
      </c>
      <c r="P99" s="219">
        <f t="shared" si="26"/>
        <v>2528349.971003864</v>
      </c>
      <c r="Q99" s="218">
        <f t="shared" si="18"/>
        <v>4.8692459223723333E-8</v>
      </c>
    </row>
    <row r="100" spans="1:17" x14ac:dyDescent="0.25">
      <c r="A100" s="214">
        <v>740</v>
      </c>
      <c r="C100" s="215">
        <f t="shared" si="15"/>
        <v>0.67297297297297298</v>
      </c>
      <c r="D100" s="216">
        <f t="shared" si="19"/>
        <v>2012532.7876311378</v>
      </c>
      <c r="E100" s="216">
        <f t="shared" si="20"/>
        <v>1067.1606014058798</v>
      </c>
      <c r="F100" s="217">
        <f t="shared" si="21"/>
        <v>1.6249102382880336E-3</v>
      </c>
      <c r="G100" s="216">
        <f t="shared" si="16"/>
        <v>2013600.6238574539</v>
      </c>
      <c r="H100" s="216">
        <f t="shared" si="22"/>
        <v>4.9662280998120687E-7</v>
      </c>
      <c r="I100" s="217">
        <f t="shared" si="23"/>
        <v>2.310824727557587E-22</v>
      </c>
      <c r="J100" s="217">
        <f t="shared" si="24"/>
        <v>4.9662280998120708E-7</v>
      </c>
      <c r="K100" s="195">
        <f t="shared" si="17"/>
        <v>4.967021319691563E-7</v>
      </c>
      <c r="M100" s="218">
        <f t="shared" si="25"/>
        <v>4.967021319691563E-7</v>
      </c>
      <c r="N100" s="218">
        <f>Calculations!F110</f>
        <v>1</v>
      </c>
      <c r="O100" s="219">
        <f>Spectra!$C$10*$A100</f>
        <v>3725246586063.728</v>
      </c>
      <c r="P100" s="219">
        <f t="shared" si="26"/>
        <v>1850337.9214086749</v>
      </c>
      <c r="Q100" s="218">
        <f t="shared" si="18"/>
        <v>3.5634902138380907E-8</v>
      </c>
    </row>
    <row r="101" spans="1:17" x14ac:dyDescent="0.25">
      <c r="A101" s="214">
        <v>745</v>
      </c>
      <c r="C101" s="215">
        <f t="shared" si="15"/>
        <v>0.66845637583892614</v>
      </c>
      <c r="D101" s="216">
        <f t="shared" si="19"/>
        <v>2757159.1120809778</v>
      </c>
      <c r="E101" s="216">
        <f t="shared" si="20"/>
        <v>1211.0238968466754</v>
      </c>
      <c r="F101" s="217">
        <f t="shared" si="21"/>
        <v>1.519156549171228E-3</v>
      </c>
      <c r="G101" s="216">
        <f t="shared" si="16"/>
        <v>2758370.811496981</v>
      </c>
      <c r="H101" s="216">
        <f t="shared" si="22"/>
        <v>3.6253283852626589E-7</v>
      </c>
      <c r="I101" s="217">
        <f t="shared" si="23"/>
        <v>6.7028685568413866E-23</v>
      </c>
      <c r="J101" s="217">
        <f t="shared" si="24"/>
        <v>3.6253283852626594E-7</v>
      </c>
      <c r="K101" s="195">
        <f t="shared" si="17"/>
        <v>3.6259074328792975E-7</v>
      </c>
      <c r="M101" s="218">
        <f t="shared" si="25"/>
        <v>3.6259074328792975E-7</v>
      </c>
      <c r="N101" s="218">
        <f>Calculations!F111</f>
        <v>1</v>
      </c>
      <c r="O101" s="219">
        <f>Spectra!$C$10*$A101</f>
        <v>3750417171104.6992</v>
      </c>
      <c r="P101" s="219">
        <f t="shared" si="26"/>
        <v>1359866.5497106677</v>
      </c>
      <c r="Q101" s="218">
        <f t="shared" si="18"/>
        <v>2.6189114355558031E-8</v>
      </c>
    </row>
    <row r="102" spans="1:17" x14ac:dyDescent="0.25">
      <c r="A102" s="214">
        <v>750</v>
      </c>
      <c r="C102" s="215">
        <f t="shared" si="15"/>
        <v>0.66400000000000003</v>
      </c>
      <c r="D102" s="216">
        <f t="shared" si="19"/>
        <v>3761471.5043627922</v>
      </c>
      <c r="E102" s="216">
        <f t="shared" si="20"/>
        <v>1371.9659634540367</v>
      </c>
      <c r="F102" s="217">
        <f t="shared" si="21"/>
        <v>1.4215605953917672E-3</v>
      </c>
      <c r="G102" s="216">
        <f t="shared" si="16"/>
        <v>3762844.1457478069</v>
      </c>
      <c r="H102" s="216">
        <f t="shared" si="22"/>
        <v>2.6575642287232324E-7</v>
      </c>
      <c r="I102" s="217">
        <f t="shared" si="23"/>
        <v>1.9141610899899007E-23</v>
      </c>
      <c r="J102" s="217">
        <f t="shared" si="24"/>
        <v>2.6575642287232324E-7</v>
      </c>
      <c r="K102" s="195">
        <f t="shared" si="17"/>
        <v>2.6579887023347705E-7</v>
      </c>
      <c r="M102" s="218">
        <f t="shared" si="25"/>
        <v>2.6579887023347705E-7</v>
      </c>
      <c r="N102" s="218">
        <f>Calculations!F112</f>
        <v>1</v>
      </c>
      <c r="O102" s="219">
        <f>Spectra!$C$10*$A102</f>
        <v>3775587756145.6704</v>
      </c>
      <c r="P102" s="219">
        <f t="shared" si="26"/>
        <v>1003546.9600508679</v>
      </c>
      <c r="Q102" s="218">
        <f t="shared" si="18"/>
        <v>1.9326900940049377E-8</v>
      </c>
    </row>
    <row r="103" spans="1:17" x14ac:dyDescent="0.25">
      <c r="A103" s="214">
        <v>755</v>
      </c>
      <c r="C103" s="215">
        <f t="shared" si="15"/>
        <v>0.65960264900662247</v>
      </c>
      <c r="D103" s="216">
        <f t="shared" si="19"/>
        <v>5110542.702678958</v>
      </c>
      <c r="E103" s="216">
        <f t="shared" si="20"/>
        <v>1551.7301726733394</v>
      </c>
      <c r="F103" s="217">
        <f t="shared" si="21"/>
        <v>1.3314049647949896E-3</v>
      </c>
      <c r="G103" s="216">
        <f t="shared" si="16"/>
        <v>5112095.1081830356</v>
      </c>
      <c r="H103" s="216">
        <f t="shared" si="22"/>
        <v>1.9561451397867765E-7</v>
      </c>
      <c r="I103" s="217">
        <f t="shared" si="23"/>
        <v>5.3817107106573364E-24</v>
      </c>
      <c r="J103" s="217">
        <f t="shared" si="24"/>
        <v>1.9561451397867765E-7</v>
      </c>
      <c r="K103" s="195">
        <f t="shared" si="17"/>
        <v>1.9564575807743559E-7</v>
      </c>
      <c r="M103" s="218">
        <f t="shared" si="25"/>
        <v>1.9564575807743559E-7</v>
      </c>
      <c r="N103" s="218">
        <f>Calculations!F113</f>
        <v>1</v>
      </c>
      <c r="O103" s="219">
        <f>Spectra!$C$10*$A103</f>
        <v>3800758341186.6416</v>
      </c>
      <c r="P103" s="219">
        <f t="shared" si="26"/>
        <v>743602.24693059712</v>
      </c>
      <c r="Q103" s="218">
        <f t="shared" si="18"/>
        <v>1.4320731901272783E-8</v>
      </c>
    </row>
    <row r="104" spans="1:17" x14ac:dyDescent="0.25">
      <c r="A104" s="214">
        <v>760</v>
      </c>
      <c r="C104" s="215">
        <f t="shared" si="15"/>
        <v>0.65526315789473688</v>
      </c>
      <c r="D104" s="216">
        <f t="shared" si="19"/>
        <v>6915519.8062895536</v>
      </c>
      <c r="E104" s="216">
        <f t="shared" si="20"/>
        <v>1752.2072869157591</v>
      </c>
      <c r="F104" s="217">
        <f t="shared" si="21"/>
        <v>1.2480425096837373E-3</v>
      </c>
      <c r="G104" s="216">
        <f t="shared" si="16"/>
        <v>6917272.6888245111</v>
      </c>
      <c r="H104" s="216">
        <f t="shared" si="22"/>
        <v>1.4456564674912871E-7</v>
      </c>
      <c r="I104" s="217">
        <f t="shared" si="23"/>
        <v>1.4896570560567542E-24</v>
      </c>
      <c r="J104" s="217">
        <f t="shared" si="24"/>
        <v>1.4456564674912871E-7</v>
      </c>
      <c r="K104" s="195">
        <f t="shared" si="17"/>
        <v>1.4458873717965029E-7</v>
      </c>
      <c r="M104" s="218">
        <f t="shared" si="25"/>
        <v>1.4458873717965029E-7</v>
      </c>
      <c r="N104" s="218">
        <f>Calculations!F114</f>
        <v>1</v>
      </c>
      <c r="O104" s="219">
        <f>Spectra!$C$10*$A104</f>
        <v>3825928926227.6128</v>
      </c>
      <c r="P104" s="219">
        <f t="shared" si="26"/>
        <v>553186.23198234593</v>
      </c>
      <c r="Q104" s="218">
        <f t="shared" si="18"/>
        <v>1.0653587657103808E-8</v>
      </c>
    </row>
    <row r="105" spans="1:17" x14ac:dyDescent="0.25">
      <c r="A105" s="214">
        <v>765</v>
      </c>
      <c r="C105" s="215">
        <f t="shared" si="15"/>
        <v>0.65098039215686276</v>
      </c>
      <c r="D105" s="216">
        <f t="shared" si="19"/>
        <v>9321065.1164757982</v>
      </c>
      <c r="E105" s="216">
        <f t="shared" si="20"/>
        <v>1975.445101136595</v>
      </c>
      <c r="F105" s="217">
        <f t="shared" si="21"/>
        <v>1.1708888041967608E-3</v>
      </c>
      <c r="G105" s="216">
        <f t="shared" si="16"/>
        <v>9323041.2367478237</v>
      </c>
      <c r="H105" s="216">
        <f t="shared" si="22"/>
        <v>1.0726113664051884E-7</v>
      </c>
      <c r="I105" s="217">
        <f t="shared" si="23"/>
        <v>4.0595353855002682E-25</v>
      </c>
      <c r="J105" s="217">
        <f t="shared" si="24"/>
        <v>1.0726113664051884E-7</v>
      </c>
      <c r="K105" s="195">
        <f t="shared" si="17"/>
        <v>1.0727826869006835E-7</v>
      </c>
      <c r="M105" s="218">
        <f t="shared" si="25"/>
        <v>1.0727826869006835E-7</v>
      </c>
      <c r="N105" s="218">
        <f>Calculations!F115</f>
        <v>1</v>
      </c>
      <c r="O105" s="219">
        <f>Spectra!$C$10*$A105</f>
        <v>3851099511268.584</v>
      </c>
      <c r="P105" s="219">
        <f t="shared" si="26"/>
        <v>413139.28812206205</v>
      </c>
      <c r="Q105" s="218">
        <f t="shared" si="18"/>
        <v>7.9564807765178045E-9</v>
      </c>
    </row>
    <row r="106" spans="1:17" x14ac:dyDescent="0.25">
      <c r="A106" s="214">
        <v>770</v>
      </c>
      <c r="C106" s="215">
        <f t="shared" si="15"/>
        <v>0.64675324675324675</v>
      </c>
      <c r="D106" s="216">
        <f t="shared" si="19"/>
        <v>12514762.402473353</v>
      </c>
      <c r="E106" s="216">
        <f t="shared" si="20"/>
        <v>2223.6584988597797</v>
      </c>
      <c r="F106" s="217">
        <f t="shared" si="21"/>
        <v>1.0994154787386651E-3</v>
      </c>
      <c r="G106" s="216">
        <f t="shared" si="16"/>
        <v>12516986.736071628</v>
      </c>
      <c r="H106" s="216">
        <f t="shared" si="22"/>
        <v>7.9891432425839835E-8</v>
      </c>
      <c r="I106" s="217">
        <f t="shared" si="23"/>
        <v>1.0891569039708803E-25</v>
      </c>
      <c r="J106" s="217">
        <f t="shared" si="24"/>
        <v>7.9891432425839835E-8</v>
      </c>
      <c r="K106" s="195">
        <f t="shared" si="17"/>
        <v>7.9904192909476025E-8</v>
      </c>
      <c r="M106" s="218">
        <f t="shared" si="25"/>
        <v>7.9904192909476025E-8</v>
      </c>
      <c r="N106" s="218">
        <f>Calculations!F116</f>
        <v>1</v>
      </c>
      <c r="O106" s="219">
        <f>Spectra!$C$10*$A106</f>
        <v>3876270096309.5552</v>
      </c>
      <c r="P106" s="219">
        <f t="shared" si="26"/>
        <v>309730.23354475189</v>
      </c>
      <c r="Q106" s="218">
        <f t="shared" si="18"/>
        <v>5.9649680385204426E-9</v>
      </c>
    </row>
    <row r="107" spans="1:17" x14ac:dyDescent="0.25">
      <c r="A107" s="214">
        <v>775</v>
      </c>
      <c r="C107" s="215">
        <f t="shared" si="15"/>
        <v>0.64258064516129032</v>
      </c>
      <c r="D107" s="216">
        <f t="shared" si="19"/>
        <v>16738965.593394065</v>
      </c>
      <c r="E107" s="216">
        <f t="shared" si="20"/>
        <v>2499.2399271345253</v>
      </c>
      <c r="F107" s="217">
        <f t="shared" si="21"/>
        <v>1.0331443219863217E-3</v>
      </c>
      <c r="G107" s="216">
        <f t="shared" si="16"/>
        <v>16741465.508354345</v>
      </c>
      <c r="H107" s="216">
        <f t="shared" si="22"/>
        <v>5.9731927261742943E-8</v>
      </c>
      <c r="I107" s="217">
        <f t="shared" si="23"/>
        <v>2.8769257290045901E-26</v>
      </c>
      <c r="J107" s="217">
        <f t="shared" si="24"/>
        <v>5.9731927261742943E-8</v>
      </c>
      <c r="K107" s="195">
        <f t="shared" si="17"/>
        <v>5.9741467812678606E-8</v>
      </c>
      <c r="M107" s="218">
        <f t="shared" si="25"/>
        <v>5.9741467812678606E-8</v>
      </c>
      <c r="N107" s="218">
        <f>Calculations!F117</f>
        <v>1</v>
      </c>
      <c r="O107" s="219">
        <f>Spectra!$C$10*$A107</f>
        <v>3901440681350.5259</v>
      </c>
      <c r="P107" s="219">
        <f t="shared" si="26"/>
        <v>233077.79288797732</v>
      </c>
      <c r="Q107" s="218">
        <f t="shared" si="18"/>
        <v>4.4887499975516341E-9</v>
      </c>
    </row>
    <row r="108" spans="1:17" x14ac:dyDescent="0.25">
      <c r="A108" s="214">
        <v>780</v>
      </c>
      <c r="C108" s="215">
        <f t="shared" si="15"/>
        <v>0.63846153846153841</v>
      </c>
      <c r="D108" s="216">
        <f t="shared" si="19"/>
        <v>22305672.261311971</v>
      </c>
      <c r="E108" s="216">
        <f t="shared" si="20"/>
        <v>2804.7702942679502</v>
      </c>
      <c r="F108" s="217">
        <f t="shared" si="21"/>
        <v>9.7164205556020172E-4</v>
      </c>
      <c r="G108" s="216">
        <f t="shared" ref="G108" si="27">D108+E108+F108+$G$4</f>
        <v>22308477.706577878</v>
      </c>
      <c r="H108" s="216">
        <f t="shared" si="22"/>
        <v>4.482600799359519E-8</v>
      </c>
      <c r="I108" s="217">
        <f t="shared" si="23"/>
        <v>7.4815388568833834E-27</v>
      </c>
      <c r="J108" s="217">
        <f t="shared" si="24"/>
        <v>4.482600799359519E-8</v>
      </c>
      <c r="K108" s="195">
        <f>IF(J108="","",J108/MAX(J$12:J$108))</f>
        <v>4.4833167729302884E-8</v>
      </c>
      <c r="M108" s="218">
        <f t="shared" si="25"/>
        <v>4.4833167729302884E-8</v>
      </c>
      <c r="N108" s="218">
        <f>Calculations!F118</f>
        <v>1</v>
      </c>
      <c r="O108" s="219">
        <f>Spectra!$C$10*$A108</f>
        <v>3926611266391.4971</v>
      </c>
      <c r="P108" s="219">
        <f t="shared" si="26"/>
        <v>176042.42151390039</v>
      </c>
      <c r="Q108" s="218">
        <f t="shared" ref="Q108" si="28">P108/SUM(P$12:P$108)</f>
        <v>3.3903290800393749E-9</v>
      </c>
    </row>
    <row r="109" spans="1:17" x14ac:dyDescent="0.25">
      <c r="A109" s="214"/>
      <c r="C109" s="215"/>
      <c r="D109" s="216"/>
      <c r="E109" s="216"/>
      <c r="F109" s="217"/>
      <c r="G109" s="216"/>
      <c r="H109" s="216"/>
      <c r="I109" s="217"/>
      <c r="J109" s="217"/>
    </row>
    <row r="110" spans="1:17" x14ac:dyDescent="0.25">
      <c r="A110" s="214"/>
      <c r="C110" s="215"/>
      <c r="D110" s="216"/>
      <c r="E110" s="216"/>
      <c r="F110" s="217"/>
      <c r="G110" s="216"/>
      <c r="H110" s="216"/>
      <c r="I110" s="217"/>
      <c r="J110" s="217"/>
    </row>
    <row r="111" spans="1:17" x14ac:dyDescent="0.25">
      <c r="A111" s="214"/>
      <c r="C111" s="215"/>
      <c r="D111" s="216"/>
      <c r="E111" s="216"/>
      <c r="F111" s="217"/>
      <c r="G111" s="216"/>
      <c r="H111" s="216"/>
      <c r="I111" s="217"/>
      <c r="J111" s="217"/>
    </row>
    <row r="112" spans="1:17" x14ac:dyDescent="0.25">
      <c r="A112" s="214"/>
      <c r="C112" s="215"/>
      <c r="D112" s="216"/>
      <c r="E112" s="216"/>
      <c r="F112" s="217"/>
      <c r="G112" s="216"/>
      <c r="H112" s="216"/>
      <c r="I112" s="217"/>
      <c r="J112" s="217"/>
    </row>
    <row r="113" spans="1:10" x14ac:dyDescent="0.25">
      <c r="A113" s="214"/>
      <c r="C113" s="215"/>
      <c r="D113" s="216"/>
      <c r="E113" s="216"/>
      <c r="F113" s="217"/>
      <c r="G113" s="216"/>
      <c r="H113" s="216"/>
      <c r="I113" s="217"/>
      <c r="J113" s="217"/>
    </row>
    <row r="114" spans="1:10" x14ac:dyDescent="0.25">
      <c r="A114" s="214"/>
      <c r="C114" s="215"/>
      <c r="D114" s="216"/>
      <c r="E114" s="216"/>
      <c r="F114" s="217"/>
      <c r="G114" s="216"/>
      <c r="H114" s="216"/>
      <c r="I114" s="217"/>
      <c r="J114" s="217"/>
    </row>
    <row r="115" spans="1:10" x14ac:dyDescent="0.25">
      <c r="A115" s="214"/>
      <c r="C115" s="215"/>
      <c r="D115" s="216"/>
      <c r="E115" s="216"/>
      <c r="F115" s="217"/>
      <c r="G115" s="216"/>
      <c r="H115" s="216"/>
      <c r="I115" s="217"/>
      <c r="J115" s="217"/>
    </row>
    <row r="116" spans="1:10" x14ac:dyDescent="0.25">
      <c r="A116" s="214"/>
      <c r="C116" s="215"/>
      <c r="D116" s="216"/>
      <c r="E116" s="216"/>
      <c r="F116" s="217"/>
      <c r="G116" s="216"/>
      <c r="H116" s="216"/>
      <c r="I116" s="217"/>
      <c r="J116" s="217"/>
    </row>
    <row r="117" spans="1:10" x14ac:dyDescent="0.25">
      <c r="A117" s="214"/>
      <c r="C117" s="215"/>
      <c r="D117" s="216"/>
      <c r="E117" s="216"/>
      <c r="F117" s="217"/>
      <c r="G117" s="216"/>
      <c r="H117" s="216"/>
      <c r="I117" s="217"/>
      <c r="J117" s="217"/>
    </row>
    <row r="118" spans="1:10" x14ac:dyDescent="0.25">
      <c r="A118" s="214"/>
      <c r="C118" s="215"/>
      <c r="D118" s="216"/>
      <c r="E118" s="216"/>
      <c r="F118" s="217"/>
      <c r="G118" s="216"/>
      <c r="H118" s="216"/>
      <c r="I118" s="217"/>
      <c r="J118" s="217"/>
    </row>
    <row r="119" spans="1:10" x14ac:dyDescent="0.25">
      <c r="A119" s="214"/>
      <c r="C119" s="215"/>
      <c r="D119" s="216"/>
      <c r="E119" s="216"/>
      <c r="F119" s="217"/>
      <c r="G119" s="216"/>
      <c r="H119" s="216"/>
      <c r="I119" s="217"/>
      <c r="J119" s="217"/>
    </row>
    <row r="120" spans="1:10" x14ac:dyDescent="0.25">
      <c r="A120" s="214"/>
      <c r="C120" s="215"/>
      <c r="D120" s="216"/>
      <c r="E120" s="216"/>
      <c r="F120" s="217"/>
      <c r="G120" s="216"/>
      <c r="H120" s="216"/>
      <c r="I120" s="217"/>
      <c r="J120" s="217"/>
    </row>
    <row r="121" spans="1:10" x14ac:dyDescent="0.25">
      <c r="A121" s="214"/>
      <c r="C121" s="215"/>
      <c r="D121" s="216"/>
      <c r="E121" s="216"/>
      <c r="F121" s="217"/>
      <c r="G121" s="216"/>
      <c r="H121" s="216"/>
      <c r="I121" s="217"/>
      <c r="J121" s="217"/>
    </row>
    <row r="122" spans="1:10" x14ac:dyDescent="0.25">
      <c r="A122" s="214"/>
      <c r="C122" s="215"/>
      <c r="D122" s="216"/>
      <c r="E122" s="216"/>
      <c r="F122" s="217"/>
      <c r="G122" s="216"/>
      <c r="H122" s="216"/>
      <c r="I122" s="217"/>
      <c r="J122" s="217"/>
    </row>
    <row r="123" spans="1:10" x14ac:dyDescent="0.25">
      <c r="A123" s="214"/>
      <c r="C123" s="215"/>
      <c r="D123" s="216"/>
      <c r="E123" s="216"/>
      <c r="F123" s="217"/>
      <c r="G123" s="216"/>
      <c r="H123" s="216"/>
      <c r="I123" s="217"/>
      <c r="J123" s="217"/>
    </row>
    <row r="124" spans="1:10" x14ac:dyDescent="0.25">
      <c r="A124" s="214"/>
      <c r="C124" s="215"/>
      <c r="D124" s="216"/>
      <c r="E124" s="216"/>
      <c r="F124" s="217"/>
      <c r="G124" s="216"/>
      <c r="H124" s="216"/>
      <c r="I124" s="217"/>
      <c r="J124" s="217"/>
    </row>
    <row r="125" spans="1:10" x14ac:dyDescent="0.25">
      <c r="A125" s="214"/>
      <c r="C125" s="215"/>
      <c r="D125" s="216"/>
      <c r="E125" s="216"/>
      <c r="F125" s="217"/>
      <c r="G125" s="216"/>
      <c r="H125" s="216"/>
      <c r="I125" s="217"/>
      <c r="J125" s="217"/>
    </row>
    <row r="126" spans="1:10" x14ac:dyDescent="0.25">
      <c r="A126" s="214"/>
      <c r="C126" s="215"/>
      <c r="D126" s="216"/>
      <c r="E126" s="216"/>
      <c r="F126" s="217"/>
      <c r="G126" s="216"/>
      <c r="H126" s="216"/>
      <c r="I126" s="217"/>
      <c r="J126" s="217"/>
    </row>
    <row r="127" spans="1:10" x14ac:dyDescent="0.25">
      <c r="A127" s="214"/>
      <c r="C127" s="215"/>
      <c r="D127" s="216"/>
      <c r="E127" s="216"/>
      <c r="F127" s="217"/>
      <c r="G127" s="216"/>
      <c r="H127" s="216"/>
      <c r="I127" s="217"/>
      <c r="J127" s="217"/>
    </row>
    <row r="128" spans="1:10" x14ac:dyDescent="0.25">
      <c r="A128" s="214"/>
      <c r="C128" s="215"/>
      <c r="D128" s="216"/>
      <c r="E128" s="216"/>
      <c r="F128" s="217"/>
      <c r="G128" s="216"/>
      <c r="H128" s="216"/>
      <c r="I128" s="217"/>
      <c r="J128" s="217"/>
    </row>
    <row r="129" spans="1:10" x14ac:dyDescent="0.25">
      <c r="A129" s="214"/>
      <c r="C129" s="215"/>
      <c r="D129" s="216"/>
      <c r="E129" s="216"/>
      <c r="F129" s="217"/>
      <c r="G129" s="216"/>
      <c r="H129" s="216"/>
      <c r="I129" s="217"/>
      <c r="J129" s="217"/>
    </row>
    <row r="130" spans="1:10" x14ac:dyDescent="0.25">
      <c r="A130" s="214"/>
      <c r="C130" s="215"/>
      <c r="D130" s="216"/>
      <c r="E130" s="216"/>
      <c r="F130" s="217"/>
      <c r="G130" s="216"/>
      <c r="H130" s="216"/>
      <c r="I130" s="217"/>
      <c r="J130" s="217"/>
    </row>
    <row r="131" spans="1:10" x14ac:dyDescent="0.25">
      <c r="A131" s="214"/>
      <c r="C131" s="215"/>
      <c r="D131" s="216"/>
      <c r="E131" s="216"/>
      <c r="F131" s="217"/>
      <c r="G131" s="216"/>
      <c r="H131" s="216"/>
      <c r="I131" s="217"/>
      <c r="J131" s="217"/>
    </row>
    <row r="132" spans="1:10" x14ac:dyDescent="0.25">
      <c r="A132" s="214"/>
      <c r="C132" s="215"/>
      <c r="D132" s="216"/>
      <c r="E132" s="216"/>
      <c r="F132" s="217"/>
      <c r="G132" s="216"/>
      <c r="H132" s="216"/>
      <c r="I132" s="217"/>
      <c r="J132" s="217"/>
    </row>
    <row r="133" spans="1:10" x14ac:dyDescent="0.25">
      <c r="A133" s="214"/>
      <c r="C133" s="215"/>
      <c r="D133" s="216"/>
      <c r="E133" s="216"/>
      <c r="F133" s="217"/>
      <c r="G133" s="216"/>
      <c r="H133" s="216"/>
      <c r="I133" s="217"/>
      <c r="J133" s="217"/>
    </row>
    <row r="134" spans="1:10" x14ac:dyDescent="0.25">
      <c r="A134" s="214"/>
      <c r="C134" s="215"/>
      <c r="D134" s="216"/>
      <c r="E134" s="216"/>
      <c r="F134" s="217"/>
      <c r="G134" s="216"/>
      <c r="H134" s="216"/>
      <c r="I134" s="217"/>
      <c r="J134" s="217"/>
    </row>
    <row r="135" spans="1:10" x14ac:dyDescent="0.25">
      <c r="A135" s="214"/>
      <c r="C135" s="215"/>
      <c r="D135" s="216"/>
      <c r="E135" s="216"/>
      <c r="F135" s="217"/>
      <c r="G135" s="216"/>
      <c r="H135" s="216"/>
      <c r="I135" s="217"/>
      <c r="J135" s="217"/>
    </row>
    <row r="136" spans="1:10" x14ac:dyDescent="0.25">
      <c r="A136" s="214"/>
      <c r="C136" s="215"/>
      <c r="D136" s="216"/>
      <c r="E136" s="216"/>
      <c r="F136" s="217"/>
      <c r="G136" s="216"/>
      <c r="H136" s="216"/>
      <c r="I136" s="217"/>
      <c r="J136" s="217"/>
    </row>
    <row r="137" spans="1:10" x14ac:dyDescent="0.25">
      <c r="A137" s="214"/>
      <c r="C137" s="215"/>
      <c r="D137" s="216"/>
      <c r="E137" s="216"/>
      <c r="F137" s="217"/>
      <c r="G137" s="216"/>
      <c r="H137" s="216"/>
      <c r="I137" s="217"/>
      <c r="J137" s="217"/>
    </row>
    <row r="138" spans="1:10" x14ac:dyDescent="0.25">
      <c r="A138" s="214"/>
      <c r="C138" s="215"/>
      <c r="D138" s="216"/>
      <c r="E138" s="216"/>
      <c r="F138" s="217"/>
      <c r="G138" s="216"/>
      <c r="H138" s="216"/>
      <c r="I138" s="217"/>
      <c r="J138" s="217"/>
    </row>
    <row r="139" spans="1:10" x14ac:dyDescent="0.25">
      <c r="A139" s="214"/>
      <c r="C139" s="215"/>
      <c r="D139" s="216"/>
      <c r="E139" s="216"/>
      <c r="F139" s="217"/>
      <c r="G139" s="216"/>
      <c r="H139" s="216"/>
      <c r="I139" s="217"/>
      <c r="J139" s="217"/>
    </row>
    <row r="140" spans="1:10" x14ac:dyDescent="0.25">
      <c r="A140" s="214"/>
      <c r="C140" s="215"/>
      <c r="D140" s="216"/>
      <c r="E140" s="216"/>
      <c r="F140" s="217"/>
      <c r="G140" s="216"/>
      <c r="H140" s="216"/>
      <c r="I140" s="217"/>
      <c r="J140" s="217"/>
    </row>
    <row r="141" spans="1:10" x14ac:dyDescent="0.25">
      <c r="A141" s="214"/>
      <c r="C141" s="215"/>
      <c r="D141" s="216"/>
      <c r="E141" s="216"/>
      <c r="F141" s="217"/>
      <c r="G141" s="216"/>
      <c r="H141" s="216"/>
      <c r="I141" s="217"/>
      <c r="J141" s="217"/>
    </row>
    <row r="142" spans="1:10" x14ac:dyDescent="0.25">
      <c r="A142" s="214"/>
      <c r="C142" s="215"/>
      <c r="D142" s="216"/>
      <c r="E142" s="216"/>
      <c r="F142" s="217"/>
      <c r="G142" s="216"/>
      <c r="H142" s="216"/>
      <c r="I142" s="217"/>
      <c r="J142" s="217"/>
    </row>
    <row r="143" spans="1:10" x14ac:dyDescent="0.25">
      <c r="A143" s="214"/>
      <c r="C143" s="215"/>
      <c r="D143" s="216"/>
      <c r="E143" s="216"/>
      <c r="F143" s="217"/>
      <c r="G143" s="216"/>
      <c r="H143" s="216"/>
      <c r="I143" s="217"/>
      <c r="J143" s="217"/>
    </row>
    <row r="144" spans="1:10" x14ac:dyDescent="0.25">
      <c r="A144" s="214"/>
      <c r="C144" s="215"/>
      <c r="D144" s="216"/>
      <c r="E144" s="216"/>
      <c r="F144" s="217"/>
      <c r="G144" s="216"/>
      <c r="H144" s="216"/>
      <c r="I144" s="217"/>
      <c r="J144" s="217"/>
    </row>
    <row r="145" spans="1:10" x14ac:dyDescent="0.25">
      <c r="A145" s="214"/>
      <c r="C145" s="215"/>
      <c r="D145" s="216"/>
      <c r="E145" s="216"/>
      <c r="F145" s="217"/>
      <c r="G145" s="216"/>
      <c r="H145" s="216"/>
      <c r="I145" s="217"/>
      <c r="J145" s="217"/>
    </row>
    <row r="146" spans="1:10" x14ac:dyDescent="0.25">
      <c r="A146" s="214"/>
      <c r="C146" s="215"/>
      <c r="D146" s="216"/>
      <c r="E146" s="216"/>
      <c r="F146" s="217"/>
      <c r="G146" s="216"/>
      <c r="H146" s="216"/>
      <c r="I146" s="217"/>
      <c r="J146" s="217"/>
    </row>
    <row r="147" spans="1:10" x14ac:dyDescent="0.25">
      <c r="A147" s="214"/>
      <c r="C147" s="215"/>
      <c r="D147" s="216"/>
      <c r="E147" s="216"/>
      <c r="F147" s="217"/>
      <c r="G147" s="216"/>
      <c r="H147" s="216"/>
      <c r="I147" s="217"/>
      <c r="J147" s="217"/>
    </row>
    <row r="148" spans="1:10" x14ac:dyDescent="0.25">
      <c r="A148" s="214"/>
      <c r="C148" s="215"/>
      <c r="D148" s="216"/>
      <c r="E148" s="216"/>
      <c r="F148" s="217"/>
      <c r="G148" s="216"/>
      <c r="H148" s="216"/>
      <c r="I148" s="217"/>
      <c r="J148" s="217"/>
    </row>
    <row r="149" spans="1:10" x14ac:dyDescent="0.25">
      <c r="A149" s="214"/>
      <c r="C149" s="215"/>
      <c r="D149" s="216"/>
      <c r="E149" s="216"/>
      <c r="F149" s="217"/>
      <c r="G149" s="216"/>
      <c r="H149" s="216"/>
      <c r="I149" s="217"/>
      <c r="J149" s="217"/>
    </row>
    <row r="150" spans="1:10" x14ac:dyDescent="0.25">
      <c r="A150" s="214"/>
      <c r="C150" s="215"/>
      <c r="D150" s="216"/>
      <c r="E150" s="216"/>
      <c r="F150" s="217"/>
      <c r="G150" s="216"/>
      <c r="H150" s="216"/>
      <c r="I150" s="217"/>
      <c r="J150" s="217"/>
    </row>
    <row r="151" spans="1:10" x14ac:dyDescent="0.25">
      <c r="A151" s="214"/>
      <c r="C151" s="215"/>
      <c r="D151" s="216"/>
      <c r="E151" s="216"/>
      <c r="F151" s="217"/>
      <c r="G151" s="216"/>
      <c r="H151" s="216"/>
      <c r="I151" s="217"/>
      <c r="J151" s="217"/>
    </row>
    <row r="152" spans="1:10" x14ac:dyDescent="0.25">
      <c r="A152" s="214"/>
      <c r="C152" s="215"/>
      <c r="D152" s="216"/>
      <c r="E152" s="216"/>
      <c r="F152" s="217"/>
      <c r="G152" s="216"/>
      <c r="H152" s="216"/>
      <c r="I152" s="217"/>
      <c r="J152" s="217"/>
    </row>
    <row r="153" spans="1:10" x14ac:dyDescent="0.25">
      <c r="A153" s="214"/>
      <c r="C153" s="215"/>
      <c r="D153" s="216"/>
      <c r="E153" s="216"/>
      <c r="F153" s="217"/>
      <c r="G153" s="216"/>
      <c r="H153" s="216"/>
      <c r="I153" s="217"/>
      <c r="J153" s="217"/>
    </row>
    <row r="154" spans="1:10" x14ac:dyDescent="0.25">
      <c r="A154" s="214"/>
      <c r="C154" s="215"/>
      <c r="D154" s="216"/>
      <c r="E154" s="216"/>
      <c r="F154" s="217"/>
      <c r="G154" s="216"/>
      <c r="H154" s="216"/>
      <c r="I154" s="217"/>
      <c r="J154" s="217"/>
    </row>
    <row r="155" spans="1:10" x14ac:dyDescent="0.25">
      <c r="A155" s="214"/>
      <c r="C155" s="215"/>
      <c r="D155" s="216"/>
      <c r="E155" s="216"/>
      <c r="F155" s="217"/>
      <c r="G155" s="216"/>
      <c r="H155" s="216"/>
      <c r="I155" s="217"/>
      <c r="J155" s="217"/>
    </row>
    <row r="156" spans="1:10" x14ac:dyDescent="0.25">
      <c r="A156" s="214"/>
      <c r="C156" s="215"/>
      <c r="D156" s="216"/>
      <c r="E156" s="216"/>
      <c r="F156" s="217"/>
      <c r="G156" s="216"/>
      <c r="H156" s="216"/>
      <c r="I156" s="217"/>
      <c r="J156" s="217"/>
    </row>
    <row r="157" spans="1:10" x14ac:dyDescent="0.25">
      <c r="A157" s="214"/>
      <c r="C157" s="215"/>
      <c r="D157" s="216"/>
      <c r="E157" s="216"/>
      <c r="F157" s="217"/>
      <c r="G157" s="216"/>
      <c r="H157" s="216"/>
      <c r="I157" s="217"/>
      <c r="J157" s="217"/>
    </row>
    <row r="158" spans="1:10" x14ac:dyDescent="0.25">
      <c r="A158" s="214"/>
      <c r="C158" s="215"/>
      <c r="D158" s="216"/>
      <c r="E158" s="216"/>
      <c r="F158" s="217"/>
      <c r="G158" s="216"/>
      <c r="H158" s="216"/>
      <c r="I158" s="217"/>
      <c r="J158" s="217"/>
    </row>
    <row r="159" spans="1:10" x14ac:dyDescent="0.25">
      <c r="A159" s="214"/>
      <c r="C159" s="215"/>
      <c r="D159" s="216"/>
      <c r="E159" s="216"/>
      <c r="F159" s="217"/>
      <c r="G159" s="216"/>
      <c r="H159" s="216"/>
      <c r="I159" s="217"/>
      <c r="J159" s="217"/>
    </row>
    <row r="160" spans="1:10" x14ac:dyDescent="0.25">
      <c r="A160" s="214"/>
      <c r="C160" s="215"/>
      <c r="D160" s="216"/>
      <c r="E160" s="216"/>
      <c r="F160" s="217"/>
      <c r="G160" s="216"/>
      <c r="H160" s="216"/>
      <c r="I160" s="217"/>
      <c r="J160" s="217"/>
    </row>
    <row r="161" spans="1:10" x14ac:dyDescent="0.25">
      <c r="A161" s="214"/>
      <c r="C161" s="215"/>
      <c r="D161" s="216"/>
      <c r="E161" s="216"/>
      <c r="F161" s="217"/>
      <c r="G161" s="216"/>
      <c r="H161" s="216"/>
      <c r="I161" s="217"/>
      <c r="J161" s="217"/>
    </row>
    <row r="162" spans="1:10" x14ac:dyDescent="0.25">
      <c r="A162" s="214"/>
      <c r="C162" s="215"/>
      <c r="D162" s="216"/>
      <c r="E162" s="216"/>
      <c r="F162" s="217"/>
      <c r="G162" s="216"/>
      <c r="H162" s="216"/>
      <c r="I162" s="217"/>
      <c r="J162" s="217"/>
    </row>
    <row r="163" spans="1:10" x14ac:dyDescent="0.25">
      <c r="A163" s="214"/>
      <c r="C163" s="215"/>
      <c r="D163" s="216"/>
      <c r="E163" s="216"/>
      <c r="F163" s="217"/>
      <c r="G163" s="216"/>
      <c r="H163" s="216"/>
      <c r="I163" s="217"/>
      <c r="J163" s="217"/>
    </row>
    <row r="164" spans="1:10" x14ac:dyDescent="0.25">
      <c r="A164" s="214"/>
      <c r="C164" s="215"/>
      <c r="D164" s="216"/>
      <c r="E164" s="216"/>
      <c r="F164" s="217"/>
      <c r="G164" s="216"/>
      <c r="H164" s="216"/>
      <c r="I164" s="217"/>
      <c r="J164" s="217"/>
    </row>
    <row r="165" spans="1:10" x14ac:dyDescent="0.25">
      <c r="A165" s="214"/>
      <c r="C165" s="215"/>
      <c r="D165" s="216"/>
      <c r="E165" s="216"/>
      <c r="F165" s="217"/>
      <c r="G165" s="216"/>
      <c r="H165" s="216"/>
      <c r="I165" s="217"/>
      <c r="J165" s="217"/>
    </row>
    <row r="166" spans="1:10" x14ac:dyDescent="0.25">
      <c r="A166" s="214"/>
      <c r="C166" s="215"/>
      <c r="D166" s="216"/>
      <c r="E166" s="216"/>
      <c r="F166" s="217"/>
      <c r="G166" s="216"/>
      <c r="H166" s="216"/>
      <c r="I166" s="217"/>
      <c r="J166" s="217"/>
    </row>
    <row r="167" spans="1:10" x14ac:dyDescent="0.25">
      <c r="A167" s="214"/>
      <c r="C167" s="215"/>
      <c r="D167" s="216"/>
      <c r="E167" s="216"/>
      <c r="F167" s="217"/>
      <c r="G167" s="216"/>
      <c r="H167" s="216"/>
      <c r="I167" s="217"/>
      <c r="J167" s="217"/>
    </row>
    <row r="168" spans="1:10" x14ac:dyDescent="0.25">
      <c r="A168" s="214"/>
      <c r="C168" s="215"/>
      <c r="D168" s="216"/>
      <c r="E168" s="216"/>
      <c r="F168" s="217"/>
      <c r="G168" s="216"/>
      <c r="H168" s="216"/>
      <c r="I168" s="217"/>
      <c r="J168" s="217"/>
    </row>
    <row r="169" spans="1:10" x14ac:dyDescent="0.25">
      <c r="A169" s="214"/>
      <c r="C169" s="215"/>
      <c r="D169" s="216"/>
      <c r="E169" s="216"/>
      <c r="F169" s="217"/>
      <c r="G169" s="216"/>
      <c r="H169" s="216"/>
      <c r="I169" s="217"/>
      <c r="J169" s="217"/>
    </row>
    <row r="170" spans="1:10" x14ac:dyDescent="0.25">
      <c r="A170" s="214"/>
      <c r="C170" s="215"/>
      <c r="D170" s="216"/>
      <c r="E170" s="216"/>
      <c r="F170" s="217"/>
      <c r="G170" s="216"/>
      <c r="H170" s="216"/>
      <c r="I170" s="217"/>
      <c r="J170" s="217"/>
    </row>
    <row r="171" spans="1:10" x14ac:dyDescent="0.25">
      <c r="A171" s="214"/>
      <c r="C171" s="215"/>
      <c r="D171" s="216"/>
      <c r="E171" s="216"/>
      <c r="F171" s="217"/>
      <c r="G171" s="216"/>
      <c r="H171" s="216"/>
      <c r="I171" s="217"/>
      <c r="J171" s="217"/>
    </row>
    <row r="172" spans="1:10" x14ac:dyDescent="0.25">
      <c r="A172" s="214"/>
      <c r="C172" s="215"/>
      <c r="D172" s="216"/>
      <c r="E172" s="216"/>
      <c r="F172" s="217"/>
      <c r="G172" s="216"/>
      <c r="H172" s="216"/>
      <c r="I172" s="217"/>
      <c r="J172" s="217"/>
    </row>
    <row r="173" spans="1:10" x14ac:dyDescent="0.25">
      <c r="A173" s="214"/>
      <c r="C173" s="215"/>
      <c r="D173" s="216"/>
      <c r="E173" s="216"/>
      <c r="F173" s="217"/>
      <c r="G173" s="216"/>
      <c r="H173" s="216"/>
      <c r="I173" s="217"/>
      <c r="J173" s="217"/>
    </row>
    <row r="174" spans="1:10" x14ac:dyDescent="0.25">
      <c r="A174" s="214"/>
      <c r="C174" s="215"/>
      <c r="D174" s="216"/>
      <c r="E174" s="216"/>
      <c r="F174" s="217"/>
      <c r="G174" s="216"/>
      <c r="H174" s="216"/>
      <c r="I174" s="217"/>
      <c r="J174" s="217"/>
    </row>
    <row r="175" spans="1:10" x14ac:dyDescent="0.25">
      <c r="A175" s="214"/>
      <c r="C175" s="215"/>
      <c r="D175" s="216"/>
      <c r="E175" s="216"/>
      <c r="F175" s="217"/>
      <c r="G175" s="216"/>
      <c r="H175" s="216"/>
      <c r="I175" s="217"/>
      <c r="J175" s="217"/>
    </row>
    <row r="176" spans="1:10" x14ac:dyDescent="0.25">
      <c r="A176" s="214"/>
      <c r="C176" s="215"/>
      <c r="D176" s="216"/>
      <c r="E176" s="216"/>
      <c r="F176" s="217"/>
      <c r="G176" s="216"/>
      <c r="H176" s="216"/>
      <c r="I176" s="217"/>
      <c r="J176" s="217"/>
    </row>
    <row r="177" spans="1:10" x14ac:dyDescent="0.25">
      <c r="A177" s="214"/>
      <c r="C177" s="215"/>
      <c r="D177" s="216"/>
      <c r="E177" s="216"/>
      <c r="F177" s="217"/>
      <c r="G177" s="216"/>
      <c r="H177" s="216"/>
      <c r="I177" s="217"/>
      <c r="J177" s="217"/>
    </row>
    <row r="178" spans="1:10" x14ac:dyDescent="0.25">
      <c r="A178" s="214"/>
      <c r="C178" s="215"/>
      <c r="D178" s="216"/>
      <c r="E178" s="216"/>
      <c r="F178" s="217"/>
      <c r="G178" s="216"/>
      <c r="H178" s="216"/>
      <c r="I178" s="217"/>
      <c r="J178" s="217"/>
    </row>
    <row r="179" spans="1:10" x14ac:dyDescent="0.25">
      <c r="A179" s="214"/>
      <c r="C179" s="215"/>
      <c r="D179" s="216"/>
      <c r="E179" s="216"/>
      <c r="F179" s="217"/>
      <c r="G179" s="216"/>
      <c r="H179" s="216"/>
      <c r="I179" s="217"/>
      <c r="J179" s="217"/>
    </row>
    <row r="180" spans="1:10" x14ac:dyDescent="0.25">
      <c r="A180" s="214"/>
      <c r="C180" s="215"/>
      <c r="D180" s="216"/>
      <c r="E180" s="216"/>
      <c r="F180" s="217"/>
      <c r="G180" s="216"/>
      <c r="H180" s="216"/>
      <c r="I180" s="217"/>
      <c r="J180" s="217"/>
    </row>
    <row r="181" spans="1:10" x14ac:dyDescent="0.25">
      <c r="A181" s="214"/>
      <c r="C181" s="215"/>
      <c r="D181" s="216"/>
      <c r="E181" s="216"/>
      <c r="F181" s="217"/>
      <c r="G181" s="216"/>
      <c r="H181" s="216"/>
      <c r="I181" s="217"/>
      <c r="J181" s="217"/>
    </row>
    <row r="182" spans="1:10" x14ac:dyDescent="0.25">
      <c r="A182" s="214"/>
      <c r="C182" s="215"/>
      <c r="D182" s="216"/>
      <c r="E182" s="216"/>
      <c r="F182" s="217"/>
      <c r="G182" s="216"/>
      <c r="H182" s="216"/>
      <c r="I182" s="217"/>
      <c r="J182" s="217"/>
    </row>
    <row r="183" spans="1:10" x14ac:dyDescent="0.25">
      <c r="A183" s="214"/>
      <c r="C183" s="215"/>
      <c r="D183" s="216"/>
      <c r="E183" s="216"/>
      <c r="F183" s="217"/>
      <c r="G183" s="216"/>
      <c r="H183" s="216"/>
      <c r="I183" s="217"/>
      <c r="J183" s="217"/>
    </row>
    <row r="184" spans="1:10" x14ac:dyDescent="0.25">
      <c r="A184" s="214"/>
      <c r="C184" s="215"/>
      <c r="D184" s="216"/>
      <c r="E184" s="216"/>
      <c r="F184" s="217"/>
      <c r="G184" s="216"/>
      <c r="H184" s="216"/>
      <c r="I184" s="217"/>
      <c r="J184" s="217"/>
    </row>
    <row r="185" spans="1:10" x14ac:dyDescent="0.25">
      <c r="A185" s="214"/>
      <c r="C185" s="215"/>
      <c r="D185" s="216"/>
      <c r="E185" s="216"/>
      <c r="F185" s="217"/>
      <c r="G185" s="216"/>
      <c r="H185" s="216"/>
      <c r="I185" s="217"/>
      <c r="J185" s="217"/>
    </row>
    <row r="186" spans="1:10" x14ac:dyDescent="0.25">
      <c r="A186" s="214"/>
      <c r="C186" s="215"/>
      <c r="D186" s="216"/>
      <c r="E186" s="216"/>
      <c r="F186" s="217"/>
      <c r="G186" s="216"/>
      <c r="H186" s="216"/>
      <c r="I186" s="217"/>
      <c r="J186" s="217"/>
    </row>
    <row r="187" spans="1:10" x14ac:dyDescent="0.25">
      <c r="A187" s="214"/>
      <c r="C187" s="215"/>
      <c r="D187" s="216"/>
      <c r="E187" s="216"/>
      <c r="F187" s="217"/>
      <c r="G187" s="216"/>
      <c r="H187" s="216"/>
      <c r="I187" s="217"/>
      <c r="J187" s="217"/>
    </row>
    <row r="188" spans="1:10" x14ac:dyDescent="0.25">
      <c r="A188" s="214"/>
      <c r="C188" s="215"/>
      <c r="D188" s="216"/>
      <c r="E188" s="216"/>
      <c r="F188" s="217"/>
      <c r="G188" s="216"/>
      <c r="H188" s="216"/>
      <c r="I188" s="217"/>
      <c r="J188" s="217"/>
    </row>
    <row r="189" spans="1:10" x14ac:dyDescent="0.25">
      <c r="A189" s="214"/>
      <c r="C189" s="215"/>
      <c r="D189" s="216"/>
      <c r="E189" s="216"/>
      <c r="F189" s="217"/>
      <c r="G189" s="216"/>
      <c r="H189" s="216"/>
      <c r="I189" s="217"/>
      <c r="J189" s="217"/>
    </row>
    <row r="190" spans="1:10" x14ac:dyDescent="0.25">
      <c r="A190" s="214"/>
      <c r="C190" s="215"/>
      <c r="D190" s="216"/>
      <c r="E190" s="216"/>
      <c r="F190" s="217"/>
      <c r="G190" s="216"/>
      <c r="H190" s="216"/>
      <c r="I190" s="217"/>
      <c r="J190" s="217"/>
    </row>
    <row r="191" spans="1:10" x14ac:dyDescent="0.25">
      <c r="A191" s="214"/>
      <c r="C191" s="215"/>
      <c r="D191" s="216"/>
      <c r="E191" s="216"/>
      <c r="F191" s="217"/>
      <c r="G191" s="216"/>
      <c r="H191" s="216"/>
      <c r="I191" s="217"/>
      <c r="J191" s="217"/>
    </row>
    <row r="192" spans="1:10" x14ac:dyDescent="0.25">
      <c r="A192" s="214"/>
      <c r="C192" s="215"/>
      <c r="D192" s="216"/>
      <c r="E192" s="216"/>
      <c r="F192" s="217"/>
      <c r="G192" s="216"/>
      <c r="H192" s="216"/>
      <c r="I192" s="217"/>
      <c r="J192" s="217"/>
    </row>
    <row r="193" spans="1:10" x14ac:dyDescent="0.25">
      <c r="A193" s="214"/>
      <c r="C193" s="215"/>
      <c r="D193" s="216"/>
      <c r="E193" s="216"/>
      <c r="F193" s="217"/>
      <c r="G193" s="216"/>
      <c r="H193" s="216"/>
      <c r="I193" s="217"/>
      <c r="J193" s="217"/>
    </row>
    <row r="194" spans="1:10" x14ac:dyDescent="0.25">
      <c r="A194" s="214"/>
      <c r="C194" s="215"/>
      <c r="D194" s="216"/>
      <c r="E194" s="216"/>
      <c r="F194" s="217"/>
      <c r="G194" s="216"/>
      <c r="H194" s="216"/>
      <c r="I194" s="217"/>
      <c r="J194" s="217"/>
    </row>
    <row r="195" spans="1:10" x14ac:dyDescent="0.25">
      <c r="A195" s="214"/>
      <c r="C195" s="215"/>
      <c r="D195" s="216"/>
      <c r="E195" s="216"/>
      <c r="F195" s="217"/>
      <c r="G195" s="216"/>
      <c r="H195" s="216"/>
      <c r="I195" s="217"/>
      <c r="J195" s="217"/>
    </row>
    <row r="196" spans="1:10" x14ac:dyDescent="0.25">
      <c r="A196" s="214"/>
      <c r="C196" s="215"/>
      <c r="D196" s="216"/>
      <c r="E196" s="216"/>
      <c r="F196" s="217"/>
      <c r="G196" s="216"/>
      <c r="H196" s="216"/>
      <c r="I196" s="217"/>
      <c r="J196" s="217"/>
    </row>
    <row r="197" spans="1:10" x14ac:dyDescent="0.25">
      <c r="A197" s="214"/>
      <c r="C197" s="215"/>
      <c r="D197" s="216"/>
      <c r="E197" s="216"/>
      <c r="F197" s="217"/>
      <c r="G197" s="216"/>
      <c r="H197" s="216"/>
      <c r="I197" s="217"/>
      <c r="J197" s="217"/>
    </row>
    <row r="198" spans="1:10" x14ac:dyDescent="0.25">
      <c r="A198" s="214"/>
      <c r="C198" s="215"/>
      <c r="D198" s="216"/>
      <c r="E198" s="216"/>
      <c r="F198" s="217"/>
      <c r="G198" s="216"/>
      <c r="H198" s="216"/>
      <c r="I198" s="217"/>
      <c r="J198" s="217"/>
    </row>
    <row r="199" spans="1:10" x14ac:dyDescent="0.25">
      <c r="A199" s="214"/>
      <c r="C199" s="215"/>
      <c r="D199" s="216"/>
      <c r="E199" s="216"/>
      <c r="F199" s="217"/>
      <c r="G199" s="216"/>
      <c r="H199" s="216"/>
      <c r="I199" s="217"/>
      <c r="J199" s="217"/>
    </row>
    <row r="200" spans="1:10" x14ac:dyDescent="0.25">
      <c r="A200" s="214"/>
      <c r="C200" s="215"/>
      <c r="D200" s="216"/>
      <c r="E200" s="216"/>
      <c r="F200" s="217"/>
      <c r="G200" s="216"/>
      <c r="H200" s="216"/>
      <c r="I200" s="217"/>
      <c r="J200" s="217"/>
    </row>
    <row r="201" spans="1:10" x14ac:dyDescent="0.25">
      <c r="A201" s="214"/>
      <c r="C201" s="215"/>
      <c r="D201" s="216"/>
      <c r="E201" s="216"/>
      <c r="F201" s="217"/>
      <c r="G201" s="216"/>
      <c r="H201" s="216"/>
      <c r="I201" s="217"/>
      <c r="J201" s="217"/>
    </row>
    <row r="202" spans="1:10" x14ac:dyDescent="0.25">
      <c r="A202" s="214"/>
      <c r="C202" s="215"/>
      <c r="D202" s="216"/>
      <c r="E202" s="216"/>
      <c r="F202" s="217"/>
      <c r="G202" s="216"/>
      <c r="H202" s="216"/>
      <c r="I202" s="217"/>
      <c r="J202" s="217"/>
    </row>
    <row r="203" spans="1:10" x14ac:dyDescent="0.25">
      <c r="A203" s="214"/>
      <c r="C203" s="215"/>
      <c r="D203" s="216"/>
      <c r="E203" s="216"/>
      <c r="F203" s="217"/>
      <c r="G203" s="216"/>
      <c r="H203" s="216"/>
      <c r="I203" s="217"/>
      <c r="J203" s="217"/>
    </row>
    <row r="204" spans="1:10" x14ac:dyDescent="0.25">
      <c r="A204" s="214"/>
      <c r="C204" s="215"/>
      <c r="D204" s="216"/>
      <c r="E204" s="216"/>
      <c r="F204" s="217"/>
      <c r="G204" s="216"/>
      <c r="H204" s="216"/>
      <c r="I204" s="217"/>
      <c r="J204" s="217"/>
    </row>
    <row r="205" spans="1:10" x14ac:dyDescent="0.25">
      <c r="A205" s="214"/>
      <c r="C205" s="215"/>
      <c r="D205" s="216"/>
      <c r="E205" s="216"/>
      <c r="F205" s="217"/>
      <c r="G205" s="216"/>
      <c r="H205" s="216"/>
      <c r="I205" s="217"/>
      <c r="J205" s="217"/>
    </row>
    <row r="206" spans="1:10" x14ac:dyDescent="0.25">
      <c r="A206" s="214"/>
      <c r="C206" s="215"/>
      <c r="D206" s="216"/>
      <c r="E206" s="216"/>
      <c r="F206" s="217"/>
      <c r="G206" s="216"/>
      <c r="H206" s="216"/>
      <c r="I206" s="217"/>
      <c r="J206" s="217"/>
    </row>
    <row r="207" spans="1:10" x14ac:dyDescent="0.25">
      <c r="A207" s="214"/>
      <c r="C207" s="215"/>
      <c r="D207" s="216"/>
      <c r="E207" s="216"/>
      <c r="F207" s="217"/>
      <c r="G207" s="216"/>
      <c r="H207" s="216"/>
      <c r="I207" s="217"/>
      <c r="J207" s="217"/>
    </row>
    <row r="208" spans="1:10" x14ac:dyDescent="0.25">
      <c r="A208" s="214"/>
      <c r="C208" s="215"/>
      <c r="D208" s="216"/>
      <c r="E208" s="216"/>
      <c r="F208" s="217"/>
      <c r="G208" s="216"/>
      <c r="H208" s="216"/>
      <c r="I208" s="217"/>
      <c r="J208" s="217"/>
    </row>
    <row r="209" spans="1:10" x14ac:dyDescent="0.25">
      <c r="A209" s="214"/>
      <c r="C209" s="215"/>
      <c r="D209" s="216"/>
      <c r="E209" s="216"/>
      <c r="F209" s="217"/>
      <c r="G209" s="216"/>
      <c r="H209" s="216"/>
      <c r="I209" s="217"/>
      <c r="J209" s="217"/>
    </row>
    <row r="210" spans="1:10" x14ac:dyDescent="0.25">
      <c r="A210" s="214"/>
      <c r="C210" s="215"/>
      <c r="D210" s="216"/>
      <c r="E210" s="216"/>
      <c r="F210" s="217"/>
      <c r="G210" s="216"/>
      <c r="H210" s="216"/>
      <c r="I210" s="217"/>
      <c r="J210" s="217"/>
    </row>
    <row r="211" spans="1:10" x14ac:dyDescent="0.25">
      <c r="A211" s="214"/>
      <c r="C211" s="215"/>
      <c r="D211" s="216"/>
      <c r="E211" s="216"/>
      <c r="F211" s="217"/>
      <c r="G211" s="216"/>
      <c r="H211" s="216"/>
      <c r="I211" s="217"/>
      <c r="J211" s="217"/>
    </row>
    <row r="212" spans="1:10" x14ac:dyDescent="0.25">
      <c r="A212" s="214"/>
      <c r="C212" s="215"/>
      <c r="D212" s="216"/>
      <c r="E212" s="216"/>
      <c r="F212" s="217"/>
      <c r="G212" s="216"/>
      <c r="H212" s="216"/>
      <c r="I212" s="217"/>
      <c r="J212" s="217"/>
    </row>
    <row r="213" spans="1:10" x14ac:dyDescent="0.25">
      <c r="A213" s="214"/>
      <c r="C213" s="215"/>
      <c r="D213" s="216"/>
      <c r="E213" s="216"/>
      <c r="F213" s="217"/>
      <c r="G213" s="216"/>
      <c r="H213" s="216"/>
      <c r="I213" s="217"/>
      <c r="J213" s="217"/>
    </row>
    <row r="214" spans="1:10" x14ac:dyDescent="0.25">
      <c r="A214" s="214"/>
      <c r="C214" s="215"/>
      <c r="D214" s="216"/>
      <c r="E214" s="216"/>
      <c r="F214" s="217"/>
      <c r="G214" s="216"/>
      <c r="H214" s="216"/>
      <c r="I214" s="217"/>
      <c r="J214" s="217"/>
    </row>
    <row r="215" spans="1:10" x14ac:dyDescent="0.25">
      <c r="A215" s="214"/>
      <c r="C215" s="215"/>
      <c r="D215" s="216"/>
      <c r="E215" s="216"/>
      <c r="F215" s="217"/>
      <c r="G215" s="216"/>
      <c r="H215" s="216"/>
      <c r="I215" s="217"/>
      <c r="J215" s="217"/>
    </row>
    <row r="216" spans="1:10" x14ac:dyDescent="0.25">
      <c r="A216" s="214"/>
      <c r="C216" s="215"/>
      <c r="D216" s="216"/>
      <c r="E216" s="216"/>
      <c r="F216" s="217"/>
      <c r="G216" s="216"/>
      <c r="H216" s="216"/>
      <c r="I216" s="217"/>
      <c r="J216" s="217"/>
    </row>
    <row r="217" spans="1:10" x14ac:dyDescent="0.25">
      <c r="A217" s="214"/>
      <c r="C217" s="215"/>
      <c r="D217" s="216"/>
      <c r="E217" s="216"/>
      <c r="F217" s="217"/>
      <c r="G217" s="216"/>
      <c r="H217" s="216"/>
      <c r="I217" s="217"/>
      <c r="J217" s="217"/>
    </row>
    <row r="218" spans="1:10" x14ac:dyDescent="0.25">
      <c r="A218" s="214"/>
      <c r="C218" s="215"/>
      <c r="D218" s="216"/>
      <c r="E218" s="216"/>
      <c r="F218" s="217"/>
      <c r="G218" s="216"/>
      <c r="H218" s="216"/>
      <c r="I218" s="217"/>
      <c r="J218" s="217"/>
    </row>
    <row r="219" spans="1:10" x14ac:dyDescent="0.25">
      <c r="A219" s="214"/>
      <c r="C219" s="215"/>
      <c r="D219" s="216"/>
      <c r="E219" s="216"/>
      <c r="F219" s="217"/>
      <c r="G219" s="216"/>
      <c r="H219" s="216"/>
      <c r="I219" s="217"/>
      <c r="J219" s="217"/>
    </row>
    <row r="220" spans="1:10" x14ac:dyDescent="0.25">
      <c r="A220" s="214"/>
      <c r="C220" s="215"/>
      <c r="D220" s="216"/>
      <c r="E220" s="216"/>
      <c r="F220" s="217"/>
      <c r="G220" s="216"/>
      <c r="H220" s="216"/>
      <c r="I220" s="217"/>
      <c r="J220" s="217"/>
    </row>
    <row r="221" spans="1:10" x14ac:dyDescent="0.25">
      <c r="A221" s="214"/>
      <c r="C221" s="215"/>
      <c r="D221" s="216"/>
      <c r="E221" s="216"/>
      <c r="F221" s="217"/>
      <c r="G221" s="216"/>
      <c r="H221" s="216"/>
      <c r="I221" s="217"/>
      <c r="J221" s="217"/>
    </row>
    <row r="222" spans="1:10" x14ac:dyDescent="0.25">
      <c r="A222" s="214"/>
      <c r="C222" s="215"/>
      <c r="D222" s="216"/>
      <c r="E222" s="216"/>
      <c r="F222" s="217"/>
      <c r="G222" s="216"/>
      <c r="H222" s="216"/>
      <c r="I222" s="217"/>
      <c r="J222" s="217"/>
    </row>
    <row r="223" spans="1:10" x14ac:dyDescent="0.25">
      <c r="A223" s="214"/>
      <c r="C223" s="215"/>
      <c r="D223" s="216"/>
      <c r="E223" s="216"/>
      <c r="F223" s="217"/>
      <c r="G223" s="216"/>
      <c r="H223" s="216"/>
      <c r="I223" s="217"/>
      <c r="J223" s="217"/>
    </row>
    <row r="224" spans="1:10" x14ac:dyDescent="0.25">
      <c r="A224" s="214"/>
      <c r="C224" s="215"/>
      <c r="D224" s="216"/>
      <c r="E224" s="216"/>
      <c r="F224" s="217"/>
      <c r="G224" s="216"/>
      <c r="H224" s="216"/>
      <c r="I224" s="217"/>
      <c r="J224" s="217"/>
    </row>
    <row r="225" spans="1:10" x14ac:dyDescent="0.25">
      <c r="A225" s="214"/>
      <c r="C225" s="215"/>
      <c r="D225" s="216"/>
      <c r="E225" s="216"/>
      <c r="F225" s="217"/>
      <c r="G225" s="216"/>
      <c r="H225" s="216"/>
      <c r="I225" s="217"/>
      <c r="J225" s="217"/>
    </row>
    <row r="226" spans="1:10" x14ac:dyDescent="0.25">
      <c r="A226" s="214"/>
      <c r="C226" s="215"/>
      <c r="D226" s="216"/>
      <c r="E226" s="216"/>
      <c r="F226" s="217"/>
      <c r="G226" s="216"/>
      <c r="H226" s="216"/>
      <c r="I226" s="217"/>
      <c r="J226" s="217"/>
    </row>
    <row r="227" spans="1:10" x14ac:dyDescent="0.25">
      <c r="A227" s="214"/>
      <c r="C227" s="215"/>
      <c r="D227" s="216"/>
      <c r="E227" s="216"/>
      <c r="F227" s="217"/>
      <c r="G227" s="216"/>
      <c r="H227" s="216"/>
      <c r="I227" s="217"/>
      <c r="J227" s="217"/>
    </row>
    <row r="228" spans="1:10" x14ac:dyDescent="0.25">
      <c r="A228" s="214"/>
      <c r="C228" s="215"/>
      <c r="D228" s="216"/>
      <c r="E228" s="216"/>
      <c r="F228" s="217"/>
      <c r="G228" s="216"/>
      <c r="H228" s="216"/>
      <c r="I228" s="217"/>
      <c r="J228" s="217"/>
    </row>
    <row r="229" spans="1:10" x14ac:dyDescent="0.25">
      <c r="A229" s="214"/>
      <c r="C229" s="215"/>
      <c r="D229" s="216"/>
      <c r="E229" s="216"/>
      <c r="F229" s="217"/>
      <c r="G229" s="216"/>
      <c r="H229" s="216"/>
      <c r="I229" s="217"/>
      <c r="J229" s="217"/>
    </row>
    <row r="230" spans="1:10" x14ac:dyDescent="0.25">
      <c r="A230" s="214"/>
      <c r="C230" s="215"/>
      <c r="D230" s="216"/>
      <c r="E230" s="216"/>
      <c r="F230" s="217"/>
      <c r="G230" s="216"/>
      <c r="H230" s="216"/>
      <c r="I230" s="217"/>
      <c r="J230" s="217"/>
    </row>
    <row r="231" spans="1:10" x14ac:dyDescent="0.25">
      <c r="A231" s="214"/>
      <c r="C231" s="215"/>
      <c r="D231" s="216"/>
      <c r="E231" s="216"/>
      <c r="F231" s="217"/>
      <c r="G231" s="216"/>
      <c r="H231" s="216"/>
      <c r="I231" s="217"/>
      <c r="J231" s="217"/>
    </row>
    <row r="232" spans="1:10" x14ac:dyDescent="0.25">
      <c r="A232" s="214"/>
      <c r="C232" s="215"/>
      <c r="D232" s="216"/>
      <c r="E232" s="216"/>
      <c r="F232" s="217"/>
      <c r="G232" s="216"/>
      <c r="H232" s="216"/>
      <c r="I232" s="217"/>
      <c r="J232" s="217"/>
    </row>
    <row r="233" spans="1:10" x14ac:dyDescent="0.25">
      <c r="A233" s="214"/>
      <c r="C233" s="215"/>
      <c r="D233" s="216"/>
      <c r="E233" s="216"/>
      <c r="F233" s="217"/>
      <c r="G233" s="216"/>
      <c r="H233" s="216"/>
      <c r="I233" s="217"/>
      <c r="J233" s="217"/>
    </row>
    <row r="234" spans="1:10" x14ac:dyDescent="0.25">
      <c r="A234" s="214"/>
      <c r="C234" s="215"/>
      <c r="D234" s="216"/>
      <c r="E234" s="216"/>
      <c r="F234" s="217"/>
      <c r="G234" s="216"/>
      <c r="H234" s="216"/>
      <c r="I234" s="217"/>
      <c r="J234" s="217"/>
    </row>
    <row r="235" spans="1:10" x14ac:dyDescent="0.25">
      <c r="A235" s="214"/>
      <c r="C235" s="215"/>
      <c r="D235" s="216"/>
      <c r="E235" s="216"/>
      <c r="F235" s="217"/>
      <c r="G235" s="216"/>
      <c r="H235" s="216"/>
      <c r="I235" s="217"/>
      <c r="J235" s="217"/>
    </row>
    <row r="236" spans="1:10" x14ac:dyDescent="0.25">
      <c r="A236" s="214"/>
      <c r="C236" s="215"/>
      <c r="D236" s="216"/>
      <c r="E236" s="216"/>
      <c r="F236" s="217"/>
      <c r="G236" s="216"/>
      <c r="H236" s="216"/>
      <c r="I236" s="217"/>
      <c r="J236" s="217"/>
    </row>
    <row r="237" spans="1:10" x14ac:dyDescent="0.25">
      <c r="A237" s="214"/>
      <c r="C237" s="215"/>
      <c r="D237" s="216"/>
      <c r="E237" s="216"/>
      <c r="F237" s="217"/>
      <c r="G237" s="216"/>
      <c r="H237" s="216"/>
      <c r="I237" s="217"/>
      <c r="J237" s="217"/>
    </row>
    <row r="238" spans="1:10" x14ac:dyDescent="0.25">
      <c r="A238" s="214"/>
      <c r="C238" s="215"/>
      <c r="D238" s="216"/>
      <c r="E238" s="216"/>
      <c r="F238" s="217"/>
      <c r="G238" s="216"/>
      <c r="H238" s="216"/>
      <c r="I238" s="217"/>
      <c r="J238" s="217"/>
    </row>
    <row r="239" spans="1:10" x14ac:dyDescent="0.25">
      <c r="A239" s="214"/>
      <c r="C239" s="215"/>
      <c r="D239" s="216"/>
      <c r="E239" s="216"/>
      <c r="F239" s="217"/>
      <c r="G239" s="216"/>
      <c r="H239" s="216"/>
      <c r="I239" s="217"/>
      <c r="J239" s="217"/>
    </row>
    <row r="240" spans="1:10" x14ac:dyDescent="0.25">
      <c r="A240" s="214"/>
      <c r="C240" s="215"/>
      <c r="D240" s="216"/>
      <c r="E240" s="216"/>
      <c r="F240" s="217"/>
      <c r="G240" s="216"/>
      <c r="H240" s="216"/>
      <c r="I240" s="217"/>
      <c r="J240" s="217"/>
    </row>
    <row r="241" spans="1:10" x14ac:dyDescent="0.25">
      <c r="A241" s="214"/>
      <c r="C241" s="215"/>
      <c r="D241" s="216"/>
      <c r="E241" s="216"/>
      <c r="F241" s="217"/>
      <c r="G241" s="216"/>
      <c r="H241" s="216"/>
      <c r="I241" s="217"/>
      <c r="J241" s="217"/>
    </row>
    <row r="242" spans="1:10" x14ac:dyDescent="0.25">
      <c r="A242" s="214"/>
      <c r="C242" s="215"/>
      <c r="D242" s="216"/>
      <c r="E242" s="216"/>
      <c r="F242" s="217"/>
      <c r="G242" s="216"/>
      <c r="H242" s="216"/>
      <c r="I242" s="217"/>
      <c r="J242" s="217"/>
    </row>
    <row r="243" spans="1:10" x14ac:dyDescent="0.25">
      <c r="A243" s="214"/>
      <c r="C243" s="215"/>
      <c r="D243" s="216"/>
      <c r="E243" s="216"/>
      <c r="F243" s="217"/>
      <c r="G243" s="216"/>
      <c r="H243" s="216"/>
      <c r="I243" s="217"/>
      <c r="J243" s="217"/>
    </row>
    <row r="244" spans="1:10" x14ac:dyDescent="0.25">
      <c r="A244" s="214"/>
      <c r="C244" s="215"/>
      <c r="D244" s="216"/>
      <c r="E244" s="216"/>
      <c r="F244" s="217"/>
      <c r="G244" s="216"/>
      <c r="H244" s="216"/>
      <c r="I244" s="217"/>
      <c r="J244" s="217"/>
    </row>
    <row r="245" spans="1:10" x14ac:dyDescent="0.25">
      <c r="A245" s="214"/>
      <c r="C245" s="215"/>
      <c r="D245" s="216"/>
      <c r="E245" s="216"/>
      <c r="F245" s="217"/>
      <c r="G245" s="216"/>
      <c r="H245" s="216"/>
      <c r="I245" s="217"/>
      <c r="J245" s="217"/>
    </row>
    <row r="246" spans="1:10" x14ac:dyDescent="0.25">
      <c r="A246" s="214"/>
      <c r="C246" s="215"/>
      <c r="D246" s="216"/>
      <c r="E246" s="216"/>
      <c r="F246" s="217"/>
      <c r="G246" s="216"/>
      <c r="H246" s="216"/>
      <c r="I246" s="217"/>
      <c r="J246" s="217"/>
    </row>
    <row r="247" spans="1:10" x14ac:dyDescent="0.25">
      <c r="A247" s="214"/>
      <c r="C247" s="215"/>
      <c r="D247" s="216"/>
      <c r="E247" s="216"/>
      <c r="F247" s="217"/>
      <c r="G247" s="216"/>
      <c r="H247" s="216"/>
      <c r="I247" s="217"/>
      <c r="J247" s="217"/>
    </row>
    <row r="248" spans="1:10" x14ac:dyDescent="0.25">
      <c r="A248" s="214"/>
      <c r="C248" s="215"/>
      <c r="D248" s="216"/>
      <c r="E248" s="216"/>
      <c r="F248" s="217"/>
      <c r="G248" s="216"/>
      <c r="H248" s="216"/>
      <c r="I248" s="217"/>
      <c r="J248" s="217"/>
    </row>
    <row r="249" spans="1:10" x14ac:dyDescent="0.25">
      <c r="A249" s="214"/>
      <c r="C249" s="215"/>
      <c r="D249" s="216"/>
      <c r="E249" s="216"/>
      <c r="F249" s="217"/>
      <c r="G249" s="216"/>
      <c r="H249" s="216"/>
      <c r="I249" s="217"/>
      <c r="J249" s="217"/>
    </row>
    <row r="250" spans="1:10" x14ac:dyDescent="0.25">
      <c r="A250" s="214"/>
      <c r="C250" s="215"/>
      <c r="D250" s="216"/>
      <c r="E250" s="216"/>
      <c r="F250" s="217"/>
      <c r="G250" s="216"/>
      <c r="H250" s="216"/>
      <c r="I250" s="217"/>
      <c r="J250" s="217"/>
    </row>
    <row r="251" spans="1:10" x14ac:dyDescent="0.25">
      <c r="A251" s="214"/>
      <c r="C251" s="215"/>
      <c r="D251" s="216"/>
      <c r="E251" s="216"/>
      <c r="F251" s="217"/>
      <c r="G251" s="216"/>
      <c r="H251" s="216"/>
      <c r="I251" s="217"/>
      <c r="J251" s="217"/>
    </row>
    <row r="252" spans="1:10" x14ac:dyDescent="0.25">
      <c r="A252" s="214"/>
      <c r="C252" s="215"/>
      <c r="D252" s="216"/>
      <c r="E252" s="216"/>
      <c r="F252" s="217"/>
      <c r="G252" s="216"/>
      <c r="H252" s="216"/>
      <c r="I252" s="217"/>
      <c r="J252" s="217"/>
    </row>
    <row r="253" spans="1:10" x14ac:dyDescent="0.25">
      <c r="A253" s="214"/>
      <c r="C253" s="215"/>
      <c r="D253" s="216"/>
      <c r="E253" s="216"/>
      <c r="F253" s="217"/>
      <c r="G253" s="216"/>
      <c r="H253" s="216"/>
      <c r="I253" s="217"/>
      <c r="J253" s="217"/>
    </row>
    <row r="254" spans="1:10" x14ac:dyDescent="0.25">
      <c r="A254" s="214"/>
      <c r="C254" s="215"/>
      <c r="D254" s="216"/>
      <c r="E254" s="216"/>
      <c r="F254" s="217"/>
      <c r="G254" s="216"/>
      <c r="H254" s="216"/>
      <c r="I254" s="217"/>
      <c r="J254" s="217"/>
    </row>
    <row r="255" spans="1:10" x14ac:dyDescent="0.25">
      <c r="A255" s="214"/>
      <c r="C255" s="215"/>
      <c r="D255" s="216"/>
      <c r="E255" s="216"/>
      <c r="F255" s="217"/>
      <c r="G255" s="216"/>
      <c r="H255" s="216"/>
      <c r="I255" s="217"/>
      <c r="J255" s="217"/>
    </row>
    <row r="256" spans="1:10" x14ac:dyDescent="0.25">
      <c r="A256" s="214"/>
      <c r="C256" s="215"/>
      <c r="D256" s="216"/>
      <c r="E256" s="216"/>
      <c r="F256" s="217"/>
      <c r="G256" s="216"/>
      <c r="H256" s="216"/>
      <c r="I256" s="217"/>
      <c r="J256" s="217"/>
    </row>
    <row r="257" spans="1:10" x14ac:dyDescent="0.25">
      <c r="A257" s="214"/>
      <c r="C257" s="215"/>
      <c r="D257" s="216"/>
      <c r="E257" s="216"/>
      <c r="F257" s="217"/>
      <c r="G257" s="216"/>
      <c r="H257" s="216"/>
      <c r="I257" s="217"/>
      <c r="J257" s="217"/>
    </row>
    <row r="258" spans="1:10" x14ac:dyDescent="0.25">
      <c r="A258" s="214"/>
      <c r="C258" s="215"/>
      <c r="D258" s="216"/>
      <c r="E258" s="216"/>
      <c r="F258" s="217"/>
      <c r="G258" s="216"/>
      <c r="H258" s="216"/>
      <c r="I258" s="217"/>
      <c r="J258" s="217"/>
    </row>
    <row r="259" spans="1:10" x14ac:dyDescent="0.25">
      <c r="A259" s="214"/>
      <c r="C259" s="215"/>
      <c r="D259" s="216"/>
      <c r="E259" s="216"/>
      <c r="F259" s="217"/>
      <c r="G259" s="216"/>
      <c r="H259" s="216"/>
      <c r="I259" s="217"/>
      <c r="J259" s="217"/>
    </row>
    <row r="260" spans="1:10" x14ac:dyDescent="0.25">
      <c r="A260" s="214"/>
      <c r="C260" s="215"/>
      <c r="D260" s="216"/>
      <c r="E260" s="216"/>
      <c r="F260" s="217"/>
      <c r="G260" s="216"/>
      <c r="H260" s="216"/>
      <c r="I260" s="217"/>
      <c r="J260" s="217"/>
    </row>
    <row r="261" spans="1:10" x14ac:dyDescent="0.25">
      <c r="A261" s="214"/>
      <c r="C261" s="215"/>
      <c r="D261" s="216"/>
      <c r="E261" s="216"/>
      <c r="F261" s="217"/>
      <c r="G261" s="216"/>
      <c r="H261" s="216"/>
      <c r="I261" s="217"/>
      <c r="J261" s="217"/>
    </row>
    <row r="262" spans="1:10" x14ac:dyDescent="0.25">
      <c r="A262" s="214"/>
      <c r="C262" s="215"/>
      <c r="D262" s="216"/>
      <c r="E262" s="216"/>
      <c r="F262" s="217"/>
      <c r="G262" s="216"/>
      <c r="H262" s="216"/>
      <c r="I262" s="217"/>
      <c r="J262" s="217"/>
    </row>
    <row r="263" spans="1:10" x14ac:dyDescent="0.25">
      <c r="A263" s="214"/>
      <c r="C263" s="215"/>
      <c r="D263" s="216"/>
      <c r="E263" s="216"/>
      <c r="F263" s="217"/>
      <c r="G263" s="216"/>
      <c r="H263" s="216"/>
      <c r="I263" s="217"/>
      <c r="J263" s="217"/>
    </row>
    <row r="264" spans="1:10" x14ac:dyDescent="0.25">
      <c r="A264" s="214"/>
      <c r="C264" s="215"/>
      <c r="D264" s="216"/>
      <c r="E264" s="216"/>
      <c r="F264" s="217"/>
      <c r="G264" s="216"/>
      <c r="H264" s="216"/>
      <c r="I264" s="217"/>
      <c r="J264" s="217"/>
    </row>
    <row r="265" spans="1:10" x14ac:dyDescent="0.25">
      <c r="A265" s="214"/>
      <c r="C265" s="215"/>
      <c r="D265" s="216"/>
      <c r="E265" s="216"/>
      <c r="F265" s="217"/>
      <c r="G265" s="216"/>
      <c r="H265" s="216"/>
      <c r="I265" s="217"/>
      <c r="J265" s="217"/>
    </row>
    <row r="266" spans="1:10" x14ac:dyDescent="0.25">
      <c r="A266" s="214"/>
      <c r="C266" s="215"/>
      <c r="D266" s="216"/>
      <c r="E266" s="216"/>
      <c r="F266" s="217"/>
      <c r="G266" s="216"/>
      <c r="H266" s="216"/>
      <c r="I266" s="217"/>
      <c r="J266" s="217"/>
    </row>
    <row r="267" spans="1:10" x14ac:dyDescent="0.25">
      <c r="A267" s="214"/>
      <c r="C267" s="215"/>
      <c r="D267" s="216"/>
      <c r="E267" s="216"/>
      <c r="F267" s="217"/>
      <c r="G267" s="216"/>
      <c r="H267" s="216"/>
      <c r="I267" s="217"/>
      <c r="J267" s="217"/>
    </row>
    <row r="268" spans="1:10" x14ac:dyDescent="0.25">
      <c r="A268" s="214"/>
      <c r="C268" s="215"/>
      <c r="D268" s="216"/>
      <c r="E268" s="216"/>
      <c r="F268" s="217"/>
      <c r="G268" s="216"/>
      <c r="H268" s="216"/>
      <c r="I268" s="217"/>
      <c r="J268" s="217"/>
    </row>
    <row r="269" spans="1:10" x14ac:dyDescent="0.25">
      <c r="A269" s="214"/>
      <c r="C269" s="215"/>
      <c r="D269" s="216"/>
      <c r="E269" s="216"/>
      <c r="F269" s="217"/>
      <c r="G269" s="216"/>
      <c r="H269" s="216"/>
      <c r="I269" s="217"/>
      <c r="J269" s="217"/>
    </row>
    <row r="270" spans="1:10" x14ac:dyDescent="0.25">
      <c r="A270" s="214"/>
      <c r="C270" s="215"/>
      <c r="D270" s="216"/>
      <c r="E270" s="216"/>
      <c r="F270" s="217"/>
      <c r="G270" s="216"/>
      <c r="H270" s="216"/>
      <c r="I270" s="217"/>
      <c r="J270" s="217"/>
    </row>
    <row r="271" spans="1:10" x14ac:dyDescent="0.25">
      <c r="A271" s="214"/>
      <c r="C271" s="215"/>
      <c r="D271" s="216"/>
      <c r="E271" s="216"/>
      <c r="F271" s="217"/>
      <c r="G271" s="216"/>
      <c r="H271" s="216"/>
      <c r="I271" s="217"/>
      <c r="J271" s="217"/>
    </row>
    <row r="272" spans="1:10" x14ac:dyDescent="0.25">
      <c r="A272" s="214"/>
      <c r="C272" s="215"/>
      <c r="D272" s="216"/>
      <c r="E272" s="216"/>
      <c r="F272" s="217"/>
      <c r="G272" s="216"/>
      <c r="H272" s="216"/>
      <c r="I272" s="217"/>
      <c r="J272" s="217"/>
    </row>
    <row r="273" spans="1:10" x14ac:dyDescent="0.25">
      <c r="A273" s="214"/>
      <c r="C273" s="215"/>
      <c r="D273" s="216"/>
      <c r="E273" s="216"/>
      <c r="F273" s="217"/>
      <c r="G273" s="216"/>
      <c r="H273" s="216"/>
      <c r="I273" s="217"/>
      <c r="J273" s="217"/>
    </row>
    <row r="274" spans="1:10" x14ac:dyDescent="0.25">
      <c r="A274" s="214"/>
      <c r="C274" s="215"/>
      <c r="D274" s="216"/>
      <c r="E274" s="216"/>
      <c r="F274" s="217"/>
      <c r="G274" s="216"/>
      <c r="H274" s="216"/>
      <c r="I274" s="217"/>
      <c r="J274" s="217"/>
    </row>
    <row r="275" spans="1:10" x14ac:dyDescent="0.25">
      <c r="A275" s="214"/>
      <c r="C275" s="215"/>
      <c r="D275" s="216"/>
      <c r="E275" s="216"/>
      <c r="F275" s="217"/>
      <c r="G275" s="216"/>
      <c r="H275" s="216"/>
      <c r="I275" s="217"/>
      <c r="J275" s="217"/>
    </row>
    <row r="276" spans="1:10" x14ac:dyDescent="0.25">
      <c r="A276" s="214"/>
      <c r="C276" s="215"/>
      <c r="D276" s="216"/>
      <c r="E276" s="216"/>
      <c r="F276" s="217"/>
      <c r="G276" s="216"/>
      <c r="H276" s="216"/>
      <c r="I276" s="217"/>
      <c r="J276" s="217"/>
    </row>
    <row r="277" spans="1:10" x14ac:dyDescent="0.25">
      <c r="A277" s="214"/>
      <c r="C277" s="215"/>
      <c r="D277" s="216"/>
      <c r="E277" s="216"/>
      <c r="F277" s="217"/>
      <c r="G277" s="216"/>
      <c r="H277" s="216"/>
      <c r="I277" s="217"/>
      <c r="J277" s="217"/>
    </row>
    <row r="278" spans="1:10" x14ac:dyDescent="0.25">
      <c r="A278" s="214"/>
      <c r="C278" s="215"/>
      <c r="D278" s="216"/>
      <c r="E278" s="216"/>
      <c r="F278" s="217"/>
      <c r="G278" s="216"/>
      <c r="H278" s="216"/>
      <c r="I278" s="217"/>
      <c r="J278" s="217"/>
    </row>
    <row r="279" spans="1:10" x14ac:dyDescent="0.25">
      <c r="A279" s="214"/>
      <c r="C279" s="215"/>
      <c r="D279" s="216"/>
      <c r="E279" s="216"/>
      <c r="F279" s="217"/>
      <c r="G279" s="216"/>
      <c r="H279" s="216"/>
      <c r="I279" s="217"/>
      <c r="J279" s="217"/>
    </row>
    <row r="280" spans="1:10" x14ac:dyDescent="0.25">
      <c r="A280" s="214"/>
      <c r="C280" s="215"/>
      <c r="D280" s="216"/>
      <c r="E280" s="216"/>
      <c r="F280" s="217"/>
      <c r="G280" s="216"/>
      <c r="H280" s="216"/>
      <c r="I280" s="217"/>
      <c r="J280" s="217"/>
    </row>
    <row r="281" spans="1:10" x14ac:dyDescent="0.25">
      <c r="A281" s="214"/>
      <c r="C281" s="215"/>
      <c r="D281" s="216"/>
      <c r="E281" s="216"/>
      <c r="F281" s="217"/>
      <c r="G281" s="216"/>
      <c r="H281" s="216"/>
      <c r="I281" s="217"/>
      <c r="J281" s="217"/>
    </row>
    <row r="282" spans="1:10" x14ac:dyDescent="0.25">
      <c r="A282" s="214"/>
      <c r="C282" s="215"/>
      <c r="D282" s="216"/>
      <c r="E282" s="216"/>
      <c r="F282" s="217"/>
      <c r="G282" s="216"/>
      <c r="H282" s="216"/>
      <c r="I282" s="217"/>
      <c r="J282" s="217"/>
    </row>
    <row r="283" spans="1:10" x14ac:dyDescent="0.25">
      <c r="A283" s="214"/>
      <c r="C283" s="215"/>
      <c r="D283" s="216"/>
      <c r="E283" s="216"/>
      <c r="F283" s="217"/>
      <c r="G283" s="216"/>
      <c r="H283" s="216"/>
      <c r="I283" s="217"/>
      <c r="J283" s="217"/>
    </row>
    <row r="284" spans="1:10" x14ac:dyDescent="0.25">
      <c r="A284" s="214"/>
      <c r="C284" s="215"/>
      <c r="D284" s="216"/>
      <c r="E284" s="216"/>
      <c r="F284" s="217"/>
      <c r="G284" s="216"/>
      <c r="H284" s="216"/>
      <c r="I284" s="217"/>
      <c r="J284" s="217"/>
    </row>
    <row r="285" spans="1:10" x14ac:dyDescent="0.25">
      <c r="A285" s="214"/>
      <c r="C285" s="215"/>
      <c r="D285" s="216"/>
      <c r="E285" s="216"/>
      <c r="F285" s="217"/>
      <c r="G285" s="216"/>
      <c r="H285" s="216"/>
      <c r="I285" s="217"/>
      <c r="J285" s="217"/>
    </row>
    <row r="286" spans="1:10" x14ac:dyDescent="0.25">
      <c r="A286" s="214"/>
      <c r="C286" s="215"/>
      <c r="D286" s="216"/>
      <c r="E286" s="216"/>
      <c r="F286" s="217"/>
      <c r="G286" s="216"/>
      <c r="H286" s="216"/>
      <c r="I286" s="217"/>
      <c r="J286" s="217"/>
    </row>
    <row r="287" spans="1:10" x14ac:dyDescent="0.25">
      <c r="A287" s="214"/>
      <c r="C287" s="215"/>
      <c r="D287" s="216"/>
      <c r="E287" s="216"/>
      <c r="F287" s="217"/>
      <c r="G287" s="216"/>
      <c r="H287" s="216"/>
      <c r="I287" s="217"/>
      <c r="J287" s="217"/>
    </row>
    <row r="288" spans="1:10" x14ac:dyDescent="0.25">
      <c r="A288" s="214"/>
      <c r="C288" s="215"/>
      <c r="D288" s="216"/>
      <c r="E288" s="216"/>
      <c r="F288" s="217"/>
      <c r="G288" s="216"/>
      <c r="H288" s="216"/>
      <c r="I288" s="217"/>
      <c r="J288" s="217"/>
    </row>
    <row r="289" spans="1:10" x14ac:dyDescent="0.25">
      <c r="A289" s="214"/>
      <c r="C289" s="215"/>
      <c r="D289" s="216"/>
      <c r="E289" s="216"/>
      <c r="F289" s="217"/>
      <c r="G289" s="216"/>
      <c r="H289" s="216"/>
      <c r="I289" s="217"/>
      <c r="J289" s="217"/>
    </row>
    <row r="290" spans="1:10" x14ac:dyDescent="0.25">
      <c r="A290" s="214"/>
      <c r="C290" s="215"/>
      <c r="D290" s="216"/>
      <c r="E290" s="216"/>
      <c r="F290" s="217"/>
      <c r="G290" s="216"/>
      <c r="H290" s="216"/>
      <c r="I290" s="217"/>
      <c r="J290" s="217"/>
    </row>
    <row r="291" spans="1:10" x14ac:dyDescent="0.25">
      <c r="A291" s="214"/>
      <c r="C291" s="215"/>
      <c r="D291" s="216"/>
      <c r="E291" s="216"/>
      <c r="F291" s="217"/>
      <c r="G291" s="216"/>
      <c r="H291" s="216"/>
      <c r="I291" s="217"/>
      <c r="J291" s="217"/>
    </row>
    <row r="292" spans="1:10" x14ac:dyDescent="0.25">
      <c r="A292" s="214"/>
      <c r="C292" s="215"/>
      <c r="D292" s="216"/>
      <c r="E292" s="216"/>
      <c r="F292" s="217"/>
      <c r="G292" s="216"/>
      <c r="H292" s="216"/>
      <c r="I292" s="217"/>
      <c r="J292" s="217"/>
    </row>
    <row r="293" spans="1:10" x14ac:dyDescent="0.25">
      <c r="A293" s="214"/>
      <c r="C293" s="215"/>
      <c r="D293" s="216"/>
      <c r="E293" s="216"/>
      <c r="F293" s="217"/>
      <c r="G293" s="216"/>
      <c r="H293" s="216"/>
      <c r="I293" s="217"/>
      <c r="J293" s="217"/>
    </row>
    <row r="294" spans="1:10" x14ac:dyDescent="0.25">
      <c r="A294" s="214"/>
      <c r="C294" s="215"/>
      <c r="D294" s="216"/>
      <c r="E294" s="216"/>
      <c r="F294" s="217"/>
      <c r="G294" s="216"/>
      <c r="H294" s="216"/>
      <c r="I294" s="217"/>
      <c r="J294" s="217"/>
    </row>
    <row r="295" spans="1:10" x14ac:dyDescent="0.25">
      <c r="A295" s="214"/>
      <c r="C295" s="215"/>
      <c r="D295" s="216"/>
      <c r="E295" s="216"/>
      <c r="F295" s="217"/>
      <c r="G295" s="216"/>
      <c r="H295" s="216"/>
      <c r="I295" s="217"/>
      <c r="J295" s="217"/>
    </row>
    <row r="296" spans="1:10" x14ac:dyDescent="0.25">
      <c r="A296" s="214"/>
      <c r="C296" s="215"/>
      <c r="D296" s="216"/>
      <c r="E296" s="216"/>
      <c r="F296" s="217"/>
      <c r="G296" s="216"/>
      <c r="H296" s="216"/>
      <c r="I296" s="217"/>
      <c r="J296" s="217"/>
    </row>
    <row r="297" spans="1:10" x14ac:dyDescent="0.25">
      <c r="A297" s="214"/>
      <c r="C297" s="215"/>
      <c r="D297" s="216"/>
      <c r="E297" s="216"/>
      <c r="F297" s="217"/>
      <c r="G297" s="216"/>
      <c r="H297" s="216"/>
      <c r="I297" s="217"/>
      <c r="J297" s="217"/>
    </row>
    <row r="298" spans="1:10" x14ac:dyDescent="0.25">
      <c r="A298" s="214"/>
      <c r="C298" s="215"/>
      <c r="D298" s="216"/>
      <c r="E298" s="216"/>
      <c r="F298" s="217"/>
      <c r="G298" s="216"/>
      <c r="H298" s="216"/>
      <c r="I298" s="217"/>
      <c r="J298" s="217"/>
    </row>
    <row r="299" spans="1:10" x14ac:dyDescent="0.25">
      <c r="A299" s="214"/>
      <c r="C299" s="215"/>
      <c r="D299" s="216"/>
      <c r="E299" s="216"/>
      <c r="F299" s="217"/>
      <c r="G299" s="216"/>
      <c r="H299" s="216"/>
      <c r="I299" s="217"/>
      <c r="J299" s="217"/>
    </row>
    <row r="300" spans="1:10" x14ac:dyDescent="0.25">
      <c r="A300" s="214"/>
      <c r="C300" s="215"/>
      <c r="D300" s="216"/>
      <c r="E300" s="216"/>
      <c r="F300" s="217"/>
      <c r="G300" s="216"/>
      <c r="H300" s="216"/>
      <c r="I300" s="217"/>
      <c r="J300" s="217"/>
    </row>
    <row r="301" spans="1:10" x14ac:dyDescent="0.25">
      <c r="A301" s="214"/>
      <c r="C301" s="215"/>
      <c r="D301" s="216"/>
      <c r="E301" s="216"/>
      <c r="F301" s="217"/>
      <c r="G301" s="216"/>
      <c r="H301" s="216"/>
      <c r="I301" s="217"/>
      <c r="J301" s="217"/>
    </row>
    <row r="302" spans="1:10" x14ac:dyDescent="0.25">
      <c r="A302" s="214"/>
      <c r="C302" s="215"/>
      <c r="D302" s="216"/>
      <c r="E302" s="216"/>
      <c r="F302" s="217"/>
      <c r="G302" s="216"/>
      <c r="H302" s="216"/>
      <c r="I302" s="217"/>
      <c r="J302" s="217"/>
    </row>
    <row r="303" spans="1:10" x14ac:dyDescent="0.25">
      <c r="A303" s="214"/>
      <c r="C303" s="215"/>
      <c r="D303" s="216"/>
      <c r="E303" s="216"/>
      <c r="F303" s="217"/>
      <c r="G303" s="216"/>
      <c r="H303" s="216"/>
      <c r="I303" s="217"/>
      <c r="J303" s="217"/>
    </row>
    <row r="304" spans="1:10" x14ac:dyDescent="0.25">
      <c r="A304" s="214"/>
      <c r="C304" s="215"/>
      <c r="D304" s="216"/>
      <c r="E304" s="216"/>
      <c r="F304" s="217"/>
      <c r="G304" s="216"/>
      <c r="H304" s="216"/>
      <c r="I304" s="217"/>
      <c r="J304" s="217"/>
    </row>
    <row r="305" spans="1:10" x14ac:dyDescent="0.25">
      <c r="A305" s="214"/>
      <c r="C305" s="215"/>
      <c r="D305" s="216"/>
      <c r="E305" s="216"/>
      <c r="F305" s="217"/>
      <c r="G305" s="216"/>
      <c r="H305" s="216"/>
      <c r="I305" s="217"/>
      <c r="J305" s="217"/>
    </row>
    <row r="306" spans="1:10" x14ac:dyDescent="0.25">
      <c r="A306" s="214"/>
      <c r="C306" s="215"/>
      <c r="D306" s="216"/>
      <c r="E306" s="216"/>
      <c r="F306" s="217"/>
      <c r="G306" s="216"/>
      <c r="H306" s="216"/>
      <c r="I306" s="217"/>
      <c r="J306" s="217"/>
    </row>
    <row r="307" spans="1:10" x14ac:dyDescent="0.25">
      <c r="A307" s="214"/>
      <c r="C307" s="215"/>
      <c r="D307" s="216"/>
      <c r="E307" s="216"/>
      <c r="F307" s="217"/>
      <c r="G307" s="216"/>
      <c r="H307" s="216"/>
      <c r="I307" s="217"/>
      <c r="J307" s="217"/>
    </row>
    <row r="308" spans="1:10" x14ac:dyDescent="0.25">
      <c r="A308" s="214"/>
      <c r="C308" s="215"/>
      <c r="D308" s="216"/>
      <c r="E308" s="216"/>
      <c r="F308" s="217"/>
      <c r="G308" s="216"/>
      <c r="H308" s="216"/>
      <c r="I308" s="217"/>
      <c r="J308" s="217"/>
    </row>
    <row r="309" spans="1:10" x14ac:dyDescent="0.25">
      <c r="A309" s="214"/>
      <c r="C309" s="215"/>
      <c r="D309" s="216"/>
      <c r="E309" s="216"/>
      <c r="F309" s="217"/>
      <c r="G309" s="216"/>
      <c r="H309" s="216"/>
      <c r="I309" s="217"/>
      <c r="J309" s="217"/>
    </row>
    <row r="310" spans="1:10" x14ac:dyDescent="0.25">
      <c r="A310" s="214"/>
      <c r="C310" s="215"/>
      <c r="D310" s="216"/>
      <c r="E310" s="216"/>
      <c r="F310" s="217"/>
      <c r="G310" s="216"/>
      <c r="H310" s="216"/>
      <c r="I310" s="217"/>
      <c r="J310" s="217"/>
    </row>
    <row r="311" spans="1:10" x14ac:dyDescent="0.25">
      <c r="A311" s="214"/>
      <c r="C311" s="215"/>
      <c r="D311" s="216"/>
      <c r="E311" s="216"/>
      <c r="F311" s="217"/>
      <c r="G311" s="216"/>
      <c r="H311" s="216"/>
      <c r="I311" s="217"/>
      <c r="J311" s="217"/>
    </row>
    <row r="312" spans="1:10" x14ac:dyDescent="0.25">
      <c r="A312" s="214"/>
      <c r="C312" s="215"/>
      <c r="D312" s="216"/>
      <c r="E312" s="216"/>
      <c r="F312" s="217"/>
      <c r="G312" s="216"/>
      <c r="H312" s="216"/>
      <c r="I312" s="217"/>
      <c r="J312" s="217"/>
    </row>
    <row r="313" spans="1:10" x14ac:dyDescent="0.25">
      <c r="A313" s="214"/>
      <c r="C313" s="215"/>
      <c r="D313" s="216"/>
      <c r="E313" s="216"/>
      <c r="F313" s="217"/>
      <c r="G313" s="216"/>
      <c r="H313" s="216"/>
      <c r="I313" s="217"/>
      <c r="J313" s="217"/>
    </row>
    <row r="314" spans="1:10" x14ac:dyDescent="0.25">
      <c r="A314" s="214"/>
      <c r="C314" s="215"/>
      <c r="D314" s="216"/>
      <c r="E314" s="216"/>
      <c r="F314" s="217"/>
      <c r="G314" s="216"/>
      <c r="H314" s="216"/>
      <c r="I314" s="217"/>
      <c r="J314" s="217"/>
    </row>
    <row r="315" spans="1:10" x14ac:dyDescent="0.25">
      <c r="A315" s="214"/>
      <c r="C315" s="215"/>
      <c r="D315" s="216"/>
      <c r="E315" s="216"/>
      <c r="F315" s="217"/>
      <c r="G315" s="216"/>
      <c r="H315" s="216"/>
      <c r="I315" s="217"/>
      <c r="J315" s="217"/>
    </row>
    <row r="316" spans="1:10" x14ac:dyDescent="0.25">
      <c r="A316" s="214"/>
      <c r="C316" s="215"/>
      <c r="D316" s="216"/>
      <c r="E316" s="216"/>
      <c r="F316" s="217"/>
      <c r="G316" s="216"/>
      <c r="H316" s="216"/>
      <c r="I316" s="217"/>
      <c r="J316" s="217"/>
    </row>
    <row r="317" spans="1:10" x14ac:dyDescent="0.25">
      <c r="A317" s="214"/>
      <c r="C317" s="215"/>
      <c r="D317" s="216"/>
      <c r="E317" s="216"/>
      <c r="F317" s="217"/>
      <c r="G317" s="216"/>
      <c r="H317" s="216"/>
      <c r="I317" s="217"/>
      <c r="J317" s="217"/>
    </row>
    <row r="318" spans="1:10" x14ac:dyDescent="0.25">
      <c r="A318" s="214"/>
      <c r="C318" s="215"/>
      <c r="D318" s="216"/>
      <c r="E318" s="216"/>
      <c r="F318" s="217"/>
      <c r="G318" s="216"/>
      <c r="H318" s="216"/>
      <c r="I318" s="217"/>
      <c r="J318" s="217"/>
    </row>
    <row r="319" spans="1:10" x14ac:dyDescent="0.25">
      <c r="A319" s="214"/>
      <c r="C319" s="215"/>
      <c r="D319" s="216"/>
      <c r="E319" s="216"/>
      <c r="F319" s="217"/>
      <c r="G319" s="216"/>
      <c r="H319" s="216"/>
      <c r="I319" s="217"/>
      <c r="J319" s="217"/>
    </row>
    <row r="320" spans="1:10" x14ac:dyDescent="0.25">
      <c r="A320" s="214"/>
      <c r="C320" s="215"/>
      <c r="D320" s="216"/>
      <c r="E320" s="216"/>
      <c r="F320" s="217"/>
      <c r="G320" s="216"/>
      <c r="H320" s="216"/>
      <c r="I320" s="217"/>
      <c r="J320" s="217"/>
    </row>
    <row r="321" spans="1:10" x14ac:dyDescent="0.25">
      <c r="A321" s="214"/>
      <c r="C321" s="215"/>
      <c r="D321" s="216"/>
      <c r="E321" s="216"/>
      <c r="F321" s="217"/>
      <c r="G321" s="216"/>
      <c r="H321" s="216"/>
      <c r="I321" s="217"/>
      <c r="J321" s="217"/>
    </row>
    <row r="322" spans="1:10" x14ac:dyDescent="0.25">
      <c r="A322" s="214"/>
      <c r="C322" s="215"/>
      <c r="D322" s="216"/>
      <c r="E322" s="216"/>
      <c r="F322" s="217"/>
      <c r="G322" s="216"/>
      <c r="H322" s="216"/>
      <c r="I322" s="217"/>
      <c r="J322" s="217"/>
    </row>
    <row r="323" spans="1:10" x14ac:dyDescent="0.25">
      <c r="A323" s="214"/>
      <c r="C323" s="215"/>
      <c r="D323" s="216"/>
      <c r="E323" s="216"/>
      <c r="F323" s="217"/>
      <c r="G323" s="216"/>
      <c r="H323" s="216"/>
      <c r="I323" s="217"/>
      <c r="J323" s="217"/>
    </row>
    <row r="324" spans="1:10" x14ac:dyDescent="0.25">
      <c r="A324" s="214"/>
      <c r="C324" s="215"/>
      <c r="D324" s="216"/>
      <c r="E324" s="216"/>
      <c r="F324" s="217"/>
      <c r="G324" s="216"/>
      <c r="H324" s="216"/>
      <c r="I324" s="217"/>
      <c r="J324" s="217"/>
    </row>
    <row r="325" spans="1:10" x14ac:dyDescent="0.25">
      <c r="A325" s="214"/>
      <c r="C325" s="215"/>
      <c r="D325" s="216"/>
      <c r="E325" s="216"/>
      <c r="F325" s="217"/>
      <c r="G325" s="216"/>
      <c r="H325" s="216"/>
      <c r="I325" s="217"/>
      <c r="J325" s="217"/>
    </row>
    <row r="326" spans="1:10" x14ac:dyDescent="0.25">
      <c r="A326" s="214"/>
      <c r="C326" s="215"/>
      <c r="D326" s="216"/>
      <c r="E326" s="216"/>
      <c r="F326" s="217"/>
      <c r="G326" s="216"/>
      <c r="H326" s="216"/>
      <c r="I326" s="217"/>
      <c r="J326" s="217"/>
    </row>
    <row r="327" spans="1:10" x14ac:dyDescent="0.25">
      <c r="A327" s="214"/>
      <c r="C327" s="215"/>
      <c r="D327" s="216"/>
      <c r="E327" s="216"/>
      <c r="F327" s="217"/>
      <c r="G327" s="216"/>
      <c r="H327" s="216"/>
      <c r="I327" s="217"/>
      <c r="J327" s="217"/>
    </row>
    <row r="328" spans="1:10" x14ac:dyDescent="0.25">
      <c r="A328" s="214"/>
      <c r="C328" s="215"/>
      <c r="D328" s="216"/>
      <c r="E328" s="216"/>
      <c r="F328" s="217"/>
      <c r="G328" s="216"/>
      <c r="H328" s="216"/>
      <c r="I328" s="217"/>
      <c r="J328" s="217"/>
    </row>
    <row r="329" spans="1:10" x14ac:dyDescent="0.25">
      <c r="A329" s="214"/>
      <c r="C329" s="215"/>
      <c r="D329" s="216"/>
      <c r="E329" s="216"/>
      <c r="F329" s="217"/>
      <c r="G329" s="216"/>
      <c r="H329" s="216"/>
      <c r="I329" s="217"/>
      <c r="J329" s="217"/>
    </row>
    <row r="330" spans="1:10" x14ac:dyDescent="0.25">
      <c r="A330" s="214"/>
      <c r="C330" s="215"/>
      <c r="D330" s="216"/>
      <c r="E330" s="216"/>
      <c r="F330" s="217"/>
      <c r="G330" s="216"/>
      <c r="H330" s="216"/>
      <c r="I330" s="217"/>
      <c r="J330" s="217"/>
    </row>
    <row r="331" spans="1:10" x14ac:dyDescent="0.25">
      <c r="A331" s="214"/>
      <c r="C331" s="215"/>
      <c r="D331" s="216"/>
      <c r="E331" s="216"/>
      <c r="F331" s="217"/>
      <c r="G331" s="216"/>
      <c r="H331" s="216"/>
      <c r="I331" s="217"/>
      <c r="J331" s="217"/>
    </row>
    <row r="332" spans="1:10" x14ac:dyDescent="0.25">
      <c r="A332" s="214"/>
      <c r="C332" s="215"/>
      <c r="D332" s="216"/>
      <c r="E332" s="216"/>
      <c r="F332" s="217"/>
      <c r="G332" s="216"/>
      <c r="H332" s="216"/>
      <c r="I332" s="217"/>
      <c r="J332" s="217"/>
    </row>
    <row r="333" spans="1:10" x14ac:dyDescent="0.25">
      <c r="A333" s="214"/>
      <c r="C333" s="215"/>
      <c r="D333" s="216"/>
      <c r="E333" s="216"/>
      <c r="F333" s="217"/>
      <c r="G333" s="216"/>
      <c r="H333" s="216"/>
      <c r="I333" s="217"/>
      <c r="J333" s="217"/>
    </row>
    <row r="334" spans="1:10" x14ac:dyDescent="0.25">
      <c r="A334" s="214"/>
      <c r="C334" s="215"/>
      <c r="D334" s="216"/>
      <c r="E334" s="216"/>
      <c r="F334" s="217"/>
      <c r="G334" s="216"/>
      <c r="H334" s="216"/>
      <c r="I334" s="217"/>
      <c r="J334" s="217"/>
    </row>
    <row r="335" spans="1:10" x14ac:dyDescent="0.25">
      <c r="A335" s="214"/>
      <c r="C335" s="215"/>
      <c r="D335" s="216"/>
      <c r="E335" s="216"/>
      <c r="F335" s="217"/>
      <c r="G335" s="216"/>
      <c r="H335" s="216"/>
      <c r="I335" s="217"/>
      <c r="J335" s="217"/>
    </row>
    <row r="336" spans="1:10" x14ac:dyDescent="0.25">
      <c r="A336" s="214"/>
      <c r="C336" s="215"/>
      <c r="D336" s="216"/>
      <c r="E336" s="216"/>
      <c r="F336" s="217"/>
      <c r="G336" s="216"/>
      <c r="H336" s="216"/>
      <c r="I336" s="217"/>
      <c r="J336" s="217"/>
    </row>
    <row r="337" spans="1:10" x14ac:dyDescent="0.25">
      <c r="A337" s="214"/>
      <c r="C337" s="215"/>
      <c r="D337" s="216"/>
      <c r="E337" s="216"/>
      <c r="F337" s="217"/>
      <c r="G337" s="216"/>
      <c r="H337" s="216"/>
      <c r="I337" s="217"/>
      <c r="J337" s="217"/>
    </row>
    <row r="338" spans="1:10" x14ac:dyDescent="0.25">
      <c r="A338" s="214"/>
      <c r="C338" s="215"/>
      <c r="D338" s="216"/>
      <c r="E338" s="216"/>
      <c r="F338" s="217"/>
      <c r="G338" s="216"/>
      <c r="H338" s="216"/>
      <c r="I338" s="217"/>
      <c r="J338" s="217"/>
    </row>
    <row r="339" spans="1:10" x14ac:dyDescent="0.25">
      <c r="A339" s="214"/>
      <c r="C339" s="215"/>
      <c r="D339" s="216"/>
      <c r="E339" s="216"/>
      <c r="F339" s="217"/>
      <c r="G339" s="216"/>
      <c r="H339" s="216"/>
      <c r="I339" s="217"/>
      <c r="J339" s="217"/>
    </row>
    <row r="340" spans="1:10" x14ac:dyDescent="0.25">
      <c r="A340" s="214"/>
      <c r="C340" s="215"/>
      <c r="D340" s="216"/>
      <c r="E340" s="216"/>
      <c r="F340" s="217"/>
      <c r="G340" s="216"/>
      <c r="H340" s="216"/>
      <c r="I340" s="217"/>
      <c r="J340" s="217"/>
    </row>
    <row r="341" spans="1:10" x14ac:dyDescent="0.25">
      <c r="A341" s="214"/>
      <c r="C341" s="215"/>
      <c r="D341" s="216"/>
      <c r="E341" s="216"/>
      <c r="F341" s="217"/>
      <c r="G341" s="216"/>
      <c r="H341" s="216"/>
      <c r="I341" s="217"/>
      <c r="J341" s="217"/>
    </row>
    <row r="342" spans="1:10" x14ac:dyDescent="0.25">
      <c r="A342" s="214"/>
      <c r="C342" s="215"/>
      <c r="D342" s="216"/>
      <c r="E342" s="216"/>
      <c r="F342" s="217"/>
      <c r="G342" s="216"/>
      <c r="H342" s="216"/>
      <c r="I342" s="217"/>
      <c r="J342" s="217"/>
    </row>
    <row r="343" spans="1:10" x14ac:dyDescent="0.25">
      <c r="A343" s="214"/>
      <c r="C343" s="215"/>
      <c r="D343" s="216"/>
      <c r="E343" s="216"/>
      <c r="F343" s="217"/>
      <c r="G343" s="216"/>
      <c r="H343" s="216"/>
      <c r="I343" s="217"/>
      <c r="J343" s="217"/>
    </row>
    <row r="344" spans="1:10" x14ac:dyDescent="0.25">
      <c r="A344" s="214"/>
      <c r="C344" s="215"/>
      <c r="D344" s="216"/>
      <c r="E344" s="216"/>
      <c r="F344" s="217"/>
      <c r="G344" s="216"/>
      <c r="H344" s="216"/>
      <c r="I344" s="217"/>
      <c r="J344" s="217"/>
    </row>
    <row r="345" spans="1:10" x14ac:dyDescent="0.25">
      <c r="A345" s="214"/>
      <c r="C345" s="215"/>
      <c r="D345" s="216"/>
      <c r="E345" s="216"/>
      <c r="F345" s="217"/>
      <c r="G345" s="216"/>
      <c r="H345" s="216"/>
      <c r="I345" s="217"/>
      <c r="J345" s="217"/>
    </row>
    <row r="346" spans="1:10" x14ac:dyDescent="0.25">
      <c r="A346" s="214"/>
      <c r="C346" s="215"/>
      <c r="D346" s="216"/>
      <c r="E346" s="216"/>
      <c r="F346" s="217"/>
      <c r="G346" s="216"/>
      <c r="H346" s="216"/>
      <c r="I346" s="217"/>
      <c r="J346" s="217"/>
    </row>
    <row r="347" spans="1:10" x14ac:dyDescent="0.25">
      <c r="A347" s="214"/>
      <c r="C347" s="215"/>
      <c r="D347" s="216"/>
      <c r="E347" s="216"/>
      <c r="F347" s="217"/>
      <c r="G347" s="216"/>
      <c r="H347" s="216"/>
      <c r="I347" s="217"/>
      <c r="J347" s="217"/>
    </row>
    <row r="348" spans="1:10" x14ac:dyDescent="0.25">
      <c r="A348" s="214"/>
      <c r="C348" s="215"/>
      <c r="D348" s="216"/>
      <c r="E348" s="216"/>
      <c r="F348" s="217"/>
      <c r="G348" s="216"/>
      <c r="H348" s="216"/>
      <c r="I348" s="217"/>
      <c r="J348" s="217"/>
    </row>
    <row r="349" spans="1:10" x14ac:dyDescent="0.25">
      <c r="A349" s="214"/>
      <c r="C349" s="215"/>
      <c r="D349" s="216"/>
      <c r="E349" s="216"/>
      <c r="F349" s="217"/>
      <c r="G349" s="216"/>
      <c r="H349" s="216"/>
      <c r="I349" s="217"/>
      <c r="J349" s="217"/>
    </row>
    <row r="350" spans="1:10" x14ac:dyDescent="0.25">
      <c r="A350" s="214"/>
      <c r="C350" s="215"/>
      <c r="D350" s="216"/>
      <c r="E350" s="216"/>
      <c r="F350" s="217"/>
      <c r="G350" s="216"/>
      <c r="H350" s="216"/>
      <c r="I350" s="217"/>
      <c r="J350" s="217"/>
    </row>
    <row r="351" spans="1:10" x14ac:dyDescent="0.25">
      <c r="A351" s="214"/>
      <c r="C351" s="215"/>
      <c r="D351" s="216"/>
      <c r="E351" s="216"/>
      <c r="F351" s="217"/>
      <c r="G351" s="216"/>
      <c r="H351" s="216"/>
      <c r="I351" s="217"/>
      <c r="J351" s="217"/>
    </row>
    <row r="352" spans="1:10" x14ac:dyDescent="0.25">
      <c r="A352" s="214"/>
      <c r="C352" s="215"/>
      <c r="D352" s="216"/>
      <c r="E352" s="216"/>
      <c r="F352" s="217"/>
      <c r="G352" s="216"/>
      <c r="H352" s="216"/>
      <c r="I352" s="217"/>
      <c r="J352" s="217"/>
    </row>
    <row r="353" spans="1:10" x14ac:dyDescent="0.25">
      <c r="A353" s="214"/>
      <c r="C353" s="215"/>
      <c r="D353" s="216"/>
      <c r="E353" s="216"/>
      <c r="F353" s="217"/>
      <c r="G353" s="216"/>
      <c r="H353" s="216"/>
      <c r="I353" s="217"/>
      <c r="J353" s="217"/>
    </row>
    <row r="354" spans="1:10" x14ac:dyDescent="0.25">
      <c r="A354" s="214"/>
      <c r="C354" s="215"/>
      <c r="D354" s="216"/>
      <c r="E354" s="216"/>
      <c r="F354" s="217"/>
      <c r="G354" s="216"/>
      <c r="H354" s="216"/>
      <c r="I354" s="217"/>
      <c r="J354" s="217"/>
    </row>
    <row r="355" spans="1:10" x14ac:dyDescent="0.25">
      <c r="A355" s="214"/>
      <c r="C355" s="215"/>
      <c r="D355" s="216"/>
      <c r="E355" s="216"/>
      <c r="F355" s="217"/>
      <c r="G355" s="216"/>
      <c r="H355" s="216"/>
      <c r="I355" s="217"/>
      <c r="J355" s="217"/>
    </row>
    <row r="356" spans="1:10" x14ac:dyDescent="0.25">
      <c r="A356" s="214"/>
      <c r="C356" s="215"/>
      <c r="D356" s="216"/>
      <c r="E356" s="216"/>
      <c r="F356" s="217"/>
      <c r="G356" s="216"/>
      <c r="H356" s="216"/>
      <c r="I356" s="217"/>
      <c r="J356" s="217"/>
    </row>
    <row r="357" spans="1:10" x14ac:dyDescent="0.25">
      <c r="A357" s="214"/>
      <c r="C357" s="215"/>
      <c r="D357" s="216"/>
      <c r="E357" s="216"/>
      <c r="F357" s="217"/>
      <c r="G357" s="216"/>
      <c r="H357" s="216"/>
      <c r="I357" s="217"/>
      <c r="J357" s="217"/>
    </row>
    <row r="358" spans="1:10" x14ac:dyDescent="0.25">
      <c r="A358" s="214"/>
      <c r="C358" s="215"/>
      <c r="D358" s="216"/>
      <c r="E358" s="216"/>
      <c r="F358" s="217"/>
      <c r="G358" s="216"/>
      <c r="H358" s="216"/>
      <c r="I358" s="217"/>
      <c r="J358" s="217"/>
    </row>
    <row r="359" spans="1:10" x14ac:dyDescent="0.25">
      <c r="A359" s="214"/>
      <c r="C359" s="215"/>
      <c r="D359" s="216"/>
      <c r="E359" s="216"/>
      <c r="F359" s="217"/>
      <c r="G359" s="216"/>
      <c r="H359" s="216"/>
      <c r="I359" s="217"/>
      <c r="J359" s="217"/>
    </row>
    <row r="360" spans="1:10" x14ac:dyDescent="0.25">
      <c r="A360" s="214"/>
      <c r="C360" s="215"/>
      <c r="D360" s="216"/>
      <c r="E360" s="216"/>
      <c r="F360" s="217"/>
      <c r="G360" s="216"/>
      <c r="H360" s="216"/>
      <c r="I360" s="217"/>
      <c r="J360" s="217"/>
    </row>
    <row r="361" spans="1:10" x14ac:dyDescent="0.25">
      <c r="A361" s="214"/>
      <c r="C361" s="215"/>
      <c r="D361" s="216"/>
      <c r="E361" s="216"/>
      <c r="F361" s="217"/>
      <c r="G361" s="216"/>
      <c r="H361" s="216"/>
      <c r="I361" s="217"/>
      <c r="J361" s="217"/>
    </row>
    <row r="362" spans="1:10" x14ac:dyDescent="0.25">
      <c r="A362" s="214"/>
      <c r="C362" s="215"/>
      <c r="D362" s="216"/>
      <c r="E362" s="216"/>
      <c r="F362" s="217"/>
      <c r="G362" s="216"/>
      <c r="H362" s="216"/>
      <c r="I362" s="217"/>
      <c r="J362" s="217"/>
    </row>
    <row r="363" spans="1:10" x14ac:dyDescent="0.25">
      <c r="A363" s="214"/>
      <c r="C363" s="215"/>
      <c r="D363" s="216"/>
      <c r="E363" s="216"/>
      <c r="F363" s="217"/>
      <c r="G363" s="216"/>
      <c r="H363" s="216"/>
      <c r="I363" s="217"/>
      <c r="J363" s="217"/>
    </row>
    <row r="364" spans="1:10" x14ac:dyDescent="0.25">
      <c r="A364" s="214"/>
      <c r="C364" s="215"/>
      <c r="D364" s="216"/>
      <c r="E364" s="216"/>
      <c r="F364" s="217"/>
      <c r="G364" s="216"/>
      <c r="H364" s="216"/>
      <c r="I364" s="217"/>
      <c r="J364" s="217"/>
    </row>
    <row r="365" spans="1:10" x14ac:dyDescent="0.25">
      <c r="A365" s="214"/>
      <c r="C365" s="215"/>
      <c r="D365" s="216"/>
      <c r="E365" s="216"/>
      <c r="F365" s="217"/>
      <c r="G365" s="216"/>
      <c r="H365" s="216"/>
      <c r="I365" s="217"/>
      <c r="J365" s="217"/>
    </row>
    <row r="366" spans="1:10" x14ac:dyDescent="0.25">
      <c r="A366" s="214"/>
      <c r="C366" s="215"/>
      <c r="D366" s="216"/>
      <c r="E366" s="216"/>
      <c r="F366" s="217"/>
      <c r="G366" s="216"/>
      <c r="H366" s="216"/>
      <c r="I366" s="217"/>
      <c r="J366" s="217"/>
    </row>
    <row r="367" spans="1:10" x14ac:dyDescent="0.25">
      <c r="A367" s="214"/>
      <c r="C367" s="215"/>
      <c r="D367" s="216"/>
      <c r="E367" s="216"/>
      <c r="F367" s="217"/>
      <c r="G367" s="216"/>
      <c r="H367" s="216"/>
      <c r="I367" s="217"/>
      <c r="J367" s="217"/>
    </row>
    <row r="368" spans="1:10" x14ac:dyDescent="0.25">
      <c r="A368" s="214"/>
      <c r="C368" s="215"/>
      <c r="D368" s="216"/>
      <c r="E368" s="216"/>
      <c r="F368" s="217"/>
      <c r="G368" s="216"/>
      <c r="H368" s="216"/>
      <c r="I368" s="217"/>
      <c r="J368" s="217"/>
    </row>
    <row r="369" spans="1:11" x14ac:dyDescent="0.25">
      <c r="A369" s="214"/>
      <c r="C369" s="215"/>
      <c r="D369" s="216"/>
      <c r="E369" s="216"/>
      <c r="F369" s="217"/>
      <c r="G369" s="216"/>
      <c r="H369" s="216"/>
      <c r="I369" s="217"/>
      <c r="J369" s="217"/>
    </row>
    <row r="370" spans="1:11" x14ac:dyDescent="0.25">
      <c r="A370" s="214"/>
      <c r="C370" s="215"/>
      <c r="D370" s="216"/>
      <c r="E370" s="216"/>
      <c r="F370" s="217"/>
      <c r="G370" s="216"/>
      <c r="H370" s="216"/>
      <c r="I370" s="217"/>
      <c r="J370" s="217"/>
    </row>
    <row r="371" spans="1:11" x14ac:dyDescent="0.25">
      <c r="A371" s="214"/>
      <c r="C371" s="215"/>
      <c r="D371" s="216"/>
      <c r="E371" s="216"/>
      <c r="F371" s="217"/>
      <c r="G371" s="216"/>
      <c r="H371" s="216"/>
      <c r="I371" s="217"/>
      <c r="J371" s="217"/>
    </row>
    <row r="372" spans="1:11" x14ac:dyDescent="0.25">
      <c r="A372" s="214"/>
      <c r="C372" s="215"/>
      <c r="D372" s="216"/>
      <c r="E372" s="216"/>
      <c r="F372" s="217"/>
      <c r="G372" s="216"/>
      <c r="H372" s="216"/>
      <c r="I372" s="217"/>
      <c r="J372" s="217"/>
    </row>
    <row r="373" spans="1:11" x14ac:dyDescent="0.25">
      <c r="A373" s="214"/>
      <c r="C373" s="215"/>
      <c r="D373" s="216"/>
      <c r="E373" s="216"/>
      <c r="F373" s="217"/>
      <c r="G373" s="216"/>
      <c r="H373" s="216"/>
      <c r="I373" s="217"/>
      <c r="J373" s="217"/>
    </row>
    <row r="374" spans="1:11" x14ac:dyDescent="0.25">
      <c r="A374" s="214"/>
      <c r="C374" s="215"/>
      <c r="D374" s="216"/>
      <c r="E374" s="216"/>
      <c r="F374" s="217"/>
      <c r="G374" s="216"/>
      <c r="H374" s="216"/>
      <c r="I374" s="217"/>
      <c r="J374" s="217"/>
    </row>
    <row r="375" spans="1:11" x14ac:dyDescent="0.25">
      <c r="A375" s="214"/>
      <c r="C375" s="215"/>
      <c r="D375" s="216"/>
      <c r="E375" s="216"/>
      <c r="F375" s="217"/>
      <c r="G375" s="216"/>
      <c r="H375" s="216"/>
      <c r="I375" s="217"/>
      <c r="J375" s="217"/>
    </row>
    <row r="376" spans="1:11" x14ac:dyDescent="0.25">
      <c r="A376" s="214"/>
      <c r="C376" s="215"/>
      <c r="D376" s="216"/>
      <c r="E376" s="216"/>
      <c r="F376" s="217"/>
      <c r="G376" s="216"/>
      <c r="H376" s="216"/>
      <c r="I376" s="217"/>
      <c r="J376" s="217"/>
      <c r="K376" s="191"/>
    </row>
    <row r="377" spans="1:11" x14ac:dyDescent="0.25">
      <c r="A377" s="214"/>
      <c r="C377" s="215"/>
      <c r="D377" s="216"/>
      <c r="E377" s="216"/>
      <c r="F377" s="217"/>
      <c r="G377" s="216"/>
      <c r="H377" s="216"/>
      <c r="I377" s="217"/>
      <c r="J377" s="217"/>
      <c r="K377" s="191"/>
    </row>
    <row r="378" spans="1:11" x14ac:dyDescent="0.25">
      <c r="A378" s="214"/>
      <c r="C378" s="215"/>
      <c r="D378" s="216"/>
      <c r="E378" s="216"/>
      <c r="F378" s="217"/>
      <c r="G378" s="216"/>
      <c r="H378" s="216"/>
      <c r="I378" s="217"/>
      <c r="J378" s="217"/>
      <c r="K378" s="191"/>
    </row>
    <row r="379" spans="1:11" x14ac:dyDescent="0.25">
      <c r="A379" s="214"/>
      <c r="C379" s="215"/>
      <c r="D379" s="216"/>
      <c r="E379" s="216"/>
      <c r="F379" s="217"/>
      <c r="G379" s="216"/>
      <c r="H379" s="216"/>
      <c r="I379" s="217"/>
      <c r="J379" s="217"/>
      <c r="K379" s="191"/>
    </row>
    <row r="380" spans="1:11" x14ac:dyDescent="0.25">
      <c r="A380" s="214"/>
      <c r="C380" s="215"/>
      <c r="D380" s="216"/>
      <c r="E380" s="216"/>
      <c r="F380" s="217"/>
      <c r="G380" s="216"/>
      <c r="H380" s="216"/>
      <c r="I380" s="217"/>
      <c r="J380" s="217"/>
      <c r="K380" s="191"/>
    </row>
    <row r="381" spans="1:11" x14ac:dyDescent="0.25">
      <c r="A381" s="214"/>
      <c r="C381" s="215"/>
      <c r="D381" s="216"/>
      <c r="E381" s="216"/>
      <c r="F381" s="217"/>
      <c r="G381" s="216"/>
      <c r="H381" s="216"/>
      <c r="I381" s="217"/>
      <c r="J381" s="217"/>
      <c r="K381" s="191"/>
    </row>
    <row r="382" spans="1:11" x14ac:dyDescent="0.25">
      <c r="A382" s="214"/>
      <c r="C382" s="215"/>
      <c r="D382" s="216"/>
      <c r="E382" s="216"/>
      <c r="F382" s="217"/>
      <c r="G382" s="216"/>
      <c r="H382" s="216"/>
      <c r="I382" s="217"/>
      <c r="J382" s="217"/>
      <c r="K382" s="191"/>
    </row>
    <row r="383" spans="1:11" x14ac:dyDescent="0.25">
      <c r="A383" s="214"/>
      <c r="C383" s="215"/>
      <c r="D383" s="216"/>
      <c r="E383" s="216"/>
      <c r="F383" s="217"/>
      <c r="G383" s="216"/>
      <c r="H383" s="216"/>
      <c r="I383" s="217"/>
      <c r="J383" s="217"/>
      <c r="K383" s="191"/>
    </row>
    <row r="384" spans="1:11" x14ac:dyDescent="0.25">
      <c r="A384" s="214"/>
      <c r="C384" s="215"/>
      <c r="D384" s="216"/>
      <c r="E384" s="216"/>
      <c r="F384" s="217"/>
      <c r="G384" s="216"/>
      <c r="H384" s="216"/>
      <c r="I384" s="217"/>
      <c r="J384" s="217"/>
      <c r="K384" s="191"/>
    </row>
    <row r="385" spans="1:11" x14ac:dyDescent="0.25">
      <c r="A385" s="214"/>
      <c r="C385" s="215"/>
      <c r="D385" s="216"/>
      <c r="E385" s="216"/>
      <c r="F385" s="217"/>
      <c r="G385" s="216"/>
      <c r="H385" s="216"/>
      <c r="I385" s="217"/>
      <c r="J385" s="217"/>
      <c r="K385" s="191"/>
    </row>
    <row r="386" spans="1:11" x14ac:dyDescent="0.25">
      <c r="A386" s="214"/>
      <c r="C386" s="215"/>
      <c r="D386" s="216"/>
      <c r="E386" s="216"/>
      <c r="F386" s="217"/>
      <c r="G386" s="216"/>
      <c r="H386" s="216"/>
      <c r="I386" s="217"/>
      <c r="J386" s="217"/>
      <c r="K386" s="191"/>
    </row>
    <row r="387" spans="1:11" x14ac:dyDescent="0.25">
      <c r="A387" s="214"/>
      <c r="C387" s="215"/>
      <c r="D387" s="216"/>
      <c r="E387" s="216"/>
      <c r="F387" s="217"/>
      <c r="G387" s="216"/>
      <c r="H387" s="216"/>
      <c r="I387" s="217"/>
      <c r="J387" s="217"/>
      <c r="K387" s="191"/>
    </row>
    <row r="388" spans="1:11" x14ac:dyDescent="0.25">
      <c r="A388" s="214"/>
      <c r="C388" s="215"/>
      <c r="D388" s="216"/>
      <c r="E388" s="216"/>
      <c r="F388" s="217"/>
      <c r="G388" s="216"/>
      <c r="H388" s="216"/>
      <c r="I388" s="217"/>
      <c r="J388" s="217"/>
      <c r="K388" s="191"/>
    </row>
    <row r="389" spans="1:11" x14ac:dyDescent="0.25">
      <c r="A389" s="214"/>
      <c r="C389" s="215"/>
      <c r="D389" s="216"/>
      <c r="E389" s="216"/>
      <c r="F389" s="217"/>
      <c r="G389" s="216"/>
      <c r="H389" s="216"/>
      <c r="I389" s="217"/>
      <c r="J389" s="217"/>
      <c r="K389" s="191"/>
    </row>
    <row r="390" spans="1:11" x14ac:dyDescent="0.25">
      <c r="A390" s="214"/>
      <c r="C390" s="215"/>
      <c r="D390" s="216"/>
      <c r="E390" s="216"/>
      <c r="F390" s="217"/>
      <c r="G390" s="216"/>
      <c r="H390" s="216"/>
      <c r="I390" s="217"/>
      <c r="J390" s="217"/>
      <c r="K390" s="191"/>
    </row>
    <row r="391" spans="1:11" x14ac:dyDescent="0.25">
      <c r="A391" s="214"/>
      <c r="C391" s="215"/>
      <c r="D391" s="216"/>
      <c r="E391" s="216"/>
      <c r="F391" s="217"/>
      <c r="G391" s="216"/>
      <c r="H391" s="216"/>
      <c r="I391" s="217"/>
      <c r="J391" s="217"/>
      <c r="K391" s="191"/>
    </row>
    <row r="392" spans="1:11" x14ac:dyDescent="0.25">
      <c r="A392" s="214"/>
      <c r="C392" s="215"/>
      <c r="D392" s="216"/>
      <c r="E392" s="216"/>
      <c r="F392" s="217"/>
      <c r="G392" s="216"/>
      <c r="H392" s="216"/>
      <c r="I392" s="217"/>
      <c r="J392" s="217"/>
      <c r="K392" s="191"/>
    </row>
    <row r="393" spans="1:11" x14ac:dyDescent="0.25">
      <c r="A393" s="214"/>
      <c r="C393" s="215"/>
      <c r="D393" s="216"/>
      <c r="E393" s="216"/>
      <c r="F393" s="217"/>
      <c r="G393" s="216"/>
      <c r="H393" s="216"/>
      <c r="I393" s="217"/>
      <c r="J393" s="217"/>
      <c r="K393" s="191"/>
    </row>
    <row r="394" spans="1:11" x14ac:dyDescent="0.25">
      <c r="A394" s="214"/>
      <c r="C394" s="215"/>
      <c r="D394" s="216"/>
      <c r="E394" s="216"/>
      <c r="F394" s="217"/>
      <c r="G394" s="216"/>
      <c r="H394" s="216"/>
      <c r="I394" s="217"/>
      <c r="J394" s="217"/>
      <c r="K394" s="191"/>
    </row>
    <row r="395" spans="1:11" x14ac:dyDescent="0.25">
      <c r="A395" s="214"/>
      <c r="C395" s="215"/>
      <c r="D395" s="216"/>
      <c r="E395" s="216"/>
      <c r="F395" s="217"/>
      <c r="G395" s="216"/>
      <c r="H395" s="216"/>
      <c r="I395" s="217"/>
      <c r="J395" s="217"/>
      <c r="K395" s="191"/>
    </row>
    <row r="396" spans="1:11" x14ac:dyDescent="0.25">
      <c r="A396" s="214"/>
      <c r="C396" s="215"/>
      <c r="D396" s="216"/>
      <c r="E396" s="216"/>
      <c r="F396" s="217"/>
      <c r="G396" s="216"/>
      <c r="H396" s="216"/>
      <c r="I396" s="217"/>
      <c r="J396" s="217"/>
      <c r="K396" s="191"/>
    </row>
    <row r="397" spans="1:11" x14ac:dyDescent="0.25">
      <c r="A397" s="214"/>
      <c r="C397" s="215"/>
      <c r="D397" s="216"/>
      <c r="E397" s="216"/>
      <c r="F397" s="217"/>
      <c r="G397" s="216"/>
      <c r="H397" s="216"/>
      <c r="I397" s="217"/>
      <c r="J397" s="217"/>
      <c r="K397" s="191"/>
    </row>
    <row r="398" spans="1:11" x14ac:dyDescent="0.25">
      <c r="A398" s="214"/>
      <c r="C398" s="215"/>
      <c r="D398" s="216"/>
      <c r="E398" s="216"/>
      <c r="F398" s="217"/>
      <c r="G398" s="216"/>
      <c r="H398" s="216"/>
      <c r="I398" s="217"/>
      <c r="J398" s="217"/>
      <c r="K398" s="191"/>
    </row>
    <row r="399" spans="1:11" x14ac:dyDescent="0.25">
      <c r="A399" s="214"/>
      <c r="C399" s="215"/>
      <c r="D399" s="216"/>
      <c r="E399" s="216"/>
      <c r="F399" s="217"/>
      <c r="G399" s="216"/>
      <c r="H399" s="216"/>
      <c r="I399" s="217"/>
      <c r="J399" s="217"/>
      <c r="K399" s="191"/>
    </row>
    <row r="400" spans="1:11" x14ac:dyDescent="0.25">
      <c r="A400" s="214"/>
      <c r="C400" s="215"/>
      <c r="D400" s="216"/>
      <c r="E400" s="216"/>
      <c r="F400" s="217"/>
      <c r="G400" s="216"/>
      <c r="H400" s="216"/>
      <c r="I400" s="217"/>
      <c r="J400" s="217"/>
      <c r="K400" s="191"/>
    </row>
    <row r="401" spans="1:11" x14ac:dyDescent="0.25">
      <c r="A401" s="214"/>
      <c r="C401" s="215"/>
      <c r="D401" s="216"/>
      <c r="E401" s="216"/>
      <c r="F401" s="217"/>
      <c r="G401" s="216"/>
      <c r="H401" s="216"/>
      <c r="I401" s="217"/>
      <c r="J401" s="217"/>
      <c r="K401" s="191"/>
    </row>
    <row r="402" spans="1:11" x14ac:dyDescent="0.25">
      <c r="A402" s="214"/>
      <c r="C402" s="215"/>
      <c r="D402" s="216"/>
      <c r="E402" s="216"/>
      <c r="F402" s="217"/>
      <c r="G402" s="216"/>
      <c r="H402" s="216"/>
      <c r="I402" s="217"/>
      <c r="J402" s="217"/>
      <c r="K402" s="191"/>
    </row>
    <row r="403" spans="1:11" x14ac:dyDescent="0.25">
      <c r="A403" s="214"/>
      <c r="C403" s="215"/>
      <c r="D403" s="216"/>
      <c r="E403" s="216"/>
      <c r="F403" s="217"/>
      <c r="G403" s="216"/>
      <c r="H403" s="216"/>
      <c r="I403" s="217"/>
      <c r="J403" s="217"/>
      <c r="K403" s="191"/>
    </row>
    <row r="404" spans="1:11" x14ac:dyDescent="0.25">
      <c r="A404" s="214"/>
      <c r="C404" s="215"/>
      <c r="D404" s="216"/>
      <c r="E404" s="216"/>
      <c r="F404" s="217"/>
      <c r="G404" s="216"/>
      <c r="H404" s="216"/>
      <c r="I404" s="217"/>
      <c r="J404" s="217"/>
      <c r="K404" s="191"/>
    </row>
    <row r="405" spans="1:11" x14ac:dyDescent="0.25">
      <c r="A405" s="214"/>
      <c r="C405" s="215"/>
      <c r="D405" s="216"/>
      <c r="E405" s="216"/>
      <c r="F405" s="217"/>
      <c r="G405" s="216"/>
      <c r="H405" s="216"/>
      <c r="I405" s="217"/>
      <c r="J405" s="217"/>
      <c r="K405" s="191"/>
    </row>
    <row r="406" spans="1:11" x14ac:dyDescent="0.25">
      <c r="A406" s="214"/>
      <c r="C406" s="215"/>
      <c r="D406" s="216"/>
      <c r="E406" s="216"/>
      <c r="F406" s="217"/>
      <c r="G406" s="216"/>
      <c r="H406" s="216"/>
      <c r="I406" s="217"/>
      <c r="J406" s="217"/>
      <c r="K406" s="191"/>
    </row>
    <row r="407" spans="1:11" x14ac:dyDescent="0.25">
      <c r="A407" s="214"/>
      <c r="C407" s="215"/>
      <c r="D407" s="216"/>
      <c r="E407" s="216"/>
      <c r="F407" s="217"/>
      <c r="G407" s="216"/>
      <c r="H407" s="216"/>
      <c r="I407" s="217"/>
      <c r="J407" s="217"/>
      <c r="K407" s="191"/>
    </row>
    <row r="408" spans="1:11" x14ac:dyDescent="0.25">
      <c r="A408" s="214"/>
      <c r="C408" s="215"/>
      <c r="D408" s="216"/>
      <c r="E408" s="216"/>
      <c r="F408" s="217"/>
      <c r="G408" s="216"/>
      <c r="H408" s="216"/>
      <c r="I408" s="217"/>
      <c r="J408" s="217"/>
      <c r="K408" s="191"/>
    </row>
    <row r="409" spans="1:11" x14ac:dyDescent="0.25">
      <c r="A409" s="214"/>
      <c r="C409" s="215"/>
      <c r="D409" s="216"/>
      <c r="E409" s="216"/>
      <c r="F409" s="217"/>
      <c r="G409" s="216"/>
      <c r="H409" s="216"/>
      <c r="I409" s="217"/>
      <c r="J409" s="217"/>
      <c r="K409" s="191"/>
    </row>
    <row r="410" spans="1:11" x14ac:dyDescent="0.25">
      <c r="A410" s="214"/>
      <c r="C410" s="215"/>
      <c r="D410" s="216"/>
      <c r="E410" s="216"/>
      <c r="F410" s="217"/>
      <c r="G410" s="216"/>
      <c r="H410" s="216"/>
      <c r="I410" s="217"/>
      <c r="J410" s="217"/>
      <c r="K410" s="191"/>
    </row>
    <row r="411" spans="1:11" x14ac:dyDescent="0.25">
      <c r="A411" s="214"/>
      <c r="C411" s="215"/>
      <c r="D411" s="216"/>
      <c r="E411" s="216"/>
      <c r="F411" s="217"/>
      <c r="G411" s="216"/>
      <c r="H411" s="216"/>
      <c r="I411" s="217"/>
      <c r="J411" s="217"/>
      <c r="K411" s="191"/>
    </row>
    <row r="412" spans="1:11" x14ac:dyDescent="0.25">
      <c r="A412" s="214"/>
      <c r="C412" s="215"/>
      <c r="D412" s="216"/>
      <c r="E412" s="216"/>
      <c r="F412" s="217"/>
      <c r="G412" s="216"/>
      <c r="H412" s="216"/>
      <c r="I412" s="217"/>
      <c r="J412" s="217"/>
      <c r="K412" s="191"/>
    </row>
    <row r="413" spans="1:11" x14ac:dyDescent="0.25">
      <c r="A413" s="214"/>
      <c r="C413" s="215"/>
      <c r="D413" s="216"/>
      <c r="E413" s="216"/>
      <c r="F413" s="217"/>
      <c r="G413" s="216"/>
      <c r="H413" s="216"/>
      <c r="I413" s="217"/>
      <c r="J413" s="217"/>
      <c r="K413" s="191"/>
    </row>
    <row r="414" spans="1:11" x14ac:dyDescent="0.25">
      <c r="A414" s="214"/>
      <c r="C414" s="215"/>
      <c r="D414" s="216"/>
      <c r="E414" s="216"/>
      <c r="F414" s="217"/>
      <c r="G414" s="216"/>
      <c r="H414" s="216"/>
      <c r="I414" s="217"/>
      <c r="J414" s="217"/>
      <c r="K414" s="191"/>
    </row>
    <row r="415" spans="1:11" x14ac:dyDescent="0.25">
      <c r="A415" s="214"/>
      <c r="C415" s="215"/>
      <c r="D415" s="216"/>
      <c r="E415" s="216"/>
      <c r="F415" s="217"/>
      <c r="G415" s="216"/>
      <c r="H415" s="216"/>
      <c r="I415" s="217"/>
      <c r="J415" s="217"/>
      <c r="K415" s="191"/>
    </row>
    <row r="416" spans="1:11" x14ac:dyDescent="0.25">
      <c r="A416" s="214"/>
      <c r="C416" s="215"/>
      <c r="D416" s="216"/>
      <c r="E416" s="216"/>
      <c r="F416" s="217"/>
      <c r="G416" s="216"/>
      <c r="H416" s="216"/>
      <c r="I416" s="217"/>
      <c r="J416" s="217"/>
      <c r="K416" s="191"/>
    </row>
    <row r="417" spans="1:11" x14ac:dyDescent="0.25">
      <c r="A417" s="214"/>
      <c r="C417" s="215"/>
      <c r="D417" s="216"/>
      <c r="E417" s="216"/>
      <c r="F417" s="217"/>
      <c r="G417" s="216"/>
      <c r="H417" s="216"/>
      <c r="I417" s="217"/>
      <c r="J417" s="217"/>
      <c r="K417" s="191"/>
    </row>
    <row r="418" spans="1:11" x14ac:dyDescent="0.25">
      <c r="A418" s="214"/>
      <c r="C418" s="215"/>
      <c r="D418" s="216"/>
      <c r="E418" s="216"/>
      <c r="F418" s="217"/>
      <c r="G418" s="216"/>
      <c r="H418" s="216"/>
      <c r="I418" s="217"/>
      <c r="J418" s="217"/>
      <c r="K418" s="191"/>
    </row>
    <row r="419" spans="1:11" x14ac:dyDescent="0.25">
      <c r="A419" s="214"/>
      <c r="C419" s="215"/>
      <c r="D419" s="216"/>
      <c r="E419" s="216"/>
      <c r="F419" s="217"/>
      <c r="G419" s="216"/>
      <c r="H419" s="216"/>
      <c r="I419" s="217"/>
      <c r="J419" s="217"/>
      <c r="K419" s="191"/>
    </row>
    <row r="420" spans="1:11" x14ac:dyDescent="0.25">
      <c r="A420" s="214"/>
      <c r="C420" s="215"/>
      <c r="D420" s="216"/>
      <c r="E420" s="216"/>
      <c r="F420" s="217"/>
      <c r="G420" s="216"/>
      <c r="H420" s="216"/>
      <c r="I420" s="217"/>
      <c r="J420" s="217"/>
      <c r="K420" s="191"/>
    </row>
    <row r="421" spans="1:11" x14ac:dyDescent="0.25">
      <c r="A421" s="214"/>
      <c r="C421" s="215"/>
      <c r="D421" s="216"/>
      <c r="E421" s="216"/>
      <c r="F421" s="217"/>
      <c r="G421" s="216"/>
      <c r="H421" s="216"/>
      <c r="I421" s="217"/>
      <c r="J421" s="217"/>
      <c r="K421" s="191"/>
    </row>
    <row r="422" spans="1:11" x14ac:dyDescent="0.25">
      <c r="A422" s="214"/>
      <c r="C422" s="215"/>
      <c r="D422" s="216"/>
      <c r="E422" s="216"/>
      <c r="F422" s="217"/>
      <c r="G422" s="216"/>
      <c r="H422" s="216"/>
      <c r="I422" s="217"/>
      <c r="J422" s="217"/>
      <c r="K422" s="191"/>
    </row>
    <row r="423" spans="1:11" x14ac:dyDescent="0.25">
      <c r="A423" s="214"/>
      <c r="C423" s="215"/>
      <c r="D423" s="216"/>
      <c r="E423" s="216"/>
      <c r="F423" s="217"/>
      <c r="G423" s="216"/>
      <c r="H423" s="216"/>
      <c r="I423" s="217"/>
      <c r="J423" s="217"/>
      <c r="K423" s="191"/>
    </row>
    <row r="424" spans="1:11" x14ac:dyDescent="0.25">
      <c r="A424" s="214"/>
      <c r="C424" s="215"/>
      <c r="D424" s="216"/>
      <c r="E424" s="216"/>
      <c r="F424" s="217"/>
      <c r="G424" s="216"/>
      <c r="H424" s="216"/>
      <c r="I424" s="217"/>
      <c r="J424" s="217"/>
      <c r="K424" s="191"/>
    </row>
    <row r="425" spans="1:11" x14ac:dyDescent="0.25">
      <c r="A425" s="214"/>
      <c r="C425" s="215"/>
      <c r="D425" s="216"/>
      <c r="E425" s="216"/>
      <c r="F425" s="217"/>
      <c r="G425" s="216"/>
      <c r="H425" s="216"/>
      <c r="I425" s="217"/>
      <c r="J425" s="217"/>
      <c r="K425" s="191"/>
    </row>
    <row r="426" spans="1:11" x14ac:dyDescent="0.25">
      <c r="A426" s="214"/>
      <c r="C426" s="215"/>
      <c r="D426" s="216"/>
      <c r="E426" s="216"/>
      <c r="F426" s="217"/>
      <c r="G426" s="216"/>
      <c r="H426" s="216"/>
      <c r="I426" s="217"/>
      <c r="J426" s="217"/>
      <c r="K426" s="191"/>
    </row>
    <row r="427" spans="1:11" x14ac:dyDescent="0.25">
      <c r="A427" s="214"/>
      <c r="C427" s="215"/>
      <c r="D427" s="216"/>
      <c r="E427" s="216"/>
      <c r="F427" s="217"/>
      <c r="G427" s="216"/>
      <c r="H427" s="216"/>
      <c r="I427" s="217"/>
      <c r="J427" s="217"/>
      <c r="K427" s="191"/>
    </row>
    <row r="428" spans="1:11" x14ac:dyDescent="0.25">
      <c r="A428" s="214"/>
      <c r="C428" s="215"/>
      <c r="D428" s="216"/>
      <c r="E428" s="216"/>
      <c r="F428" s="217"/>
      <c r="G428" s="216"/>
      <c r="H428" s="216"/>
      <c r="I428" s="217"/>
      <c r="J428" s="217"/>
      <c r="K428" s="191"/>
    </row>
    <row r="429" spans="1:11" x14ac:dyDescent="0.25">
      <c r="A429" s="214"/>
      <c r="C429" s="215"/>
      <c r="D429" s="216"/>
      <c r="E429" s="216"/>
      <c r="F429" s="217"/>
      <c r="G429" s="216"/>
      <c r="H429" s="216"/>
      <c r="I429" s="217"/>
      <c r="J429" s="217"/>
      <c r="K429" s="191"/>
    </row>
    <row r="430" spans="1:11" x14ac:dyDescent="0.25">
      <c r="A430" s="214"/>
      <c r="C430" s="215"/>
      <c r="D430" s="216"/>
      <c r="E430" s="216"/>
      <c r="F430" s="217"/>
      <c r="G430" s="216"/>
      <c r="H430" s="216"/>
      <c r="I430" s="217"/>
      <c r="J430" s="217"/>
      <c r="K430" s="191"/>
    </row>
    <row r="431" spans="1:11" x14ac:dyDescent="0.25">
      <c r="A431" s="214"/>
      <c r="C431" s="215"/>
      <c r="D431" s="216"/>
      <c r="E431" s="216"/>
      <c r="F431" s="217"/>
      <c r="G431" s="216"/>
      <c r="H431" s="216"/>
      <c r="I431" s="217"/>
      <c r="J431" s="217"/>
      <c r="K431" s="191"/>
    </row>
    <row r="432" spans="1:11" x14ac:dyDescent="0.25">
      <c r="A432" s="214"/>
      <c r="C432" s="215"/>
      <c r="D432" s="216"/>
      <c r="E432" s="216"/>
      <c r="F432" s="217"/>
      <c r="G432" s="216"/>
      <c r="H432" s="216"/>
      <c r="I432" s="217"/>
      <c r="J432" s="217"/>
      <c r="K432" s="191"/>
    </row>
    <row r="433" spans="1:11" x14ac:dyDescent="0.25">
      <c r="A433" s="214"/>
      <c r="C433" s="215"/>
      <c r="D433" s="216"/>
      <c r="E433" s="216"/>
      <c r="F433" s="217"/>
      <c r="G433" s="216"/>
      <c r="H433" s="216"/>
      <c r="I433" s="217"/>
      <c r="J433" s="217"/>
      <c r="K433" s="191"/>
    </row>
    <row r="434" spans="1:11" x14ac:dyDescent="0.25">
      <c r="A434" s="214"/>
      <c r="C434" s="215"/>
      <c r="D434" s="216"/>
      <c r="E434" s="216"/>
      <c r="F434" s="217"/>
      <c r="G434" s="216"/>
      <c r="H434" s="216"/>
      <c r="I434" s="217"/>
      <c r="J434" s="217"/>
      <c r="K434" s="191"/>
    </row>
    <row r="435" spans="1:11" x14ac:dyDescent="0.25">
      <c r="A435" s="214"/>
      <c r="C435" s="215"/>
      <c r="D435" s="216"/>
      <c r="E435" s="216"/>
      <c r="F435" s="217"/>
      <c r="G435" s="216"/>
      <c r="H435" s="216"/>
      <c r="I435" s="217"/>
      <c r="J435" s="217"/>
      <c r="K435" s="191"/>
    </row>
    <row r="436" spans="1:11" x14ac:dyDescent="0.25">
      <c r="A436" s="214"/>
      <c r="C436" s="215"/>
      <c r="D436" s="216"/>
      <c r="E436" s="216"/>
      <c r="F436" s="217"/>
      <c r="G436" s="216"/>
      <c r="H436" s="216"/>
      <c r="I436" s="217"/>
      <c r="J436" s="217"/>
      <c r="K436" s="191"/>
    </row>
    <row r="437" spans="1:11" x14ac:dyDescent="0.25">
      <c r="A437" s="214"/>
      <c r="C437" s="215"/>
      <c r="D437" s="216"/>
      <c r="E437" s="216"/>
      <c r="F437" s="217"/>
      <c r="G437" s="216"/>
      <c r="H437" s="216"/>
      <c r="I437" s="217"/>
      <c r="J437" s="217"/>
      <c r="K437" s="191"/>
    </row>
    <row r="438" spans="1:11" x14ac:dyDescent="0.25">
      <c r="A438" s="214"/>
      <c r="C438" s="215"/>
      <c r="D438" s="216"/>
      <c r="E438" s="216"/>
      <c r="F438" s="217"/>
      <c r="G438" s="216"/>
      <c r="H438" s="216"/>
      <c r="I438" s="217"/>
      <c r="J438" s="217"/>
      <c r="K438" s="191"/>
    </row>
    <row r="439" spans="1:11" x14ac:dyDescent="0.25">
      <c r="A439" s="214"/>
      <c r="C439" s="215"/>
      <c r="D439" s="216"/>
      <c r="E439" s="216"/>
      <c r="F439" s="217"/>
      <c r="G439" s="216"/>
      <c r="H439" s="216"/>
      <c r="I439" s="217"/>
      <c r="J439" s="217"/>
      <c r="K439" s="191"/>
    </row>
    <row r="440" spans="1:11" x14ac:dyDescent="0.25">
      <c r="A440" s="214"/>
      <c r="C440" s="215"/>
      <c r="D440" s="216"/>
      <c r="E440" s="216"/>
      <c r="F440" s="217"/>
      <c r="G440" s="216"/>
      <c r="H440" s="216"/>
      <c r="I440" s="217"/>
      <c r="J440" s="217"/>
      <c r="K440" s="191"/>
    </row>
    <row r="441" spans="1:11" x14ac:dyDescent="0.25">
      <c r="A441" s="214"/>
      <c r="C441" s="215"/>
      <c r="D441" s="216"/>
      <c r="E441" s="216"/>
      <c r="F441" s="217"/>
      <c r="G441" s="216"/>
      <c r="H441" s="216"/>
      <c r="I441" s="217"/>
      <c r="J441" s="217"/>
      <c r="K441" s="191"/>
    </row>
    <row r="442" spans="1:11" x14ac:dyDescent="0.25">
      <c r="A442" s="214"/>
      <c r="C442" s="215"/>
      <c r="D442" s="216"/>
      <c r="E442" s="216"/>
      <c r="F442" s="217"/>
      <c r="G442" s="216"/>
      <c r="H442" s="216"/>
      <c r="I442" s="217"/>
      <c r="J442" s="217"/>
      <c r="K442" s="191"/>
    </row>
    <row r="443" spans="1:11" x14ac:dyDescent="0.25">
      <c r="A443" s="214"/>
      <c r="C443" s="215"/>
      <c r="D443" s="216"/>
      <c r="E443" s="216"/>
      <c r="F443" s="217"/>
      <c r="G443" s="216"/>
      <c r="H443" s="216"/>
      <c r="I443" s="217"/>
      <c r="J443" s="217"/>
      <c r="K443" s="191"/>
    </row>
    <row r="444" spans="1:11" x14ac:dyDescent="0.25">
      <c r="A444" s="214"/>
      <c r="C444" s="215"/>
      <c r="D444" s="216"/>
      <c r="E444" s="216"/>
      <c r="F444" s="217"/>
      <c r="G444" s="216"/>
      <c r="H444" s="216"/>
      <c r="I444" s="217"/>
      <c r="J444" s="217"/>
      <c r="K444" s="191"/>
    </row>
    <row r="445" spans="1:11" x14ac:dyDescent="0.25">
      <c r="A445" s="214"/>
      <c r="C445" s="215"/>
      <c r="D445" s="216"/>
      <c r="E445" s="216"/>
      <c r="F445" s="217"/>
      <c r="G445" s="216"/>
      <c r="H445" s="216"/>
      <c r="I445" s="217"/>
      <c r="J445" s="217"/>
      <c r="K445" s="191"/>
    </row>
    <row r="446" spans="1:11" x14ac:dyDescent="0.25">
      <c r="A446" s="214"/>
      <c r="C446" s="215"/>
      <c r="D446" s="216"/>
      <c r="E446" s="216"/>
      <c r="F446" s="217"/>
      <c r="G446" s="216"/>
      <c r="H446" s="216"/>
      <c r="I446" s="217"/>
      <c r="J446" s="217"/>
      <c r="K446" s="191"/>
    </row>
    <row r="447" spans="1:11" x14ac:dyDescent="0.25">
      <c r="A447" s="214"/>
      <c r="C447" s="215"/>
      <c r="D447" s="216"/>
      <c r="E447" s="216"/>
      <c r="F447" s="217"/>
      <c r="G447" s="216"/>
      <c r="H447" s="216"/>
      <c r="I447" s="217"/>
      <c r="J447" s="217"/>
      <c r="K447" s="191"/>
    </row>
    <row r="448" spans="1:11" x14ac:dyDescent="0.25">
      <c r="A448" s="214"/>
      <c r="C448" s="215"/>
      <c r="D448" s="216"/>
      <c r="E448" s="216"/>
      <c r="F448" s="217"/>
      <c r="G448" s="216"/>
      <c r="H448" s="216"/>
      <c r="I448" s="217"/>
      <c r="J448" s="217"/>
      <c r="K448" s="191"/>
    </row>
    <row r="449" spans="1:11" x14ac:dyDescent="0.25">
      <c r="A449" s="214"/>
      <c r="C449" s="215"/>
      <c r="D449" s="216"/>
      <c r="E449" s="216"/>
      <c r="F449" s="217"/>
      <c r="G449" s="216"/>
      <c r="H449" s="216"/>
      <c r="I449" s="217"/>
      <c r="J449" s="217"/>
      <c r="K449" s="191"/>
    </row>
    <row r="450" spans="1:11" x14ac:dyDescent="0.25">
      <c r="A450" s="214"/>
      <c r="C450" s="215"/>
      <c r="D450" s="216"/>
      <c r="E450" s="216"/>
      <c r="F450" s="217"/>
      <c r="G450" s="216"/>
      <c r="H450" s="216"/>
      <c r="I450" s="217"/>
      <c r="J450" s="217"/>
      <c r="K450" s="191"/>
    </row>
    <row r="451" spans="1:11" x14ac:dyDescent="0.25">
      <c r="A451" s="214"/>
      <c r="C451" s="215"/>
      <c r="D451" s="216"/>
      <c r="E451" s="216"/>
      <c r="F451" s="217"/>
      <c r="G451" s="216"/>
      <c r="H451" s="216"/>
      <c r="I451" s="217"/>
      <c r="J451" s="217"/>
      <c r="K451" s="191"/>
    </row>
    <row r="452" spans="1:11" x14ac:dyDescent="0.25">
      <c r="A452" s="214"/>
      <c r="C452" s="215"/>
      <c r="D452" s="216"/>
      <c r="E452" s="216"/>
      <c r="F452" s="217"/>
      <c r="G452" s="216"/>
      <c r="H452" s="216"/>
      <c r="I452" s="217"/>
      <c r="J452" s="217"/>
      <c r="K452" s="191"/>
    </row>
    <row r="453" spans="1:11" x14ac:dyDescent="0.25">
      <c r="A453" s="214"/>
      <c r="C453" s="215"/>
      <c r="D453" s="216"/>
      <c r="E453" s="216"/>
      <c r="F453" s="217"/>
      <c r="G453" s="216"/>
      <c r="H453" s="216"/>
      <c r="I453" s="217"/>
      <c r="J453" s="217"/>
      <c r="K453" s="191"/>
    </row>
    <row r="454" spans="1:11" x14ac:dyDescent="0.25">
      <c r="A454" s="214"/>
      <c r="C454" s="215"/>
      <c r="D454" s="216"/>
      <c r="E454" s="216"/>
      <c r="F454" s="217"/>
      <c r="G454" s="216"/>
      <c r="H454" s="216"/>
      <c r="I454" s="217"/>
      <c r="J454" s="217"/>
      <c r="K454" s="191"/>
    </row>
    <row r="455" spans="1:11" x14ac:dyDescent="0.25">
      <c r="A455" s="214"/>
      <c r="C455" s="215"/>
      <c r="D455" s="216"/>
      <c r="E455" s="216"/>
      <c r="F455" s="217"/>
      <c r="G455" s="216"/>
      <c r="H455" s="216"/>
      <c r="I455" s="217"/>
      <c r="J455" s="217"/>
      <c r="K455" s="191"/>
    </row>
    <row r="456" spans="1:11" x14ac:dyDescent="0.25">
      <c r="A456" s="214"/>
      <c r="C456" s="215"/>
      <c r="D456" s="216"/>
      <c r="E456" s="216"/>
      <c r="F456" s="217"/>
      <c r="G456" s="216"/>
      <c r="H456" s="216"/>
      <c r="I456" s="217"/>
      <c r="J456" s="217"/>
      <c r="K456" s="191"/>
    </row>
    <row r="457" spans="1:11" x14ac:dyDescent="0.25">
      <c r="A457" s="214"/>
      <c r="C457" s="215"/>
      <c r="D457" s="216"/>
      <c r="E457" s="216"/>
      <c r="F457" s="217"/>
      <c r="G457" s="216"/>
      <c r="H457" s="216"/>
      <c r="I457" s="217"/>
      <c r="J457" s="217"/>
      <c r="K457" s="191"/>
    </row>
    <row r="458" spans="1:11" x14ac:dyDescent="0.25">
      <c r="A458" s="214"/>
      <c r="C458" s="215"/>
      <c r="D458" s="216"/>
      <c r="E458" s="216"/>
      <c r="F458" s="217"/>
      <c r="G458" s="216"/>
      <c r="H458" s="216"/>
      <c r="I458" s="217"/>
      <c r="J458" s="217"/>
      <c r="K458" s="191"/>
    </row>
    <row r="459" spans="1:11" x14ac:dyDescent="0.25">
      <c r="A459" s="214"/>
      <c r="C459" s="215"/>
      <c r="D459" s="216"/>
      <c r="E459" s="216"/>
      <c r="F459" s="217"/>
      <c r="G459" s="216"/>
      <c r="H459" s="216"/>
      <c r="I459" s="217"/>
      <c r="J459" s="217"/>
      <c r="K459" s="191"/>
    </row>
    <row r="460" spans="1:11" x14ac:dyDescent="0.25">
      <c r="A460" s="214"/>
      <c r="C460" s="215"/>
      <c r="D460" s="216"/>
      <c r="E460" s="216"/>
      <c r="F460" s="217"/>
      <c r="G460" s="216"/>
      <c r="H460" s="216"/>
      <c r="I460" s="217"/>
      <c r="J460" s="217"/>
      <c r="K460" s="191"/>
    </row>
    <row r="461" spans="1:11" x14ac:dyDescent="0.25">
      <c r="A461" s="214"/>
      <c r="C461" s="215"/>
      <c r="D461" s="216"/>
      <c r="E461" s="216"/>
      <c r="F461" s="217"/>
      <c r="G461" s="216"/>
      <c r="H461" s="216"/>
      <c r="I461" s="217"/>
      <c r="J461" s="217"/>
      <c r="K461" s="191"/>
    </row>
    <row r="462" spans="1:11" x14ac:dyDescent="0.25">
      <c r="A462" s="214"/>
      <c r="C462" s="215"/>
      <c r="D462" s="216"/>
      <c r="E462" s="216"/>
      <c r="F462" s="217"/>
      <c r="G462" s="216"/>
      <c r="H462" s="216"/>
      <c r="I462" s="217"/>
      <c r="J462" s="217"/>
      <c r="K462" s="191"/>
    </row>
    <row r="463" spans="1:11" x14ac:dyDescent="0.25">
      <c r="A463" s="214"/>
      <c r="C463" s="215"/>
      <c r="D463" s="216"/>
      <c r="E463" s="216"/>
      <c r="F463" s="217"/>
      <c r="G463" s="216"/>
      <c r="H463" s="216"/>
      <c r="I463" s="217"/>
      <c r="J463" s="217"/>
      <c r="K463" s="191"/>
    </row>
    <row r="464" spans="1:11" x14ac:dyDescent="0.25">
      <c r="A464" s="214"/>
      <c r="C464" s="215"/>
      <c r="D464" s="216"/>
      <c r="E464" s="216"/>
      <c r="F464" s="217"/>
      <c r="G464" s="216"/>
      <c r="H464" s="216"/>
      <c r="I464" s="217"/>
      <c r="J464" s="217"/>
      <c r="K464" s="191"/>
    </row>
    <row r="465" spans="1:11" x14ac:dyDescent="0.25">
      <c r="A465" s="214"/>
      <c r="C465" s="215"/>
      <c r="D465" s="216"/>
      <c r="E465" s="216"/>
      <c r="F465" s="217"/>
      <c r="G465" s="216"/>
      <c r="H465" s="216"/>
      <c r="I465" s="217"/>
      <c r="J465" s="217"/>
      <c r="K465" s="191"/>
    </row>
    <row r="466" spans="1:11" x14ac:dyDescent="0.25">
      <c r="A466" s="214"/>
      <c r="C466" s="215"/>
      <c r="D466" s="216"/>
      <c r="E466" s="216"/>
      <c r="F466" s="217"/>
      <c r="G466" s="216"/>
      <c r="H466" s="216"/>
      <c r="I466" s="217"/>
      <c r="J466" s="217"/>
      <c r="K466" s="191"/>
    </row>
    <row r="467" spans="1:11" x14ac:dyDescent="0.25">
      <c r="A467" s="214"/>
      <c r="C467" s="215"/>
      <c r="D467" s="216"/>
      <c r="E467" s="216"/>
      <c r="F467" s="217"/>
      <c r="G467" s="216"/>
      <c r="H467" s="216"/>
      <c r="I467" s="217"/>
      <c r="J467" s="217"/>
      <c r="K467" s="191"/>
    </row>
    <row r="468" spans="1:11" x14ac:dyDescent="0.25">
      <c r="A468" s="214"/>
      <c r="C468" s="215"/>
      <c r="D468" s="216"/>
      <c r="E468" s="216"/>
      <c r="F468" s="217"/>
      <c r="G468" s="216"/>
      <c r="H468" s="216"/>
      <c r="I468" s="217"/>
      <c r="J468" s="217"/>
      <c r="K468" s="191"/>
    </row>
    <row r="469" spans="1:11" x14ac:dyDescent="0.25">
      <c r="A469" s="214"/>
      <c r="C469" s="215"/>
      <c r="D469" s="216"/>
      <c r="E469" s="216"/>
      <c r="F469" s="217"/>
      <c r="G469" s="216"/>
      <c r="H469" s="216"/>
      <c r="I469" s="217"/>
      <c r="J469" s="217"/>
      <c r="K469" s="191"/>
    </row>
    <row r="470" spans="1:11" x14ac:dyDescent="0.25">
      <c r="A470" s="214"/>
      <c r="C470" s="215"/>
      <c r="D470" s="216"/>
      <c r="E470" s="216"/>
      <c r="F470" s="217"/>
      <c r="G470" s="216"/>
      <c r="H470" s="216"/>
      <c r="I470" s="217"/>
      <c r="J470" s="217"/>
      <c r="K470" s="191"/>
    </row>
    <row r="471" spans="1:11" x14ac:dyDescent="0.25">
      <c r="A471" s="214"/>
      <c r="C471" s="215"/>
      <c r="D471" s="216"/>
      <c r="E471" s="216"/>
      <c r="F471" s="217"/>
      <c r="G471" s="216"/>
      <c r="H471" s="216"/>
      <c r="I471" s="217"/>
      <c r="J471" s="217"/>
      <c r="K471" s="191"/>
    </row>
    <row r="472" spans="1:11" x14ac:dyDescent="0.25">
      <c r="A472" s="214"/>
      <c r="C472" s="215"/>
      <c r="D472" s="216"/>
      <c r="E472" s="216"/>
      <c r="F472" s="217"/>
      <c r="G472" s="216"/>
      <c r="H472" s="216"/>
      <c r="I472" s="217"/>
      <c r="J472" s="217"/>
      <c r="K472" s="191"/>
    </row>
    <row r="473" spans="1:11" x14ac:dyDescent="0.25">
      <c r="A473" s="214"/>
      <c r="C473" s="215"/>
      <c r="D473" s="216"/>
      <c r="E473" s="216"/>
      <c r="F473" s="217"/>
      <c r="G473" s="216"/>
      <c r="H473" s="216"/>
      <c r="I473" s="217"/>
      <c r="J473" s="217"/>
      <c r="K473" s="191"/>
    </row>
    <row r="474" spans="1:11" x14ac:dyDescent="0.25">
      <c r="A474" s="214"/>
      <c r="C474" s="215"/>
      <c r="D474" s="216"/>
      <c r="E474" s="216"/>
      <c r="F474" s="217"/>
      <c r="G474" s="216"/>
      <c r="H474" s="216"/>
      <c r="I474" s="217"/>
      <c r="J474" s="217"/>
      <c r="K474" s="191"/>
    </row>
    <row r="475" spans="1:11" x14ac:dyDescent="0.25">
      <c r="A475" s="214"/>
      <c r="C475" s="215"/>
      <c r="D475" s="216"/>
      <c r="E475" s="216"/>
      <c r="F475" s="217"/>
      <c r="G475" s="216"/>
      <c r="H475" s="216"/>
      <c r="I475" s="217"/>
      <c r="J475" s="217"/>
      <c r="K475" s="191"/>
    </row>
    <row r="476" spans="1:11" x14ac:dyDescent="0.25">
      <c r="A476" s="214"/>
      <c r="C476" s="215"/>
      <c r="D476" s="216"/>
      <c r="E476" s="216"/>
      <c r="F476" s="217"/>
      <c r="G476" s="216"/>
      <c r="H476" s="216"/>
      <c r="I476" s="217"/>
      <c r="J476" s="217"/>
      <c r="K476" s="191"/>
    </row>
    <row r="477" spans="1:11" x14ac:dyDescent="0.25">
      <c r="A477" s="214"/>
      <c r="C477" s="215"/>
      <c r="D477" s="216"/>
      <c r="E477" s="216"/>
      <c r="F477" s="217"/>
      <c r="G477" s="216"/>
      <c r="H477" s="216"/>
      <c r="I477" s="217"/>
      <c r="J477" s="217"/>
      <c r="K477" s="191"/>
    </row>
    <row r="478" spans="1:11" x14ac:dyDescent="0.25">
      <c r="A478" s="214"/>
      <c r="C478" s="215"/>
      <c r="D478" s="216"/>
      <c r="E478" s="216"/>
      <c r="F478" s="217"/>
      <c r="G478" s="216"/>
      <c r="H478" s="216"/>
      <c r="I478" s="217"/>
      <c r="J478" s="217"/>
      <c r="K478" s="191"/>
    </row>
    <row r="479" spans="1:11" x14ac:dyDescent="0.25">
      <c r="A479" s="214"/>
      <c r="C479" s="215"/>
      <c r="D479" s="216"/>
      <c r="E479" s="216"/>
      <c r="F479" s="217"/>
      <c r="G479" s="216"/>
      <c r="H479" s="216"/>
      <c r="I479" s="217"/>
      <c r="J479" s="217"/>
      <c r="K479" s="191"/>
    </row>
    <row r="480" spans="1:11" x14ac:dyDescent="0.25">
      <c r="A480" s="214"/>
      <c r="C480" s="215"/>
      <c r="D480" s="216"/>
      <c r="E480" s="216"/>
      <c r="F480" s="217"/>
      <c r="G480" s="216"/>
      <c r="H480" s="216"/>
      <c r="I480" s="217"/>
      <c r="J480" s="217"/>
      <c r="K480" s="191"/>
    </row>
    <row r="481" spans="1:11" x14ac:dyDescent="0.25">
      <c r="A481" s="214"/>
      <c r="C481" s="215"/>
      <c r="D481" s="216"/>
      <c r="E481" s="216"/>
      <c r="F481" s="217"/>
      <c r="G481" s="216"/>
      <c r="H481" s="216"/>
      <c r="I481" s="217"/>
      <c r="J481" s="217"/>
      <c r="K481" s="191"/>
    </row>
    <row r="482" spans="1:11" x14ac:dyDescent="0.25">
      <c r="A482" s="214"/>
      <c r="C482" s="215"/>
      <c r="D482" s="216"/>
      <c r="E482" s="216"/>
      <c r="F482" s="217"/>
      <c r="G482" s="216"/>
      <c r="H482" s="216"/>
      <c r="I482" s="217"/>
      <c r="J482" s="217"/>
      <c r="K482" s="191"/>
    </row>
    <row r="483" spans="1:11" x14ac:dyDescent="0.25">
      <c r="A483" s="214"/>
      <c r="C483" s="215"/>
      <c r="D483" s="216"/>
      <c r="E483" s="216"/>
      <c r="F483" s="217"/>
      <c r="G483" s="216"/>
      <c r="H483" s="216"/>
      <c r="I483" s="217"/>
      <c r="J483" s="217"/>
      <c r="K483" s="191"/>
    </row>
    <row r="484" spans="1:11" x14ac:dyDescent="0.25">
      <c r="A484" s="214"/>
      <c r="C484" s="215"/>
      <c r="D484" s="216"/>
      <c r="E484" s="216"/>
      <c r="F484" s="217"/>
      <c r="G484" s="216"/>
      <c r="H484" s="216"/>
      <c r="I484" s="217"/>
      <c r="J484" s="217"/>
      <c r="K484" s="191"/>
    </row>
    <row r="485" spans="1:11" x14ac:dyDescent="0.25">
      <c r="A485" s="214"/>
      <c r="C485" s="215"/>
      <c r="D485" s="216"/>
      <c r="E485" s="216"/>
      <c r="F485" s="217"/>
      <c r="G485" s="216"/>
      <c r="H485" s="216"/>
      <c r="I485" s="217"/>
      <c r="J485" s="217"/>
      <c r="K485" s="191"/>
    </row>
    <row r="486" spans="1:11" x14ac:dyDescent="0.25">
      <c r="A486" s="214"/>
      <c r="C486" s="215"/>
      <c r="D486" s="216"/>
      <c r="E486" s="216"/>
      <c r="F486" s="217"/>
      <c r="G486" s="216"/>
      <c r="H486" s="216"/>
      <c r="I486" s="217"/>
      <c r="J486" s="217"/>
      <c r="K486" s="191"/>
    </row>
    <row r="487" spans="1:11" x14ac:dyDescent="0.25">
      <c r="A487" s="214"/>
      <c r="C487" s="215"/>
      <c r="D487" s="216"/>
      <c r="E487" s="216"/>
      <c r="F487" s="217"/>
      <c r="G487" s="216"/>
      <c r="H487" s="216"/>
      <c r="I487" s="217"/>
      <c r="J487" s="217"/>
      <c r="K487" s="191"/>
    </row>
    <row r="488" spans="1:11" x14ac:dyDescent="0.25">
      <c r="A488" s="214"/>
      <c r="C488" s="215"/>
      <c r="D488" s="216"/>
      <c r="E488" s="216"/>
      <c r="F488" s="217"/>
      <c r="G488" s="216"/>
      <c r="H488" s="216"/>
      <c r="I488" s="217"/>
      <c r="J488" s="217"/>
      <c r="K488" s="191"/>
    </row>
    <row r="489" spans="1:11" x14ac:dyDescent="0.25">
      <c r="A489" s="214"/>
      <c r="C489" s="215"/>
      <c r="D489" s="216"/>
      <c r="E489" s="216"/>
      <c r="F489" s="217"/>
      <c r="G489" s="216"/>
      <c r="H489" s="216"/>
      <c r="I489" s="217"/>
      <c r="J489" s="217"/>
      <c r="K489" s="191"/>
    </row>
    <row r="490" spans="1:11" x14ac:dyDescent="0.25">
      <c r="A490" s="214"/>
      <c r="C490" s="215"/>
      <c r="D490" s="216"/>
      <c r="E490" s="216"/>
      <c r="F490" s="217"/>
      <c r="G490" s="216"/>
      <c r="H490" s="216"/>
      <c r="I490" s="217"/>
      <c r="J490" s="217"/>
      <c r="K490" s="191"/>
    </row>
    <row r="491" spans="1:11" x14ac:dyDescent="0.25">
      <c r="A491" s="214"/>
      <c r="C491" s="215"/>
      <c r="D491" s="216"/>
      <c r="E491" s="216"/>
      <c r="F491" s="217"/>
      <c r="G491" s="216"/>
      <c r="H491" s="216"/>
      <c r="I491" s="217"/>
      <c r="J491" s="217"/>
      <c r="K491" s="191"/>
    </row>
    <row r="492" spans="1:11" x14ac:dyDescent="0.25">
      <c r="A492" s="214"/>
      <c r="C492" s="215"/>
      <c r="D492" s="216"/>
      <c r="E492" s="216"/>
      <c r="F492" s="217"/>
      <c r="G492" s="216"/>
      <c r="H492" s="216"/>
      <c r="I492" s="217"/>
      <c r="J492" s="217"/>
      <c r="K492" s="191"/>
    </row>
    <row r="493" spans="1:11" x14ac:dyDescent="0.25">
      <c r="A493" s="214"/>
      <c r="C493" s="215"/>
      <c r="D493" s="216"/>
      <c r="E493" s="216"/>
      <c r="F493" s="217"/>
      <c r="G493" s="216"/>
      <c r="H493" s="216"/>
      <c r="I493" s="217"/>
      <c r="J493" s="217"/>
      <c r="K493" s="191"/>
    </row>
    <row r="494" spans="1:11" x14ac:dyDescent="0.25">
      <c r="A494" s="214"/>
      <c r="C494" s="215"/>
      <c r="D494" s="216"/>
      <c r="E494" s="216"/>
      <c r="F494" s="217"/>
      <c r="G494" s="216"/>
      <c r="H494" s="216"/>
      <c r="I494" s="217"/>
      <c r="J494" s="217"/>
      <c r="K494" s="191"/>
    </row>
    <row r="495" spans="1:11" x14ac:dyDescent="0.25">
      <c r="A495" s="214"/>
      <c r="C495" s="215"/>
      <c r="D495" s="216"/>
      <c r="E495" s="216"/>
      <c r="F495" s="217"/>
      <c r="G495" s="216"/>
      <c r="H495" s="216"/>
      <c r="I495" s="217"/>
      <c r="J495" s="217"/>
      <c r="K495" s="191"/>
    </row>
    <row r="496" spans="1:11" x14ac:dyDescent="0.25">
      <c r="A496" s="214"/>
      <c r="C496" s="215"/>
      <c r="D496" s="216"/>
      <c r="E496" s="216"/>
      <c r="F496" s="217"/>
      <c r="G496" s="216"/>
      <c r="H496" s="216"/>
      <c r="I496" s="217"/>
      <c r="J496" s="217"/>
      <c r="K496" s="191"/>
    </row>
    <row r="497" spans="1:11" x14ac:dyDescent="0.25">
      <c r="A497" s="214"/>
      <c r="C497" s="215"/>
      <c r="D497" s="216"/>
      <c r="E497" s="216"/>
      <c r="F497" s="217"/>
      <c r="G497" s="216"/>
      <c r="H497" s="216"/>
      <c r="I497" s="217"/>
      <c r="J497" s="217"/>
      <c r="K497" s="191"/>
    </row>
    <row r="498" spans="1:11" x14ac:dyDescent="0.25">
      <c r="A498" s="214"/>
      <c r="C498" s="215"/>
      <c r="D498" s="216"/>
      <c r="E498" s="216"/>
      <c r="F498" s="217"/>
      <c r="G498" s="216"/>
      <c r="H498" s="216"/>
      <c r="I498" s="217"/>
      <c r="J498" s="217"/>
      <c r="K498" s="191"/>
    </row>
    <row r="499" spans="1:11" x14ac:dyDescent="0.25">
      <c r="A499" s="214"/>
      <c r="C499" s="215"/>
      <c r="D499" s="216"/>
      <c r="E499" s="216"/>
      <c r="F499" s="217"/>
      <c r="G499" s="216"/>
      <c r="H499" s="216"/>
      <c r="I499" s="217"/>
      <c r="J499" s="217"/>
      <c r="K499" s="191"/>
    </row>
    <row r="500" spans="1:11" x14ac:dyDescent="0.25">
      <c r="A500" s="214"/>
      <c r="C500" s="215"/>
      <c r="D500" s="216"/>
      <c r="E500" s="216"/>
      <c r="F500" s="217"/>
      <c r="G500" s="216"/>
      <c r="H500" s="216"/>
      <c r="I500" s="217"/>
      <c r="J500" s="217"/>
      <c r="K500" s="191"/>
    </row>
    <row r="501" spans="1:11" x14ac:dyDescent="0.25">
      <c r="A501" s="214"/>
      <c r="C501" s="215"/>
      <c r="D501" s="216"/>
      <c r="E501" s="216"/>
      <c r="F501" s="217"/>
      <c r="G501" s="216"/>
      <c r="H501" s="216"/>
      <c r="I501" s="217"/>
      <c r="J501" s="217"/>
      <c r="K501" s="191"/>
    </row>
    <row r="502" spans="1:11" x14ac:dyDescent="0.25">
      <c r="A502" s="214"/>
      <c r="C502" s="215"/>
      <c r="D502" s="216"/>
      <c r="E502" s="216"/>
      <c r="F502" s="217"/>
      <c r="G502" s="216"/>
      <c r="H502" s="216"/>
      <c r="I502" s="217"/>
      <c r="J502" s="217"/>
      <c r="K502" s="191"/>
    </row>
    <row r="503" spans="1:11" x14ac:dyDescent="0.25">
      <c r="A503" s="214"/>
      <c r="C503" s="215"/>
      <c r="D503" s="216"/>
      <c r="E503" s="216"/>
      <c r="F503" s="217"/>
      <c r="G503" s="216"/>
      <c r="H503" s="216"/>
      <c r="I503" s="217"/>
      <c r="J503" s="217"/>
      <c r="K503" s="191"/>
    </row>
    <row r="504" spans="1:11" x14ac:dyDescent="0.25">
      <c r="A504" s="214"/>
      <c r="C504" s="215"/>
      <c r="D504" s="216"/>
      <c r="E504" s="216"/>
      <c r="F504" s="217"/>
      <c r="G504" s="216"/>
      <c r="H504" s="216"/>
      <c r="I504" s="217"/>
      <c r="J504" s="217"/>
      <c r="K504" s="191"/>
    </row>
    <row r="505" spans="1:11" x14ac:dyDescent="0.25">
      <c r="A505" s="214"/>
      <c r="C505" s="215"/>
      <c r="D505" s="216"/>
      <c r="E505" s="216"/>
      <c r="F505" s="217"/>
      <c r="G505" s="216"/>
      <c r="H505" s="216"/>
      <c r="I505" s="217"/>
      <c r="J505" s="217"/>
      <c r="K505" s="191"/>
    </row>
    <row r="506" spans="1:11" x14ac:dyDescent="0.25">
      <c r="A506" s="214"/>
      <c r="C506" s="215"/>
      <c r="D506" s="216"/>
      <c r="E506" s="216"/>
      <c r="F506" s="217"/>
      <c r="G506" s="216"/>
      <c r="H506" s="216"/>
      <c r="I506" s="217"/>
      <c r="J506" s="217"/>
      <c r="K506" s="191"/>
    </row>
    <row r="507" spans="1:11" x14ac:dyDescent="0.25">
      <c r="A507" s="214"/>
      <c r="C507" s="215"/>
      <c r="D507" s="216"/>
      <c r="E507" s="216"/>
      <c r="F507" s="217"/>
      <c r="G507" s="216"/>
      <c r="H507" s="216"/>
      <c r="I507" s="217"/>
      <c r="J507" s="217"/>
      <c r="K507" s="191"/>
    </row>
    <row r="508" spans="1:11" x14ac:dyDescent="0.25">
      <c r="A508" s="214"/>
      <c r="C508" s="215"/>
      <c r="D508" s="216"/>
      <c r="E508" s="216"/>
      <c r="F508" s="217"/>
      <c r="G508" s="216"/>
      <c r="H508" s="216"/>
      <c r="I508" s="217"/>
      <c r="J508" s="217"/>
      <c r="K508" s="191"/>
    </row>
    <row r="509" spans="1:11" x14ac:dyDescent="0.25">
      <c r="A509" s="214"/>
      <c r="C509" s="215"/>
      <c r="D509" s="216"/>
      <c r="E509" s="216"/>
      <c r="F509" s="217"/>
      <c r="G509" s="216"/>
      <c r="H509" s="216"/>
      <c r="I509" s="217"/>
      <c r="J509" s="217"/>
      <c r="K509" s="191"/>
    </row>
    <row r="510" spans="1:11" x14ac:dyDescent="0.25">
      <c r="A510" s="214"/>
      <c r="C510" s="215"/>
      <c r="D510" s="216"/>
      <c r="E510" s="216"/>
      <c r="F510" s="217"/>
      <c r="G510" s="216"/>
      <c r="H510" s="216"/>
      <c r="I510" s="217"/>
      <c r="J510" s="217"/>
      <c r="K510" s="191"/>
    </row>
    <row r="511" spans="1:11" x14ac:dyDescent="0.25">
      <c r="A511" s="214"/>
      <c r="C511" s="215"/>
      <c r="D511" s="216"/>
      <c r="E511" s="216"/>
      <c r="F511" s="217"/>
      <c r="G511" s="216"/>
      <c r="H511" s="216"/>
      <c r="I511" s="217"/>
      <c r="J511" s="217"/>
      <c r="K511" s="191"/>
    </row>
    <row r="512" spans="1:11" x14ac:dyDescent="0.25">
      <c r="A512" s="214"/>
      <c r="C512" s="215"/>
      <c r="D512" s="216"/>
      <c r="E512" s="216"/>
      <c r="F512" s="217"/>
      <c r="G512" s="216"/>
      <c r="H512" s="216"/>
      <c r="I512" s="217"/>
      <c r="J512" s="217"/>
      <c r="K512" s="191"/>
    </row>
    <row r="513" spans="1:11" x14ac:dyDescent="0.25">
      <c r="A513" s="214"/>
      <c r="C513" s="215"/>
      <c r="D513" s="216"/>
      <c r="E513" s="216"/>
      <c r="F513" s="217"/>
      <c r="G513" s="216"/>
      <c r="H513" s="216"/>
      <c r="I513" s="217"/>
      <c r="J513" s="217"/>
      <c r="K513" s="191"/>
    </row>
    <row r="514" spans="1:11" x14ac:dyDescent="0.25">
      <c r="A514" s="214"/>
      <c r="C514" s="215"/>
      <c r="D514" s="216"/>
      <c r="E514" s="216"/>
      <c r="F514" s="217"/>
      <c r="G514" s="216"/>
      <c r="H514" s="216"/>
      <c r="I514" s="217"/>
      <c r="J514" s="217"/>
      <c r="K514" s="191"/>
    </row>
    <row r="515" spans="1:11" x14ac:dyDescent="0.25">
      <c r="A515" s="214"/>
      <c r="C515" s="215"/>
      <c r="D515" s="216"/>
      <c r="E515" s="216"/>
      <c r="F515" s="217"/>
      <c r="G515" s="216"/>
      <c r="H515" s="216"/>
      <c r="I515" s="217"/>
      <c r="J515" s="217"/>
      <c r="K515" s="191"/>
    </row>
    <row r="516" spans="1:11" x14ac:dyDescent="0.25">
      <c r="A516" s="214"/>
      <c r="C516" s="215"/>
      <c r="D516" s="216"/>
      <c r="E516" s="216"/>
      <c r="F516" s="217"/>
      <c r="G516" s="216"/>
      <c r="H516" s="216"/>
      <c r="I516" s="217"/>
      <c r="J516" s="217"/>
      <c r="K516" s="191"/>
    </row>
  </sheetData>
  <sheetProtection password="D0DA"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00B050"/>
  </sheetPr>
  <dimension ref="A1:R516"/>
  <sheetViews>
    <sheetView zoomScale="80" zoomScaleNormal="80" workbookViewId="0"/>
  </sheetViews>
  <sheetFormatPr defaultRowHeight="15.75" x14ac:dyDescent="0.25"/>
  <cols>
    <col min="1" max="1" width="9.28515625" style="205" bestFit="1" customWidth="1"/>
    <col min="2" max="2" width="9.140625" style="192"/>
    <col min="3" max="3" width="9.7109375" style="193" bestFit="1" customWidth="1"/>
    <col min="4" max="6" width="9.28515625" style="194" bestFit="1" customWidth="1"/>
    <col min="7" max="9" width="9.28515625" style="193" bestFit="1" customWidth="1"/>
    <col min="10" max="10" width="10.7109375" style="193" bestFit="1" customWidth="1"/>
    <col min="11" max="11" width="10.7109375" style="195" bestFit="1" customWidth="1"/>
    <col min="12" max="12" width="9.140625" style="191"/>
    <col min="13" max="17" width="16.7109375" style="191" customWidth="1"/>
    <col min="18" max="16384" width="9.140625" style="191"/>
  </cols>
  <sheetData>
    <row r="1" spans="1:18" x14ac:dyDescent="0.25">
      <c r="A1" s="191"/>
    </row>
    <row r="2" spans="1:18" ht="33.75" x14ac:dyDescent="0.5">
      <c r="A2" s="175" t="s">
        <v>24</v>
      </c>
      <c r="C2" s="196" t="s">
        <v>111</v>
      </c>
      <c r="M2" s="196" t="s">
        <v>148</v>
      </c>
    </row>
    <row r="4" spans="1:18" ht="18.75" x14ac:dyDescent="0.35">
      <c r="A4" s="196"/>
      <c r="B4" s="197" t="s">
        <v>161</v>
      </c>
      <c r="C4" s="198">
        <f>Toolbox!E30</f>
        <v>508</v>
      </c>
      <c r="D4" s="199" t="s">
        <v>14</v>
      </c>
      <c r="E4" s="198">
        <v>28</v>
      </c>
      <c r="F4" s="197" t="s">
        <v>13</v>
      </c>
      <c r="G4" s="200">
        <v>0.67400000000000004</v>
      </c>
      <c r="H4" s="197" t="s">
        <v>177</v>
      </c>
      <c r="I4" s="201">
        <v>0.26</v>
      </c>
      <c r="J4" s="202"/>
      <c r="K4" s="203"/>
      <c r="M4" s="191" t="s">
        <v>150</v>
      </c>
    </row>
    <row r="5" spans="1:18" ht="18.75" x14ac:dyDescent="0.35">
      <c r="A5" s="196"/>
      <c r="B5" s="197" t="s">
        <v>160</v>
      </c>
      <c r="C5" s="204">
        <f>189+0.315*C4</f>
        <v>349.02</v>
      </c>
      <c r="D5" s="199" t="s">
        <v>159</v>
      </c>
      <c r="E5" s="200">
        <v>0.92200000000000004</v>
      </c>
      <c r="H5" s="197" t="s">
        <v>178</v>
      </c>
      <c r="I5" s="201">
        <f>-40.5+0.195*C4</f>
        <v>58.56</v>
      </c>
      <c r="J5" s="202"/>
      <c r="K5" s="203"/>
      <c r="M5" s="191" t="s">
        <v>158</v>
      </c>
    </row>
    <row r="6" spans="1:18" x14ac:dyDescent="0.25">
      <c r="J6" s="202"/>
      <c r="K6" s="203"/>
      <c r="M6" s="191" t="s">
        <v>157</v>
      </c>
    </row>
    <row r="7" spans="1:18" x14ac:dyDescent="0.25">
      <c r="A7" s="192"/>
      <c r="C7" s="199" t="s">
        <v>12</v>
      </c>
      <c r="D7" s="198">
        <v>69.7</v>
      </c>
      <c r="E7" s="199" t="s">
        <v>18</v>
      </c>
      <c r="F7" s="198">
        <v>-14.9</v>
      </c>
      <c r="G7" s="191"/>
      <c r="M7" s="191" t="s">
        <v>153</v>
      </c>
    </row>
    <row r="8" spans="1:18" x14ac:dyDescent="0.25">
      <c r="B8" s="191"/>
      <c r="C8" s="199" t="s">
        <v>16</v>
      </c>
      <c r="D8" s="206">
        <f>0.8795+(0.0459*(EXP((-((C4-300)^2))/11940)))</f>
        <v>0.88072509026966206</v>
      </c>
      <c r="E8" s="199" t="s">
        <v>4</v>
      </c>
      <c r="F8" s="200">
        <v>1.1040000000000001</v>
      </c>
      <c r="G8" s="191"/>
      <c r="M8" s="191" t="s">
        <v>154</v>
      </c>
      <c r="Q8" s="207"/>
      <c r="R8" s="207"/>
    </row>
    <row r="9" spans="1:18" x14ac:dyDescent="0.25">
      <c r="A9" s="192"/>
      <c r="D9" s="191"/>
      <c r="E9" s="191"/>
      <c r="F9" s="191"/>
      <c r="G9" s="191"/>
      <c r="O9" s="207"/>
      <c r="P9" s="208"/>
    </row>
    <row r="10" spans="1:18" x14ac:dyDescent="0.25">
      <c r="A10" s="192"/>
      <c r="C10" s="192"/>
      <c r="D10" s="192"/>
      <c r="E10" s="192"/>
      <c r="F10" s="192"/>
      <c r="G10" s="192"/>
      <c r="H10" s="192"/>
      <c r="I10" s="192"/>
      <c r="J10" s="192"/>
      <c r="K10" s="192"/>
      <c r="L10" s="192"/>
      <c r="M10" s="192"/>
      <c r="N10" s="192"/>
      <c r="O10" s="192"/>
      <c r="P10" s="192"/>
    </row>
    <row r="11" spans="1:18" ht="18" x14ac:dyDescent="0.25">
      <c r="A11" s="209" t="s">
        <v>11</v>
      </c>
      <c r="C11" s="210" t="s">
        <v>17</v>
      </c>
      <c r="D11" s="211" t="s">
        <v>12</v>
      </c>
      <c r="E11" s="211" t="s">
        <v>14</v>
      </c>
      <c r="F11" s="211" t="s">
        <v>18</v>
      </c>
      <c r="G11" s="210" t="s">
        <v>19</v>
      </c>
      <c r="H11" s="210" t="s">
        <v>20</v>
      </c>
      <c r="I11" s="210" t="s">
        <v>21</v>
      </c>
      <c r="J11" s="210" t="s">
        <v>22</v>
      </c>
      <c r="K11" s="212" t="s">
        <v>26</v>
      </c>
      <c r="M11" s="213" t="s">
        <v>149</v>
      </c>
      <c r="N11" s="213" t="s">
        <v>151</v>
      </c>
      <c r="O11" s="213" t="s">
        <v>152</v>
      </c>
      <c r="P11" s="213" t="s">
        <v>156</v>
      </c>
      <c r="Q11" s="213" t="s">
        <v>155</v>
      </c>
    </row>
    <row r="12" spans="1:18" x14ac:dyDescent="0.25">
      <c r="A12" s="214">
        <v>300</v>
      </c>
      <c r="C12" s="215">
        <f t="shared" ref="C12:C43" si="0">$C$4/A12</f>
        <v>1.6933333333333334</v>
      </c>
      <c r="D12" s="216">
        <f>EXP($D$7*($D$8-C12))</f>
        <v>2.5239693048995817E-25</v>
      </c>
      <c r="E12" s="216">
        <f>EXP($E$4*($E$5-C12))</f>
        <v>4.172509263182561E-10</v>
      </c>
      <c r="F12" s="217">
        <f>EXP($F$7*($F$8-C12))</f>
        <v>6509.8172763953762</v>
      </c>
      <c r="G12" s="216">
        <f t="shared" ref="G12:G43" si="1">D12+E12+F12+$G$4</f>
        <v>6510.4912763957936</v>
      </c>
      <c r="H12" s="216">
        <f>1/G12</f>
        <v>1.5359823975581759E-4</v>
      </c>
      <c r="I12" s="217">
        <f>$I$4*(EXP(-(((A12-$C$5)/$I$5)^2)))</f>
        <v>0.12901925908615569</v>
      </c>
      <c r="J12" s="217">
        <f>IF(ISERROR(H12+I12),"",H12+I12)</f>
        <v>0.12917285732591152</v>
      </c>
      <c r="K12" s="195">
        <f t="shared" ref="K12:K75" si="2">IF(J12="","",J12/MAX(J$12:J$108))</f>
        <v>0.12918903933276299</v>
      </c>
      <c r="M12" s="218">
        <f>K12</f>
        <v>0.12918903933276299</v>
      </c>
      <c r="N12" s="218">
        <f>Calculations!F22</f>
        <v>6.9999999999999993E-3</v>
      </c>
      <c r="O12" s="219">
        <f>Spectra!$C$10*$A12</f>
        <v>1510235102458.2681</v>
      </c>
      <c r="P12" s="219">
        <f>PRODUCT(M12:O12)</f>
        <v>1365740754.3724036</v>
      </c>
      <c r="Q12" s="218">
        <f t="shared" ref="Q12:Q43" si="3">P12/SUM(P$12:P$108)</f>
        <v>2.4956575671768751E-5</v>
      </c>
    </row>
    <row r="13" spans="1:18" x14ac:dyDescent="0.25">
      <c r="A13" s="214">
        <v>305</v>
      </c>
      <c r="C13" s="215">
        <f t="shared" si="0"/>
        <v>1.6655737704918032</v>
      </c>
      <c r="D13" s="216">
        <f t="shared" ref="D13:D76" si="4">EXP($D$7*($D$8-C13))</f>
        <v>1.7473305448374927E-24</v>
      </c>
      <c r="E13" s="216">
        <f t="shared" ref="E13:E76" si="5">EXP($E$4*($E$5-C13))</f>
        <v>9.0773777438152442E-10</v>
      </c>
      <c r="F13" s="217">
        <f t="shared" ref="F13:F76" si="6">EXP($F$7*($F$8-C13))</f>
        <v>4304.6416816340807</v>
      </c>
      <c r="G13" s="216">
        <f t="shared" si="1"/>
        <v>4305.3156816349883</v>
      </c>
      <c r="H13" s="216">
        <f t="shared" ref="H13:H76" si="7">1/G13</f>
        <v>2.3227100494991801E-4</v>
      </c>
      <c r="I13" s="217">
        <f t="shared" ref="I13:I76" si="8">$I$4*(EXP(-(((A13-$C$5)/$I$5)^2)))</f>
        <v>0.14776412310014692</v>
      </c>
      <c r="J13" s="217">
        <f t="shared" ref="J13:J76" si="9">IF(ISERROR(H13+I13),"",H13+I13)</f>
        <v>0.14799639410509682</v>
      </c>
      <c r="K13" s="195">
        <f t="shared" si="2"/>
        <v>0.14801493421261616</v>
      </c>
      <c r="M13" s="218">
        <f t="shared" ref="M13:M76" si="10">K13</f>
        <v>0.14801493421261616</v>
      </c>
      <c r="N13" s="218">
        <f>Calculations!F23</f>
        <v>3.548133892335753E-2</v>
      </c>
      <c r="O13" s="219">
        <f>Spectra!$C$10*$A13</f>
        <v>1535405687499.2393</v>
      </c>
      <c r="P13" s="219">
        <f t="shared" ref="P13:P76" si="11">PRODUCT(M13:O13)</f>
        <v>8063594528.0478992</v>
      </c>
      <c r="Q13" s="218">
        <f t="shared" si="3"/>
        <v>1.4734839418200062E-4</v>
      </c>
    </row>
    <row r="14" spans="1:18" x14ac:dyDescent="0.25">
      <c r="A14" s="214">
        <v>310</v>
      </c>
      <c r="C14" s="215">
        <f t="shared" si="0"/>
        <v>1.6387096774193548</v>
      </c>
      <c r="D14" s="216">
        <f t="shared" si="4"/>
        <v>1.1364750543476726E-23</v>
      </c>
      <c r="E14" s="216">
        <f t="shared" si="5"/>
        <v>1.925902846976201E-9</v>
      </c>
      <c r="F14" s="217">
        <f t="shared" si="6"/>
        <v>2884.6942483417361</v>
      </c>
      <c r="G14" s="216">
        <f t="shared" si="1"/>
        <v>2885.3682483436619</v>
      </c>
      <c r="H14" s="216">
        <f t="shared" si="7"/>
        <v>3.4657621278464106E-4</v>
      </c>
      <c r="I14" s="217">
        <f t="shared" si="8"/>
        <v>0.16678281271432416</v>
      </c>
      <c r="J14" s="217">
        <f t="shared" si="9"/>
        <v>0.1671293889271088</v>
      </c>
      <c r="K14" s="195">
        <f t="shared" si="2"/>
        <v>0.16715032590235801</v>
      </c>
      <c r="M14" s="218">
        <f t="shared" si="10"/>
        <v>0.16715032590235801</v>
      </c>
      <c r="N14" s="218">
        <f>Calculations!F24</f>
        <v>0.10300000000000001</v>
      </c>
      <c r="O14" s="219">
        <f>Spectra!$C$10*$A14</f>
        <v>1560576272540.2104</v>
      </c>
      <c r="P14" s="219">
        <f t="shared" si="11"/>
        <v>26867635752.710079</v>
      </c>
      <c r="Q14" s="218">
        <f t="shared" si="3"/>
        <v>4.9096007616185799E-4</v>
      </c>
    </row>
    <row r="15" spans="1:18" x14ac:dyDescent="0.25">
      <c r="A15" s="214">
        <v>315</v>
      </c>
      <c r="C15" s="215">
        <f t="shared" si="0"/>
        <v>1.6126984126984127</v>
      </c>
      <c r="D15" s="216">
        <f t="shared" si="4"/>
        <v>6.9651320461410486E-23</v>
      </c>
      <c r="E15" s="216">
        <f t="shared" si="5"/>
        <v>3.9896770245239713E-9</v>
      </c>
      <c r="F15" s="217">
        <f t="shared" si="6"/>
        <v>1957.8581012769557</v>
      </c>
      <c r="G15" s="216">
        <f t="shared" si="1"/>
        <v>1958.5321012809454</v>
      </c>
      <c r="H15" s="216">
        <f t="shared" si="7"/>
        <v>5.1058647409759923E-4</v>
      </c>
      <c r="I15" s="217">
        <f t="shared" si="8"/>
        <v>0.18552456512960405</v>
      </c>
      <c r="J15" s="217">
        <f t="shared" si="9"/>
        <v>0.18603515160370165</v>
      </c>
      <c r="K15" s="195">
        <f t="shared" si="2"/>
        <v>0.18605845698038981</v>
      </c>
      <c r="M15" s="218">
        <f t="shared" si="10"/>
        <v>0.18605845698038981</v>
      </c>
      <c r="N15" s="218">
        <f>Calculations!F25</f>
        <v>0.23384259378835601</v>
      </c>
      <c r="O15" s="219">
        <f>Spectra!$C$10*$A15</f>
        <v>1585746857581.1816</v>
      </c>
      <c r="P15" s="219">
        <f t="shared" si="11"/>
        <v>68993296172.379547</v>
      </c>
      <c r="Q15" s="218">
        <f t="shared" si="3"/>
        <v>1.2607344485095753E-3</v>
      </c>
    </row>
    <row r="16" spans="1:18" x14ac:dyDescent="0.25">
      <c r="A16" s="214">
        <v>320</v>
      </c>
      <c r="C16" s="215">
        <f t="shared" si="0"/>
        <v>1.5874999999999999</v>
      </c>
      <c r="D16" s="216">
        <f t="shared" si="4"/>
        <v>4.033606293279821E-22</v>
      </c>
      <c r="E16" s="216">
        <f t="shared" si="5"/>
        <v>8.0789816966329347E-9</v>
      </c>
      <c r="F16" s="217">
        <f t="shared" si="6"/>
        <v>1345.0009522119954</v>
      </c>
      <c r="G16" s="216">
        <f t="shared" si="1"/>
        <v>1345.6749522200744</v>
      </c>
      <c r="H16" s="216">
        <f t="shared" si="7"/>
        <v>7.4312150816972181E-4</v>
      </c>
      <c r="I16" s="217">
        <f t="shared" si="8"/>
        <v>0.20338521854014902</v>
      </c>
      <c r="J16" s="217">
        <f t="shared" si="9"/>
        <v>0.20412834004831873</v>
      </c>
      <c r="K16" s="195">
        <f t="shared" si="2"/>
        <v>0.20415391203198174</v>
      </c>
      <c r="M16" s="218">
        <f t="shared" si="10"/>
        <v>0.20415391203198174</v>
      </c>
      <c r="N16" s="218">
        <f>Calculations!F26</f>
        <v>0.33</v>
      </c>
      <c r="O16" s="219">
        <f>Spectra!$C$10*$A16</f>
        <v>1610917442622.1528</v>
      </c>
      <c r="P16" s="219">
        <f t="shared" si="11"/>
        <v>108528782297.71645</v>
      </c>
      <c r="Q16" s="218">
        <f t="shared" si="3"/>
        <v>1.9831778170978816E-3</v>
      </c>
    </row>
    <row r="17" spans="1:17" x14ac:dyDescent="0.25">
      <c r="A17" s="214">
        <v>325</v>
      </c>
      <c r="C17" s="215">
        <f t="shared" si="0"/>
        <v>1.563076923076923</v>
      </c>
      <c r="D17" s="216">
        <f t="shared" si="4"/>
        <v>2.213033516448531E-21</v>
      </c>
      <c r="E17" s="216">
        <f t="shared" si="5"/>
        <v>1.6008374487706546E-8</v>
      </c>
      <c r="F17" s="217">
        <f t="shared" si="6"/>
        <v>934.71919113738454</v>
      </c>
      <c r="G17" s="216">
        <f t="shared" si="1"/>
        <v>935.39319115339288</v>
      </c>
      <c r="H17" s="216">
        <f t="shared" si="7"/>
        <v>1.0690691459566252E-3</v>
      </c>
      <c r="I17" s="217">
        <f t="shared" si="8"/>
        <v>0.21973800955735304</v>
      </c>
      <c r="J17" s="217">
        <f t="shared" si="9"/>
        <v>0.22080707870330965</v>
      </c>
      <c r="K17" s="195">
        <f t="shared" si="2"/>
        <v>0.22083474010009532</v>
      </c>
      <c r="M17" s="218">
        <f t="shared" si="10"/>
        <v>0.22083474010009532</v>
      </c>
      <c r="N17" s="218">
        <f>Calculations!F27</f>
        <v>0.39915740621164403</v>
      </c>
      <c r="O17" s="219">
        <f>Spectra!$C$10*$A17</f>
        <v>1636088027663.1238</v>
      </c>
      <c r="P17" s="219">
        <f t="shared" si="11"/>
        <v>144217596336.57986</v>
      </c>
      <c r="Q17" s="218">
        <f t="shared" si="3"/>
        <v>2.6353298344885217E-3</v>
      </c>
    </row>
    <row r="18" spans="1:17" x14ac:dyDescent="0.25">
      <c r="A18" s="214">
        <v>330</v>
      </c>
      <c r="C18" s="215">
        <f t="shared" si="0"/>
        <v>1.5393939393939393</v>
      </c>
      <c r="D18" s="216">
        <f t="shared" si="4"/>
        <v>1.1531335650661235E-20</v>
      </c>
      <c r="E18" s="216">
        <f t="shared" si="5"/>
        <v>3.1069776623384599E-8</v>
      </c>
      <c r="F18" s="217">
        <f t="shared" si="6"/>
        <v>656.79352321644785</v>
      </c>
      <c r="G18" s="216">
        <f t="shared" si="1"/>
        <v>657.46752324751765</v>
      </c>
      <c r="H18" s="216">
        <f t="shared" si="7"/>
        <v>1.520987675650602E-3</v>
      </c>
      <c r="I18" s="217">
        <f t="shared" si="8"/>
        <v>0.23396927088859595</v>
      </c>
      <c r="J18" s="217">
        <f t="shared" si="9"/>
        <v>0.23549025856424655</v>
      </c>
      <c r="K18" s="195">
        <f t="shared" si="2"/>
        <v>0.23551975938242484</v>
      </c>
      <c r="M18" s="218">
        <f t="shared" si="10"/>
        <v>0.23551975938242484</v>
      </c>
      <c r="N18" s="218">
        <f>Calculations!F28</f>
        <v>0.44900000000000001</v>
      </c>
      <c r="O18" s="219">
        <f>Spectra!$C$10*$A18</f>
        <v>1661258612704.095</v>
      </c>
      <c r="P18" s="219">
        <f t="shared" si="11"/>
        <v>175675393702.48615</v>
      </c>
      <c r="Q18" s="218">
        <f t="shared" si="3"/>
        <v>3.2101672609298037E-3</v>
      </c>
    </row>
    <row r="19" spans="1:17" x14ac:dyDescent="0.25">
      <c r="A19" s="214">
        <v>335</v>
      </c>
      <c r="C19" s="215">
        <f t="shared" si="0"/>
        <v>1.5164179104477611</v>
      </c>
      <c r="D19" s="216">
        <f t="shared" si="4"/>
        <v>5.7196767609265375E-20</v>
      </c>
      <c r="E19" s="216">
        <f t="shared" si="5"/>
        <v>5.91197084072315E-8</v>
      </c>
      <c r="F19" s="217">
        <f t="shared" si="6"/>
        <v>466.39217883390836</v>
      </c>
      <c r="G19" s="216">
        <f t="shared" si="1"/>
        <v>467.06617889302805</v>
      </c>
      <c r="H19" s="216">
        <f t="shared" si="7"/>
        <v>2.1410242171035669E-3</v>
      </c>
      <c r="I19" s="217">
        <f t="shared" si="8"/>
        <v>0.24551627864256595</v>
      </c>
      <c r="J19" s="217">
        <f t="shared" si="9"/>
        <v>0.24765730285966953</v>
      </c>
      <c r="K19" s="195">
        <f t="shared" si="2"/>
        <v>0.24768832789275044</v>
      </c>
      <c r="M19" s="218">
        <f t="shared" si="10"/>
        <v>0.24768832789275044</v>
      </c>
      <c r="N19" s="218">
        <f>Calculations!F29</f>
        <v>0.48690278136506698</v>
      </c>
      <c r="O19" s="219">
        <f>Spectra!$C$10*$A19</f>
        <v>1686429197745.0662</v>
      </c>
      <c r="P19" s="219">
        <f t="shared" si="11"/>
        <v>203383590202.13992</v>
      </c>
      <c r="Q19" s="218">
        <f t="shared" si="3"/>
        <v>3.7164871466460444E-3</v>
      </c>
    </row>
    <row r="20" spans="1:17" x14ac:dyDescent="0.25">
      <c r="A20" s="214">
        <v>340</v>
      </c>
      <c r="C20" s="215">
        <f t="shared" si="0"/>
        <v>1.4941176470588236</v>
      </c>
      <c r="D20" s="216">
        <f t="shared" si="4"/>
        <v>2.7064980281190223E-19</v>
      </c>
      <c r="E20" s="216">
        <f t="shared" si="5"/>
        <v>1.1038472009188721E-7</v>
      </c>
      <c r="F20" s="217">
        <f t="shared" si="6"/>
        <v>334.53882486093278</v>
      </c>
      <c r="G20" s="216">
        <f t="shared" si="1"/>
        <v>335.2128249713175</v>
      </c>
      <c r="H20" s="216">
        <f t="shared" si="7"/>
        <v>2.9831794176895382E-3</v>
      </c>
      <c r="I20" s="217">
        <f t="shared" si="8"/>
        <v>0.25390403312461218</v>
      </c>
      <c r="J20" s="217">
        <f t="shared" si="9"/>
        <v>0.25688721254230173</v>
      </c>
      <c r="K20" s="195">
        <f t="shared" si="2"/>
        <v>0.25691939384354001</v>
      </c>
      <c r="M20" s="218">
        <f t="shared" si="10"/>
        <v>0.25691939384354001</v>
      </c>
      <c r="N20" s="218">
        <f>Calculations!F30</f>
        <v>0.51900000000000002</v>
      </c>
      <c r="O20" s="219">
        <f>Spectra!$C$10*$A20</f>
        <v>1711599782786.0374</v>
      </c>
      <c r="P20" s="219">
        <f t="shared" si="11"/>
        <v>228226709743.28809</v>
      </c>
      <c r="Q20" s="218">
        <f t="shared" si="3"/>
        <v>4.1704526527397458E-3</v>
      </c>
    </row>
    <row r="21" spans="1:17" x14ac:dyDescent="0.25">
      <c r="A21" s="214">
        <v>345</v>
      </c>
      <c r="C21" s="215">
        <f t="shared" si="0"/>
        <v>1.472463768115942</v>
      </c>
      <c r="D21" s="216">
        <f t="shared" si="4"/>
        <v>1.2242713222217218E-18</v>
      </c>
      <c r="E21" s="216">
        <f t="shared" si="5"/>
        <v>2.0240696111853687E-7</v>
      </c>
      <c r="F21" s="217">
        <f t="shared" si="6"/>
        <v>242.28389173002304</v>
      </c>
      <c r="G21" s="216">
        <f t="shared" si="1"/>
        <v>242.95789193243002</v>
      </c>
      <c r="H21" s="216">
        <f t="shared" si="7"/>
        <v>4.1159395648613624E-3</v>
      </c>
      <c r="I21" s="217">
        <f t="shared" si="8"/>
        <v>0.25877763637757845</v>
      </c>
      <c r="J21" s="217">
        <f t="shared" si="9"/>
        <v>0.26289357594243978</v>
      </c>
      <c r="K21" s="195">
        <f t="shared" si="2"/>
        <v>0.2629265096851407</v>
      </c>
      <c r="M21" s="218">
        <f t="shared" si="10"/>
        <v>0.2629265096851407</v>
      </c>
      <c r="N21" s="218">
        <f>Calculations!F31</f>
        <v>0.54955621464828197</v>
      </c>
      <c r="O21" s="219">
        <f>Spectra!$C$10*$A21</f>
        <v>1736770367827.0083</v>
      </c>
      <c r="P21" s="219">
        <f t="shared" si="11"/>
        <v>250950982554.06631</v>
      </c>
      <c r="Q21" s="218">
        <f t="shared" si="3"/>
        <v>4.5856998599219838E-3</v>
      </c>
    </row>
    <row r="22" spans="1:17" x14ac:dyDescent="0.25">
      <c r="A22" s="214">
        <v>350</v>
      </c>
      <c r="C22" s="215">
        <f t="shared" si="0"/>
        <v>1.4514285714285715</v>
      </c>
      <c r="D22" s="216">
        <f t="shared" si="4"/>
        <v>5.3042004113594414E-18</v>
      </c>
      <c r="E22" s="216">
        <f t="shared" si="5"/>
        <v>3.6476956919593145E-7</v>
      </c>
      <c r="F22" s="217">
        <f t="shared" si="6"/>
        <v>177.09489419150751</v>
      </c>
      <c r="G22" s="216">
        <f t="shared" si="1"/>
        <v>177.76889455627708</v>
      </c>
      <c r="H22" s="216">
        <f t="shared" si="7"/>
        <v>5.6252810847255714E-3</v>
      </c>
      <c r="I22" s="217">
        <f t="shared" si="8"/>
        <v>0.25992719477463133</v>
      </c>
      <c r="J22" s="217">
        <f t="shared" si="9"/>
        <v>0.26555247585935693</v>
      </c>
      <c r="K22" s="195">
        <f t="shared" si="2"/>
        <v>0.26558574269321616</v>
      </c>
      <c r="M22" s="218">
        <f t="shared" si="10"/>
        <v>0.26558574269321616</v>
      </c>
      <c r="N22" s="218">
        <f>Calculations!F32</f>
        <v>0.58099999999999996</v>
      </c>
      <c r="O22" s="219">
        <f>Spectra!$C$10*$A22</f>
        <v>1761940952867.9795</v>
      </c>
      <c r="P22" s="219">
        <f t="shared" si="11"/>
        <v>271876856394.98953</v>
      </c>
      <c r="Q22" s="218">
        <f t="shared" si="3"/>
        <v>4.9680844027694803E-3</v>
      </c>
    </row>
    <row r="23" spans="1:17" x14ac:dyDescent="0.25">
      <c r="A23" s="214">
        <v>355</v>
      </c>
      <c r="C23" s="215">
        <f t="shared" si="0"/>
        <v>1.4309859154929578</v>
      </c>
      <c r="D23" s="216">
        <f t="shared" si="4"/>
        <v>2.205087218154327E-17</v>
      </c>
      <c r="E23" s="216">
        <f t="shared" si="5"/>
        <v>6.4655625113535946E-7</v>
      </c>
      <c r="F23" s="217">
        <f t="shared" si="6"/>
        <v>130.5935908320273</v>
      </c>
      <c r="G23" s="216">
        <f t="shared" si="1"/>
        <v>131.26759147858357</v>
      </c>
      <c r="H23" s="216">
        <f t="shared" si="7"/>
        <v>7.6180265725615216E-3</v>
      </c>
      <c r="I23" s="217">
        <f t="shared" si="8"/>
        <v>0.2573028124874851</v>
      </c>
      <c r="J23" s="217">
        <f t="shared" si="9"/>
        <v>0.2649208390600466</v>
      </c>
      <c r="K23" s="195">
        <f t="shared" si="2"/>
        <v>0.2649540267662065</v>
      </c>
      <c r="M23" s="218">
        <f t="shared" si="10"/>
        <v>0.2649540267662065</v>
      </c>
      <c r="N23" s="218">
        <f>Calculations!F33</f>
        <v>0.61119378535171798</v>
      </c>
      <c r="O23" s="219">
        <f>Spectra!$C$10*$A23</f>
        <v>1787111537908.9507</v>
      </c>
      <c r="P23" s="219">
        <f t="shared" si="11"/>
        <v>289401723159.12134</v>
      </c>
      <c r="Q23" s="218">
        <f t="shared" si="3"/>
        <v>5.2883213599932543E-3</v>
      </c>
    </row>
    <row r="24" spans="1:17" x14ac:dyDescent="0.25">
      <c r="A24" s="214">
        <v>360</v>
      </c>
      <c r="C24" s="215">
        <f t="shared" si="0"/>
        <v>1.4111111111111112</v>
      </c>
      <c r="D24" s="216">
        <f t="shared" si="4"/>
        <v>8.8113523357190013E-17</v>
      </c>
      <c r="E24" s="216">
        <f t="shared" si="5"/>
        <v>1.1279473166111192E-6</v>
      </c>
      <c r="F24" s="217">
        <f t="shared" si="6"/>
        <v>97.120799130380703</v>
      </c>
      <c r="G24" s="216">
        <f t="shared" si="1"/>
        <v>97.794800258328024</v>
      </c>
      <c r="H24" s="216">
        <f t="shared" si="7"/>
        <v>1.0225492534965751E-2</v>
      </c>
      <c r="I24" s="217">
        <f t="shared" si="8"/>
        <v>0.25101818357143779</v>
      </c>
      <c r="J24" s="217">
        <f t="shared" si="9"/>
        <v>0.26124367610640353</v>
      </c>
      <c r="K24" s="195">
        <f t="shared" si="2"/>
        <v>0.26127640315947159</v>
      </c>
      <c r="M24" s="218">
        <f t="shared" si="10"/>
        <v>0.26127640315947159</v>
      </c>
      <c r="N24" s="218">
        <f>Calculations!F34</f>
        <v>0.63800000000000001</v>
      </c>
      <c r="O24" s="219">
        <f>Spectra!$C$10*$A24</f>
        <v>1812282122949.9219</v>
      </c>
      <c r="P24" s="219">
        <f t="shared" si="11"/>
        <v>302097181831.33368</v>
      </c>
      <c r="Q24" s="218">
        <f t="shared" si="3"/>
        <v>5.5203091468602247E-3</v>
      </c>
    </row>
    <row r="25" spans="1:17" x14ac:dyDescent="0.25">
      <c r="A25" s="214">
        <v>365</v>
      </c>
      <c r="C25" s="215">
        <f t="shared" si="0"/>
        <v>1.3917808219178083</v>
      </c>
      <c r="D25" s="216">
        <f t="shared" si="4"/>
        <v>3.3898205742065037E-16</v>
      </c>
      <c r="E25" s="216">
        <f t="shared" si="5"/>
        <v>1.9379826177626717E-6</v>
      </c>
      <c r="F25" s="217">
        <f t="shared" si="6"/>
        <v>72.815893346559818</v>
      </c>
      <c r="G25" s="216">
        <f t="shared" si="1"/>
        <v>73.489895284542442</v>
      </c>
      <c r="H25" s="216">
        <f t="shared" si="7"/>
        <v>1.3607312898299037E-2</v>
      </c>
      <c r="I25" s="217">
        <f t="shared" si="8"/>
        <v>0.24134242236780551</v>
      </c>
      <c r="J25" s="217">
        <f t="shared" si="9"/>
        <v>0.25494973526610454</v>
      </c>
      <c r="K25" s="195">
        <f t="shared" si="2"/>
        <v>0.25498167385171971</v>
      </c>
      <c r="M25" s="218">
        <f t="shared" si="10"/>
        <v>0.25498167385171971</v>
      </c>
      <c r="N25" s="218">
        <f>Calculations!F35</f>
        <v>0.66016864394484598</v>
      </c>
      <c r="O25" s="219">
        <f>Spectra!$C$10*$A25</f>
        <v>1837452707990.8928</v>
      </c>
      <c r="P25" s="219">
        <f t="shared" si="11"/>
        <v>309300078806.38074</v>
      </c>
      <c r="Q25" s="218">
        <f t="shared" si="3"/>
        <v>5.6519297658087454E-3</v>
      </c>
    </row>
    <row r="26" spans="1:17" x14ac:dyDescent="0.25">
      <c r="A26" s="214">
        <v>370</v>
      </c>
      <c r="C26" s="215">
        <f t="shared" si="0"/>
        <v>1.3729729729729729</v>
      </c>
      <c r="D26" s="216">
        <f t="shared" si="4"/>
        <v>1.2574664849255668E-15</v>
      </c>
      <c r="E26" s="216">
        <f t="shared" si="5"/>
        <v>3.2813906615504934E-6</v>
      </c>
      <c r="F26" s="217">
        <f t="shared" si="6"/>
        <v>55.020029809891781</v>
      </c>
      <c r="G26" s="216">
        <f t="shared" si="1"/>
        <v>55.694033091282442</v>
      </c>
      <c r="H26" s="216">
        <f t="shared" si="7"/>
        <v>1.7955244834953889E-2</v>
      </c>
      <c r="I26" s="217">
        <f t="shared" si="8"/>
        <v>0.22868095012562456</v>
      </c>
      <c r="J26" s="217">
        <f t="shared" si="9"/>
        <v>0.24663619496057845</v>
      </c>
      <c r="K26" s="195">
        <f t="shared" si="2"/>
        <v>0.24666709207533843</v>
      </c>
      <c r="M26" s="218">
        <f t="shared" si="10"/>
        <v>0.24666709207533843</v>
      </c>
      <c r="N26" s="218">
        <f>Calculations!F36</f>
        <v>0.68</v>
      </c>
      <c r="O26" s="219">
        <f>Spectra!$C$10*$A26</f>
        <v>1862623293031.864</v>
      </c>
      <c r="P26" s="219">
        <f t="shared" si="11"/>
        <v>312424552500.2934</v>
      </c>
      <c r="Q26" s="218">
        <f t="shared" si="3"/>
        <v>5.7090241769749512E-3</v>
      </c>
    </row>
    <row r="27" spans="1:17" x14ac:dyDescent="0.25">
      <c r="A27" s="214">
        <v>375</v>
      </c>
      <c r="C27" s="215">
        <f t="shared" si="0"/>
        <v>1.3546666666666667</v>
      </c>
      <c r="D27" s="216">
        <f t="shared" si="4"/>
        <v>4.5043721773022723E-15</v>
      </c>
      <c r="E27" s="216">
        <f t="shared" si="5"/>
        <v>5.4785687579857647E-6</v>
      </c>
      <c r="F27" s="217">
        <f t="shared" si="6"/>
        <v>41.885233121147571</v>
      </c>
      <c r="G27" s="216">
        <f t="shared" si="1"/>
        <v>42.55923859971633</v>
      </c>
      <c r="H27" s="216">
        <f t="shared" si="7"/>
        <v>2.3496660957808238E-2</v>
      </c>
      <c r="I27" s="217">
        <f t="shared" si="8"/>
        <v>0.21354732916975538</v>
      </c>
      <c r="J27" s="217">
        <f t="shared" si="9"/>
        <v>0.23704399012756361</v>
      </c>
      <c r="K27" s="195">
        <f t="shared" si="2"/>
        <v>0.23707368558798583</v>
      </c>
      <c r="M27" s="218">
        <f t="shared" si="10"/>
        <v>0.23707368558798583</v>
      </c>
      <c r="N27" s="218">
        <f>Calculations!F37</f>
        <v>0.69988163886889698</v>
      </c>
      <c r="O27" s="219">
        <f>Spectra!$C$10*$A27</f>
        <v>1887793878072.8352</v>
      </c>
      <c r="P27" s="219">
        <f t="shared" si="11"/>
        <v>313229404532.97089</v>
      </c>
      <c r="Q27" s="218">
        <f t="shared" si="3"/>
        <v>5.7237314708693358E-3</v>
      </c>
    </row>
    <row r="28" spans="1:17" x14ac:dyDescent="0.25">
      <c r="A28" s="214">
        <v>380</v>
      </c>
      <c r="C28" s="215">
        <f t="shared" si="0"/>
        <v>1.3368421052631578</v>
      </c>
      <c r="D28" s="216">
        <f t="shared" si="4"/>
        <v>1.5602332929916872E-14</v>
      </c>
      <c r="E28" s="216">
        <f t="shared" si="5"/>
        <v>9.0243963052435186E-6</v>
      </c>
      <c r="F28" s="217">
        <f t="shared" si="6"/>
        <v>32.115775834269385</v>
      </c>
      <c r="G28" s="216">
        <f t="shared" si="1"/>
        <v>32.789784858665705</v>
      </c>
      <c r="H28" s="216">
        <f t="shared" si="7"/>
        <v>3.049730287375519E-2</v>
      </c>
      <c r="I28" s="217">
        <f t="shared" si="8"/>
        <v>0.19652876990020346</v>
      </c>
      <c r="J28" s="217">
        <f t="shared" si="9"/>
        <v>0.22702607277395864</v>
      </c>
      <c r="K28" s="195">
        <f t="shared" si="2"/>
        <v>0.22705451324931195</v>
      </c>
      <c r="M28" s="218">
        <f t="shared" si="10"/>
        <v>0.22705451324931195</v>
      </c>
      <c r="N28" s="218">
        <f>Calculations!F38</f>
        <v>0.71900000000000008</v>
      </c>
      <c r="O28" s="219">
        <f>Spectra!$C$10*$A28</f>
        <v>1912964463113.8064</v>
      </c>
      <c r="P28" s="219">
        <f t="shared" si="11"/>
        <v>312295647610.5509</v>
      </c>
      <c r="Q28" s="218">
        <f t="shared" si="3"/>
        <v>5.7066686606553133E-3</v>
      </c>
    </row>
    <row r="29" spans="1:17" x14ac:dyDescent="0.25">
      <c r="A29" s="214">
        <v>385</v>
      </c>
      <c r="C29" s="215">
        <f t="shared" si="0"/>
        <v>1.3194805194805195</v>
      </c>
      <c r="D29" s="216">
        <f t="shared" si="4"/>
        <v>5.23275488432731E-14</v>
      </c>
      <c r="E29" s="216">
        <f t="shared" si="5"/>
        <v>1.4673688800305799E-5</v>
      </c>
      <c r="F29" s="217">
        <f t="shared" si="6"/>
        <v>24.795439379193681</v>
      </c>
      <c r="G29" s="216">
        <f t="shared" si="1"/>
        <v>25.469454052882533</v>
      </c>
      <c r="H29" s="216">
        <f t="shared" si="7"/>
        <v>3.926271831047843E-2</v>
      </c>
      <c r="I29" s="217">
        <f t="shared" si="8"/>
        <v>0.1782485325858619</v>
      </c>
      <c r="J29" s="217">
        <f t="shared" si="9"/>
        <v>0.21751125089634032</v>
      </c>
      <c r="K29" s="195">
        <f t="shared" si="2"/>
        <v>0.217538499411432</v>
      </c>
      <c r="M29" s="218">
        <f t="shared" si="10"/>
        <v>0.217538499411432</v>
      </c>
      <c r="N29" s="218">
        <f>Calculations!F39</f>
        <v>0.736179800579567</v>
      </c>
      <c r="O29" s="219">
        <f>Spectra!$C$10*$A29</f>
        <v>1938135048154.7776</v>
      </c>
      <c r="P29" s="219">
        <f t="shared" si="11"/>
        <v>310387384002.53253</v>
      </c>
      <c r="Q29" s="218">
        <f t="shared" si="3"/>
        <v>5.6717984080230134E-3</v>
      </c>
    </row>
    <row r="30" spans="1:17" x14ac:dyDescent="0.25">
      <c r="A30" s="214">
        <v>390</v>
      </c>
      <c r="C30" s="215">
        <f t="shared" si="0"/>
        <v>1.3025641025641026</v>
      </c>
      <c r="D30" s="216">
        <f t="shared" si="4"/>
        <v>1.7013585041093993E-13</v>
      </c>
      <c r="E30" s="216">
        <f t="shared" si="5"/>
        <v>2.3563895435216749E-5</v>
      </c>
      <c r="F30" s="217">
        <f t="shared" si="6"/>
        <v>19.271072323993359</v>
      </c>
      <c r="G30" s="216">
        <f t="shared" si="1"/>
        <v>19.945095887888964</v>
      </c>
      <c r="H30" s="216">
        <f t="shared" si="7"/>
        <v>5.0137638125230512E-2</v>
      </c>
      <c r="I30" s="217">
        <f t="shared" si="8"/>
        <v>0.1593285582560586</v>
      </c>
      <c r="J30" s="217">
        <f t="shared" si="9"/>
        <v>0.2094661963812891</v>
      </c>
      <c r="K30" s="195">
        <f t="shared" si="2"/>
        <v>0.20949243705982765</v>
      </c>
      <c r="M30" s="218">
        <f t="shared" si="10"/>
        <v>0.20949243705982765</v>
      </c>
      <c r="N30" s="218">
        <f>Calculations!F40</f>
        <v>0.752</v>
      </c>
      <c r="O30" s="219">
        <f>Spectra!$C$10*$A30</f>
        <v>1963305633195.7485</v>
      </c>
      <c r="P30" s="219">
        <f t="shared" si="11"/>
        <v>309295856707.18195</v>
      </c>
      <c r="Q30" s="218">
        <f t="shared" si="3"/>
        <v>5.65185261416938E-3</v>
      </c>
    </row>
    <row r="31" spans="1:17" x14ac:dyDescent="0.25">
      <c r="A31" s="214">
        <v>395</v>
      </c>
      <c r="C31" s="215">
        <f t="shared" si="0"/>
        <v>1.2860759493670886</v>
      </c>
      <c r="D31" s="216">
        <f t="shared" si="4"/>
        <v>5.369051856154553E-13</v>
      </c>
      <c r="E31" s="216">
        <f t="shared" si="5"/>
        <v>3.7389277882565608E-5</v>
      </c>
      <c r="F31" s="217">
        <f t="shared" si="6"/>
        <v>15.073400671910758</v>
      </c>
      <c r="G31" s="216">
        <f t="shared" si="1"/>
        <v>15.747438061189177</v>
      </c>
      <c r="H31" s="216">
        <f t="shared" si="7"/>
        <v>6.3502392967944424E-2</v>
      </c>
      <c r="I31" s="217">
        <f t="shared" si="8"/>
        <v>0.14035539958321455</v>
      </c>
      <c r="J31" s="217">
        <f t="shared" si="9"/>
        <v>0.20385779255115899</v>
      </c>
      <c r="K31" s="195">
        <f t="shared" si="2"/>
        <v>0.20388333064224159</v>
      </c>
      <c r="M31" s="218">
        <f t="shared" si="10"/>
        <v>0.20388333064224159</v>
      </c>
      <c r="N31" s="218">
        <f>Calculations!F41</f>
        <v>0.76714915881283607</v>
      </c>
      <c r="O31" s="219">
        <f>Spectra!$C$10*$A31</f>
        <v>1988476218236.7197</v>
      </c>
      <c r="P31" s="219">
        <f t="shared" si="11"/>
        <v>311015428871.8877</v>
      </c>
      <c r="Q31" s="218">
        <f t="shared" si="3"/>
        <v>5.6832748535029839E-3</v>
      </c>
    </row>
    <row r="32" spans="1:17" x14ac:dyDescent="0.25">
      <c r="A32" s="214">
        <v>400</v>
      </c>
      <c r="C32" s="215">
        <f t="shared" si="0"/>
        <v>1.27</v>
      </c>
      <c r="D32" s="216">
        <f t="shared" si="4"/>
        <v>1.6463486687258284E-12</v>
      </c>
      <c r="E32" s="216">
        <f t="shared" si="5"/>
        <v>5.8645483118960776E-5</v>
      </c>
      <c r="F32" s="217">
        <f t="shared" si="6"/>
        <v>11.86271158219553</v>
      </c>
      <c r="G32" s="216">
        <f t="shared" si="1"/>
        <v>12.536770227680295</v>
      </c>
      <c r="H32" s="216">
        <f t="shared" si="7"/>
        <v>7.9765360761902715E-2</v>
      </c>
      <c r="I32" s="217">
        <f t="shared" si="8"/>
        <v>0.12185194316450641</v>
      </c>
      <c r="J32" s="217">
        <f t="shared" si="9"/>
        <v>0.20161730392640914</v>
      </c>
      <c r="K32" s="195">
        <f t="shared" si="2"/>
        <v>0.2016425613424101</v>
      </c>
      <c r="M32" s="218">
        <f t="shared" si="10"/>
        <v>0.2016425613424101</v>
      </c>
      <c r="N32" s="218">
        <f>Calculations!F42</f>
        <v>0.78099999999999992</v>
      </c>
      <c r="O32" s="219">
        <f>Spectra!$C$10*$A32</f>
        <v>2013646803277.6909</v>
      </c>
      <c r="P32" s="219">
        <f t="shared" si="11"/>
        <v>317114818159.51031</v>
      </c>
      <c r="Q32" s="218">
        <f t="shared" si="3"/>
        <v>5.7947307574296985E-3</v>
      </c>
    </row>
    <row r="33" spans="1:17" x14ac:dyDescent="0.25">
      <c r="A33" s="214">
        <v>405</v>
      </c>
      <c r="C33" s="215">
        <f t="shared" si="0"/>
        <v>1.2543209876543211</v>
      </c>
      <c r="D33" s="216">
        <f t="shared" si="4"/>
        <v>4.9105554820991539E-12</v>
      </c>
      <c r="E33" s="216">
        <f t="shared" si="5"/>
        <v>9.0969374293145214E-5</v>
      </c>
      <c r="F33" s="217">
        <f t="shared" si="6"/>
        <v>9.3912904890355904</v>
      </c>
      <c r="G33" s="216">
        <f t="shared" si="1"/>
        <v>10.065381458414793</v>
      </c>
      <c r="H33" s="216">
        <f t="shared" si="7"/>
        <v>9.9350432383661591E-2</v>
      </c>
      <c r="I33" s="217">
        <f t="shared" si="8"/>
        <v>0.10425661716209296</v>
      </c>
      <c r="J33" s="217">
        <f t="shared" si="9"/>
        <v>0.20360704954575454</v>
      </c>
      <c r="K33" s="195">
        <f t="shared" si="2"/>
        <v>0.20363255622524562</v>
      </c>
      <c r="M33" s="218">
        <f t="shared" si="10"/>
        <v>0.20363255622524562</v>
      </c>
      <c r="N33" s="218">
        <f>Calculations!F43</f>
        <v>0.792848564169089</v>
      </c>
      <c r="O33" s="219">
        <f>Spectra!$C$10*$A33</f>
        <v>2038817388318.6621</v>
      </c>
      <c r="P33" s="219">
        <f t="shared" si="11"/>
        <v>329166618439.81915</v>
      </c>
      <c r="Q33" s="218">
        <f t="shared" si="3"/>
        <v>6.0149567884049439E-3</v>
      </c>
    </row>
    <row r="34" spans="1:17" x14ac:dyDescent="0.25">
      <c r="A34" s="214">
        <v>410</v>
      </c>
      <c r="C34" s="215">
        <f t="shared" si="0"/>
        <v>1.2390243902439024</v>
      </c>
      <c r="D34" s="216">
        <f t="shared" si="4"/>
        <v>1.4261447359888671E-11</v>
      </c>
      <c r="E34" s="216">
        <f t="shared" si="5"/>
        <v>1.3960648328716367E-4</v>
      </c>
      <c r="F34" s="217">
        <f t="shared" si="6"/>
        <v>7.4772375676266227</v>
      </c>
      <c r="G34" s="216">
        <f t="shared" si="1"/>
        <v>8.1513771741241712</v>
      </c>
      <c r="H34" s="216">
        <f t="shared" si="7"/>
        <v>0.12267865645751394</v>
      </c>
      <c r="I34" s="217">
        <f t="shared" si="8"/>
        <v>8.7910881479078828E-2</v>
      </c>
      <c r="J34" s="217">
        <f t="shared" si="9"/>
        <v>0.21058953793659277</v>
      </c>
      <c r="K34" s="195">
        <f t="shared" si="2"/>
        <v>0.21061591934067631</v>
      </c>
      <c r="M34" s="218">
        <f t="shared" si="10"/>
        <v>0.21061591934067631</v>
      </c>
      <c r="N34" s="218">
        <f>Calculations!F44</f>
        <v>0.80299999999999994</v>
      </c>
      <c r="O34" s="219">
        <f>Spectra!$C$10*$A34</f>
        <v>2063987973359.6331</v>
      </c>
      <c r="P34" s="219">
        <f t="shared" si="11"/>
        <v>349071105787.34247</v>
      </c>
      <c r="Q34" s="218">
        <f t="shared" si="3"/>
        <v>6.3786772405521738E-3</v>
      </c>
    </row>
    <row r="35" spans="1:17" x14ac:dyDescent="0.25">
      <c r="A35" s="214">
        <v>415</v>
      </c>
      <c r="C35" s="215">
        <f t="shared" si="0"/>
        <v>1.2240963855421687</v>
      </c>
      <c r="D35" s="216">
        <f t="shared" si="4"/>
        <v>4.0368179377065087E-11</v>
      </c>
      <c r="E35" s="216">
        <f t="shared" si="5"/>
        <v>2.1204780886960946E-4</v>
      </c>
      <c r="F35" s="217">
        <f t="shared" si="6"/>
        <v>5.9860762330801807</v>
      </c>
      <c r="G35" s="216">
        <f t="shared" si="1"/>
        <v>6.6602882809294188</v>
      </c>
      <c r="H35" s="216">
        <f t="shared" si="7"/>
        <v>0.15014365111842481</v>
      </c>
      <c r="I35" s="217">
        <f t="shared" si="8"/>
        <v>7.3054921079257221E-2</v>
      </c>
      <c r="J35" s="217">
        <f t="shared" si="9"/>
        <v>0.22319857219768202</v>
      </c>
      <c r="K35" s="195">
        <f t="shared" si="2"/>
        <v>0.22322653318654076</v>
      </c>
      <c r="M35" s="218">
        <f t="shared" si="10"/>
        <v>0.22322653318654076</v>
      </c>
      <c r="N35" s="218">
        <f>Calculations!F45</f>
        <v>0.81195658451080899</v>
      </c>
      <c r="O35" s="219">
        <f>Spectra!$C$10*$A35</f>
        <v>2089158558400.6042</v>
      </c>
      <c r="P35" s="219">
        <f t="shared" si="11"/>
        <v>378660518224.75385</v>
      </c>
      <c r="Q35" s="218">
        <f t="shared" si="3"/>
        <v>6.9193731290019336E-3</v>
      </c>
    </row>
    <row r="36" spans="1:17" x14ac:dyDescent="0.25">
      <c r="A36" s="214">
        <v>420</v>
      </c>
      <c r="C36" s="215">
        <f t="shared" si="0"/>
        <v>1.2095238095238094</v>
      </c>
      <c r="D36" s="216">
        <f t="shared" si="4"/>
        <v>1.1146943011252438E-10</v>
      </c>
      <c r="E36" s="216">
        <f t="shared" si="5"/>
        <v>3.188892587620001E-4</v>
      </c>
      <c r="F36" s="217">
        <f t="shared" si="6"/>
        <v>4.8177391495183848</v>
      </c>
      <c r="G36" s="216">
        <f t="shared" si="1"/>
        <v>5.4920580388886169</v>
      </c>
      <c r="H36" s="216">
        <f t="shared" si="7"/>
        <v>0.18208110564730337</v>
      </c>
      <c r="I36" s="217">
        <f t="shared" si="8"/>
        <v>5.9830709474748445E-2</v>
      </c>
      <c r="J36" s="217">
        <f t="shared" si="9"/>
        <v>0.24191181512205182</v>
      </c>
      <c r="K36" s="195">
        <f t="shared" si="2"/>
        <v>0.24194212039462065</v>
      </c>
      <c r="M36" s="218">
        <f t="shared" si="10"/>
        <v>0.24194212039462065</v>
      </c>
      <c r="N36" s="218">
        <f>Calculations!F46</f>
        <v>0.82</v>
      </c>
      <c r="O36" s="219">
        <f>Spectra!$C$10*$A36</f>
        <v>2114329143441.5754</v>
      </c>
      <c r="P36" s="219">
        <f t="shared" si="11"/>
        <v>419467126464.64532</v>
      </c>
      <c r="Q36" s="218">
        <f t="shared" si="3"/>
        <v>7.6650440795001887E-3</v>
      </c>
    </row>
    <row r="37" spans="1:17" x14ac:dyDescent="0.25">
      <c r="A37" s="214">
        <v>425</v>
      </c>
      <c r="C37" s="215">
        <f t="shared" si="0"/>
        <v>1.1952941176470588</v>
      </c>
      <c r="D37" s="216">
        <f t="shared" si="4"/>
        <v>3.0053370409147807E-10</v>
      </c>
      <c r="E37" s="216">
        <f t="shared" si="5"/>
        <v>4.7498121878200231E-4</v>
      </c>
      <c r="F37" s="217">
        <f t="shared" si="6"/>
        <v>3.897293558756449</v>
      </c>
      <c r="G37" s="216">
        <f t="shared" si="1"/>
        <v>4.5717685402757651</v>
      </c>
      <c r="H37" s="216">
        <f t="shared" si="7"/>
        <v>0.21873373316919514</v>
      </c>
      <c r="I37" s="217">
        <f t="shared" si="8"/>
        <v>4.8291051865342015E-2</v>
      </c>
      <c r="J37" s="217">
        <f t="shared" si="9"/>
        <v>0.26702478503453714</v>
      </c>
      <c r="K37" s="195">
        <f t="shared" si="2"/>
        <v>0.26705823631052805</v>
      </c>
      <c r="M37" s="218">
        <f t="shared" si="10"/>
        <v>0.26705823631052805</v>
      </c>
      <c r="N37" s="218">
        <f>Calculations!F47</f>
        <v>0.82745009778767498</v>
      </c>
      <c r="O37" s="219">
        <f>Spectra!$C$10*$A37</f>
        <v>2139499728482.5466</v>
      </c>
      <c r="P37" s="219">
        <f t="shared" si="11"/>
        <v>472781009744.23584</v>
      </c>
      <c r="Q37" s="218">
        <f t="shared" si="3"/>
        <v>8.6392640829402734E-3</v>
      </c>
    </row>
    <row r="38" spans="1:17" x14ac:dyDescent="0.25">
      <c r="A38" s="214">
        <v>430</v>
      </c>
      <c r="C38" s="215">
        <f t="shared" si="0"/>
        <v>1.1813953488372093</v>
      </c>
      <c r="D38" s="216">
        <f t="shared" si="4"/>
        <v>7.917962461630688E-10</v>
      </c>
      <c r="E38" s="216">
        <f t="shared" si="5"/>
        <v>7.0095296692286059E-4</v>
      </c>
      <c r="F38" s="217">
        <f t="shared" si="6"/>
        <v>3.1682858416467052</v>
      </c>
      <c r="G38" s="216">
        <f t="shared" si="1"/>
        <v>3.8429867954054244</v>
      </c>
      <c r="H38" s="216">
        <f t="shared" si="7"/>
        <v>0.26021426906685552</v>
      </c>
      <c r="I38" s="217">
        <f t="shared" si="8"/>
        <v>3.8412892715003748E-2</v>
      </c>
      <c r="J38" s="217">
        <f t="shared" si="9"/>
        <v>0.29862716178185927</v>
      </c>
      <c r="K38" s="195">
        <f t="shared" si="2"/>
        <v>0.2986645720155417</v>
      </c>
      <c r="M38" s="218">
        <f t="shared" si="10"/>
        <v>0.2986645720155417</v>
      </c>
      <c r="N38" s="218">
        <f>Calculations!F48</f>
        <v>0.83499999999999996</v>
      </c>
      <c r="O38" s="219">
        <f>Spectra!$C$10*$A38</f>
        <v>2164670313523.5178</v>
      </c>
      <c r="P38" s="219">
        <f t="shared" si="11"/>
        <v>539836127840.61365</v>
      </c>
      <c r="Q38" s="218">
        <f t="shared" si="3"/>
        <v>9.8645816430951265E-3</v>
      </c>
    </row>
    <row r="39" spans="1:17" x14ac:dyDescent="0.25">
      <c r="A39" s="214">
        <v>435</v>
      </c>
      <c r="C39" s="215">
        <f t="shared" si="0"/>
        <v>1.167816091954023</v>
      </c>
      <c r="D39" s="216">
        <f t="shared" si="4"/>
        <v>2.040149357315551E-9</v>
      </c>
      <c r="E39" s="216">
        <f t="shared" si="5"/>
        <v>1.0252174170264565E-3</v>
      </c>
      <c r="F39" s="217">
        <f t="shared" si="6"/>
        <v>2.587933731165093</v>
      </c>
      <c r="G39" s="216">
        <f t="shared" si="1"/>
        <v>3.2629589506222687</v>
      </c>
      <c r="H39" s="216">
        <f t="shared" si="7"/>
        <v>0.30647029739963266</v>
      </c>
      <c r="I39" s="217">
        <f t="shared" si="8"/>
        <v>3.0113081325362952E-2</v>
      </c>
      <c r="J39" s="217">
        <f t="shared" si="9"/>
        <v>0.33658337872499561</v>
      </c>
      <c r="K39" s="195">
        <f t="shared" si="2"/>
        <v>0.33662554388765731</v>
      </c>
      <c r="M39" s="218">
        <f t="shared" si="10"/>
        <v>0.33662554388765731</v>
      </c>
      <c r="N39" s="218">
        <f>Calculations!F49</f>
        <v>0.84311802433849192</v>
      </c>
      <c r="O39" s="219">
        <f>Spectra!$C$10*$A39</f>
        <v>2189840898564.4888</v>
      </c>
      <c r="P39" s="219">
        <f t="shared" si="11"/>
        <v>621509833690.68262</v>
      </c>
      <c r="Q39" s="218">
        <f t="shared" si="3"/>
        <v>1.1357028883843745E-2</v>
      </c>
    </row>
    <row r="40" spans="1:17" x14ac:dyDescent="0.25">
      <c r="A40" s="214">
        <v>440</v>
      </c>
      <c r="C40" s="215">
        <f t="shared" si="0"/>
        <v>1.1545454545454545</v>
      </c>
      <c r="D40" s="216">
        <f t="shared" si="4"/>
        <v>5.1447997483429229E-9</v>
      </c>
      <c r="E40" s="216">
        <f t="shared" si="5"/>
        <v>1.4865864993552722E-3</v>
      </c>
      <c r="F40" s="217">
        <f t="shared" si="6"/>
        <v>2.123630815782954</v>
      </c>
      <c r="G40" s="216">
        <f t="shared" si="1"/>
        <v>2.7991174074271088</v>
      </c>
      <c r="H40" s="216">
        <f t="shared" si="7"/>
        <v>0.35725546822245641</v>
      </c>
      <c r="I40" s="217">
        <f t="shared" si="8"/>
        <v>2.3264901406412894E-2</v>
      </c>
      <c r="J40" s="217">
        <f t="shared" si="9"/>
        <v>0.38052036962886931</v>
      </c>
      <c r="K40" s="195">
        <f t="shared" si="2"/>
        <v>0.38056803895628016</v>
      </c>
      <c r="M40" s="218">
        <f t="shared" si="10"/>
        <v>0.38056803895628016</v>
      </c>
      <c r="N40" s="218">
        <f>Calculations!F50</f>
        <v>0.85099999999999998</v>
      </c>
      <c r="O40" s="219">
        <f>Spectra!$C$10*$A40</f>
        <v>2215011483605.46</v>
      </c>
      <c r="P40" s="219">
        <f t="shared" si="11"/>
        <v>717361152670.74634</v>
      </c>
      <c r="Q40" s="218">
        <f t="shared" si="3"/>
        <v>1.3108547748391396E-2</v>
      </c>
    </row>
    <row r="41" spans="1:17" x14ac:dyDescent="0.25">
      <c r="A41" s="214">
        <v>445</v>
      </c>
      <c r="C41" s="215">
        <f t="shared" si="0"/>
        <v>1.1415730337078651</v>
      </c>
      <c r="D41" s="216">
        <f t="shared" si="4"/>
        <v>1.2707141767468905E-8</v>
      </c>
      <c r="E41" s="216">
        <f t="shared" si="5"/>
        <v>2.1376569267597665E-3</v>
      </c>
      <c r="F41" s="217">
        <f t="shared" si="6"/>
        <v>1.7503892683334104</v>
      </c>
      <c r="G41" s="216">
        <f t="shared" si="1"/>
        <v>2.4265269379673118</v>
      </c>
      <c r="H41" s="216">
        <f t="shared" si="7"/>
        <v>0.41211164168558312</v>
      </c>
      <c r="I41" s="217">
        <f t="shared" si="8"/>
        <v>1.7713936005394667E-2</v>
      </c>
      <c r="J41" s="217">
        <f t="shared" si="9"/>
        <v>0.42982557769097779</v>
      </c>
      <c r="K41" s="195">
        <f t="shared" si="2"/>
        <v>0.42987942368143683</v>
      </c>
      <c r="M41" s="218">
        <f t="shared" si="10"/>
        <v>0.42987942368143683</v>
      </c>
      <c r="N41" s="218">
        <f>Calculations!F51</f>
        <v>0.85782780485835697</v>
      </c>
      <c r="O41" s="219">
        <f>Spectra!$C$10*$A41</f>
        <v>2240182068646.4312</v>
      </c>
      <c r="P41" s="219">
        <f t="shared" si="11"/>
        <v>826095190203.04907</v>
      </c>
      <c r="Q41" s="218">
        <f t="shared" si="3"/>
        <v>1.5095476253734889E-2</v>
      </c>
    </row>
    <row r="42" spans="1:17" x14ac:dyDescent="0.25">
      <c r="A42" s="214">
        <v>450</v>
      </c>
      <c r="C42" s="215">
        <f t="shared" si="0"/>
        <v>1.1288888888888888</v>
      </c>
      <c r="D42" s="216">
        <f t="shared" si="4"/>
        <v>3.0761043659867853E-8</v>
      </c>
      <c r="E42" s="216">
        <f t="shared" si="5"/>
        <v>3.0491607538812734E-3</v>
      </c>
      <c r="F42" s="217">
        <f t="shared" si="6"/>
        <v>1.4489576624409759</v>
      </c>
      <c r="G42" s="216">
        <f t="shared" si="1"/>
        <v>2.1260068539559009</v>
      </c>
      <c r="H42" s="216">
        <f t="shared" si="7"/>
        <v>0.47036536977257681</v>
      </c>
      <c r="I42" s="217">
        <f t="shared" si="8"/>
        <v>1.3292196779413625E-2</v>
      </c>
      <c r="J42" s="217">
        <f t="shared" si="9"/>
        <v>0.48365756655199044</v>
      </c>
      <c r="K42" s="195">
        <f t="shared" si="2"/>
        <v>0.48371815629365705</v>
      </c>
      <c r="M42" s="218">
        <f t="shared" si="10"/>
        <v>0.48371815629365705</v>
      </c>
      <c r="N42" s="218">
        <f>Calculations!F52</f>
        <v>0.8640000000000001</v>
      </c>
      <c r="O42" s="219">
        <f>Spectra!$C$10*$A42</f>
        <v>2265352653687.4023</v>
      </c>
      <c r="P42" s="219">
        <f t="shared" si="11"/>
        <v>946764468573.07434</v>
      </c>
      <c r="Q42" s="218">
        <f t="shared" si="3"/>
        <v>1.7300500865659228E-2</v>
      </c>
    </row>
    <row r="43" spans="1:17" x14ac:dyDescent="0.25">
      <c r="A43" s="214">
        <v>455</v>
      </c>
      <c r="C43" s="215">
        <f t="shared" si="0"/>
        <v>1.1164835164835165</v>
      </c>
      <c r="D43" s="216">
        <f t="shared" si="4"/>
        <v>7.3032425673947252E-8</v>
      </c>
      <c r="E43" s="216">
        <f t="shared" si="5"/>
        <v>4.3155156427064556E-3</v>
      </c>
      <c r="F43" s="217">
        <f t="shared" si="6"/>
        <v>1.2044275545530461</v>
      </c>
      <c r="G43" s="216">
        <f t="shared" si="1"/>
        <v>1.8827431432281783</v>
      </c>
      <c r="H43" s="216">
        <f t="shared" si="7"/>
        <v>0.53113989743995871</v>
      </c>
      <c r="I43" s="217">
        <f t="shared" si="8"/>
        <v>9.8298363643338754E-3</v>
      </c>
      <c r="J43" s="217">
        <f t="shared" si="9"/>
        <v>0.54096973380429259</v>
      </c>
      <c r="K43" s="195">
        <f t="shared" si="2"/>
        <v>0.54103750327320488</v>
      </c>
      <c r="M43" s="218">
        <f t="shared" si="10"/>
        <v>0.54103750327320488</v>
      </c>
      <c r="N43" s="218">
        <f>Calculations!F53</f>
        <v>0.87007075622808105</v>
      </c>
      <c r="O43" s="219">
        <f>Spectra!$C$10*$A43</f>
        <v>2290523238728.3735</v>
      </c>
      <c r="P43" s="219">
        <f t="shared" si="11"/>
        <v>1078242992906.2781</v>
      </c>
      <c r="Q43" s="218">
        <f t="shared" si="3"/>
        <v>1.9703045954270807E-2</v>
      </c>
    </row>
    <row r="44" spans="1:17" x14ac:dyDescent="0.25">
      <c r="A44" s="214">
        <v>460</v>
      </c>
      <c r="C44" s="215">
        <f t="shared" ref="C44:C75" si="12">$C$4/A44</f>
        <v>1.1043478260869566</v>
      </c>
      <c r="D44" s="216">
        <f t="shared" si="4"/>
        <v>1.701637400879668E-7</v>
      </c>
      <c r="E44" s="216">
        <f t="shared" si="5"/>
        <v>6.0618567560974251E-3</v>
      </c>
      <c r="F44" s="217">
        <f t="shared" si="6"/>
        <v>1.0051960616425104</v>
      </c>
      <c r="G44" s="216">
        <f t="shared" ref="G44:G75" si="13">D44+E44+F44+$G$4</f>
        <v>1.6852580885623478</v>
      </c>
      <c r="H44" s="216">
        <f t="shared" si="7"/>
        <v>0.59338092294995326</v>
      </c>
      <c r="I44" s="217">
        <f t="shared" si="8"/>
        <v>7.1641331707983967E-3</v>
      </c>
      <c r="J44" s="217">
        <f t="shared" si="9"/>
        <v>0.60054505612075171</v>
      </c>
      <c r="K44" s="195">
        <f t="shared" si="2"/>
        <v>0.60062028883150798</v>
      </c>
      <c r="M44" s="218">
        <f t="shared" si="10"/>
        <v>0.60062028883150798</v>
      </c>
      <c r="N44" s="218">
        <f>Calculations!F54</f>
        <v>0.87599999999999989</v>
      </c>
      <c r="O44" s="219">
        <f>Spectra!$C$10*$A44</f>
        <v>2315693823769.3447</v>
      </c>
      <c r="P44" s="219">
        <f t="shared" si="11"/>
        <v>1218386959311.25</v>
      </c>
      <c r="Q44" s="218">
        <f t="shared" ref="Q44:Q75" si="14">P44/SUM(P$12:P$108)</f>
        <v>2.2263937171238778E-2</v>
      </c>
    </row>
    <row r="45" spans="1:17" x14ac:dyDescent="0.25">
      <c r="A45" s="214">
        <v>465</v>
      </c>
      <c r="C45" s="215">
        <f t="shared" si="12"/>
        <v>1.0924731182795699</v>
      </c>
      <c r="D45" s="216">
        <f t="shared" si="4"/>
        <v>3.8933037827953998E-7</v>
      </c>
      <c r="E45" s="216">
        <f t="shared" si="5"/>
        <v>8.4528863857435983E-3</v>
      </c>
      <c r="F45" s="217">
        <f t="shared" si="6"/>
        <v>0.84218924148579699</v>
      </c>
      <c r="G45" s="216">
        <f t="shared" si="13"/>
        <v>1.5246425172019189</v>
      </c>
      <c r="H45" s="216">
        <f t="shared" si="7"/>
        <v>0.65589145568053386</v>
      </c>
      <c r="I45" s="217">
        <f t="shared" si="8"/>
        <v>5.1457519545163337E-3</v>
      </c>
      <c r="J45" s="217">
        <f t="shared" si="9"/>
        <v>0.66103720763505025</v>
      </c>
      <c r="K45" s="195">
        <f t="shared" si="2"/>
        <v>0.66112001844255641</v>
      </c>
      <c r="M45" s="218">
        <f t="shared" si="10"/>
        <v>0.66112001844255641</v>
      </c>
      <c r="N45" s="218">
        <f>Calculations!F55</f>
        <v>0.88163917022932092</v>
      </c>
      <c r="O45" s="219">
        <f>Spectra!$C$10*$A45</f>
        <v>2340864408810.3154</v>
      </c>
      <c r="P45" s="219">
        <f t="shared" si="11"/>
        <v>1364418009849.2083</v>
      </c>
      <c r="Q45" s="218">
        <f t="shared" si="14"/>
        <v>2.4932404778660482E-2</v>
      </c>
    </row>
    <row r="46" spans="1:17" x14ac:dyDescent="0.25">
      <c r="A46" s="214">
        <v>470</v>
      </c>
      <c r="C46" s="215">
        <f t="shared" si="12"/>
        <v>1.0808510638297872</v>
      </c>
      <c r="D46" s="216">
        <f t="shared" si="4"/>
        <v>8.7522892420829366E-7</v>
      </c>
      <c r="E46" s="216">
        <f t="shared" si="5"/>
        <v>1.1703939467422838E-2</v>
      </c>
      <c r="F46" s="217">
        <f t="shared" si="6"/>
        <v>0.70827761615164608</v>
      </c>
      <c r="G46" s="216">
        <f t="shared" si="13"/>
        <v>1.3939824308479931</v>
      </c>
      <c r="H46" s="216">
        <f t="shared" si="7"/>
        <v>0.71736915607442475</v>
      </c>
      <c r="I46" s="217">
        <f t="shared" si="8"/>
        <v>3.6425194615520668E-3</v>
      </c>
      <c r="J46" s="217">
        <f t="shared" si="9"/>
        <v>0.72101167553597678</v>
      </c>
      <c r="K46" s="195">
        <f t="shared" si="2"/>
        <v>0.72110199958791044</v>
      </c>
      <c r="M46" s="218">
        <f t="shared" si="10"/>
        <v>0.72110199958791044</v>
      </c>
      <c r="N46" s="218">
        <f>Calculations!F56</f>
        <v>0.88700000000000001</v>
      </c>
      <c r="O46" s="219">
        <f>Spectra!$C$10*$A46</f>
        <v>2366034993851.2866</v>
      </c>
      <c r="P46" s="219">
        <f t="shared" si="11"/>
        <v>1513357325297.9241</v>
      </c>
      <c r="Q46" s="218">
        <f t="shared" si="14"/>
        <v>2.7654015951642859E-2</v>
      </c>
    </row>
    <row r="47" spans="1:17" x14ac:dyDescent="0.25">
      <c r="A47" s="214">
        <v>475</v>
      </c>
      <c r="C47" s="215">
        <f t="shared" si="12"/>
        <v>1.0694736842105264</v>
      </c>
      <c r="D47" s="216">
        <f t="shared" si="4"/>
        <v>1.9342768975553392E-6</v>
      </c>
      <c r="E47" s="216">
        <f t="shared" si="5"/>
        <v>1.6094733731940564E-2</v>
      </c>
      <c r="F47" s="217">
        <f t="shared" si="6"/>
        <v>0.59783403005752445</v>
      </c>
      <c r="G47" s="216">
        <f t="shared" si="13"/>
        <v>1.2879306980663627</v>
      </c>
      <c r="H47" s="216">
        <f t="shared" si="7"/>
        <v>0.77643929250335597</v>
      </c>
      <c r="I47" s="217">
        <f t="shared" si="8"/>
        <v>2.5411058126520625E-3</v>
      </c>
      <c r="J47" s="217">
        <f t="shared" si="9"/>
        <v>0.77898039831600807</v>
      </c>
      <c r="K47" s="195">
        <f t="shared" si="2"/>
        <v>0.77907798434455666</v>
      </c>
      <c r="M47" s="218">
        <f t="shared" si="10"/>
        <v>0.77907798434455666</v>
      </c>
      <c r="N47" s="218">
        <f>Calculations!F57</f>
        <v>0.89199756285463494</v>
      </c>
      <c r="O47" s="219">
        <f>Spectra!$C$10*$A47</f>
        <v>2391205578892.2578</v>
      </c>
      <c r="P47" s="219">
        <f t="shared" si="11"/>
        <v>1661734035075.7825</v>
      </c>
      <c r="Q47" s="218">
        <f t="shared" si="14"/>
        <v>3.0365346468539393E-2</v>
      </c>
    </row>
    <row r="48" spans="1:17" x14ac:dyDescent="0.25">
      <c r="A48" s="214">
        <v>480</v>
      </c>
      <c r="C48" s="215">
        <f t="shared" si="12"/>
        <v>1.0583333333333333</v>
      </c>
      <c r="D48" s="216">
        <f t="shared" si="4"/>
        <v>4.2047549523615831E-6</v>
      </c>
      <c r="E48" s="216">
        <f t="shared" si="5"/>
        <v>2.198635306484286E-2</v>
      </c>
      <c r="F48" s="217">
        <f t="shared" si="6"/>
        <v>0.50639750589440058</v>
      </c>
      <c r="G48" s="216">
        <f t="shared" si="13"/>
        <v>1.2023880637141957</v>
      </c>
      <c r="H48" s="216">
        <f t="shared" si="7"/>
        <v>0.83167824945881796</v>
      </c>
      <c r="I48" s="217">
        <f t="shared" si="8"/>
        <v>1.7470746173402635E-3</v>
      </c>
      <c r="J48" s="217">
        <f t="shared" si="9"/>
        <v>0.83342532407615821</v>
      </c>
      <c r="K48" s="195">
        <f t="shared" si="2"/>
        <v>0.83352973064100155</v>
      </c>
      <c r="M48" s="218">
        <f t="shared" si="10"/>
        <v>0.83352973064100155</v>
      </c>
      <c r="N48" s="218">
        <f>Calculations!F58</f>
        <v>0.89599999999999991</v>
      </c>
      <c r="O48" s="219">
        <f>Spectra!$C$10*$A48</f>
        <v>2416376163933.229</v>
      </c>
      <c r="P48" s="219">
        <f t="shared" si="11"/>
        <v>1804652750253.3384</v>
      </c>
      <c r="Q48" s="218">
        <f t="shared" si="14"/>
        <v>3.2976941472072599E-2</v>
      </c>
    </row>
    <row r="49" spans="1:17" x14ac:dyDescent="0.25">
      <c r="A49" s="214">
        <v>485</v>
      </c>
      <c r="C49" s="215">
        <f t="shared" si="12"/>
        <v>1.0474226804123712</v>
      </c>
      <c r="D49" s="216">
        <f t="shared" si="4"/>
        <v>8.9951768219844221E-6</v>
      </c>
      <c r="E49" s="216">
        <f t="shared" si="5"/>
        <v>2.984210236472665E-2</v>
      </c>
      <c r="F49" s="217">
        <f t="shared" si="6"/>
        <v>0.43041644515740357</v>
      </c>
      <c r="G49" s="216">
        <f t="shared" si="13"/>
        <v>1.1342675426989524</v>
      </c>
      <c r="H49" s="216">
        <f t="shared" si="7"/>
        <v>0.88162621458825563</v>
      </c>
      <c r="I49" s="217">
        <f t="shared" si="8"/>
        <v>1.1837718113661404E-3</v>
      </c>
      <c r="J49" s="217">
        <f t="shared" si="9"/>
        <v>0.88280998639962172</v>
      </c>
      <c r="K49" s="195">
        <f t="shared" si="2"/>
        <v>0.88292057958107029</v>
      </c>
      <c r="M49" s="218">
        <f t="shared" si="10"/>
        <v>0.88292057958107029</v>
      </c>
      <c r="N49" s="218">
        <f>Calculations!F59</f>
        <v>0.89874557835213809</v>
      </c>
      <c r="O49" s="219">
        <f>Spectra!$C$10*$A49</f>
        <v>2441546748974.2002</v>
      </c>
      <c r="P49" s="219">
        <f t="shared" si="11"/>
        <v>1937418537062.0217</v>
      </c>
      <c r="Q49" s="218">
        <f t="shared" si="14"/>
        <v>3.5403009080075855E-2</v>
      </c>
    </row>
    <row r="50" spans="1:17" x14ac:dyDescent="0.25">
      <c r="A50" s="214">
        <v>490</v>
      </c>
      <c r="C50" s="215">
        <f t="shared" si="12"/>
        <v>1.036734693877551</v>
      </c>
      <c r="D50" s="216">
        <f t="shared" si="4"/>
        <v>1.8946916232546018E-5</v>
      </c>
      <c r="E50" s="216">
        <f t="shared" si="5"/>
        <v>4.0252972433232642E-2</v>
      </c>
      <c r="F50" s="217">
        <f t="shared" si="6"/>
        <v>0.36705151929681828</v>
      </c>
      <c r="G50" s="216">
        <f t="shared" si="13"/>
        <v>1.0813234386462836</v>
      </c>
      <c r="H50" s="216">
        <f t="shared" si="7"/>
        <v>0.92479267928558639</v>
      </c>
      <c r="I50" s="217">
        <f t="shared" si="8"/>
        <v>7.9048270018864395E-4</v>
      </c>
      <c r="J50" s="217">
        <f t="shared" si="9"/>
        <v>0.92558316198577506</v>
      </c>
      <c r="K50" s="195">
        <f t="shared" si="2"/>
        <v>0.92569911353611567</v>
      </c>
      <c r="M50" s="218">
        <f t="shared" si="10"/>
        <v>0.92569911353611567</v>
      </c>
      <c r="N50" s="218">
        <f>Calculations!F60</f>
        <v>0.90200000000000002</v>
      </c>
      <c r="O50" s="219">
        <f>Spectra!$C$10*$A50</f>
        <v>2466717334015.1714</v>
      </c>
      <c r="P50" s="219">
        <f t="shared" si="11"/>
        <v>2059661120596.6973</v>
      </c>
      <c r="Q50" s="218">
        <f t="shared" si="14"/>
        <v>3.7636783152152624E-2</v>
      </c>
    </row>
    <row r="51" spans="1:17" x14ac:dyDescent="0.25">
      <c r="A51" s="214">
        <v>495</v>
      </c>
      <c r="C51" s="215">
        <f t="shared" si="12"/>
        <v>1.0262626262626262</v>
      </c>
      <c r="D51" s="216">
        <f t="shared" si="4"/>
        <v>3.9312569378525847E-5</v>
      </c>
      <c r="E51" s="216">
        <f t="shared" si="5"/>
        <v>5.3968564794768206E-2</v>
      </c>
      <c r="F51" s="217">
        <f t="shared" si="6"/>
        <v>0.3140236841506921</v>
      </c>
      <c r="G51" s="216">
        <f t="shared" si="13"/>
        <v>1.0420315615148388</v>
      </c>
      <c r="H51" s="216">
        <f t="shared" si="7"/>
        <v>0.95966383066772376</v>
      </c>
      <c r="I51" s="217">
        <f t="shared" si="8"/>
        <v>5.2021704892694584E-4</v>
      </c>
      <c r="J51" s="217">
        <f t="shared" si="9"/>
        <v>0.96018404771665067</v>
      </c>
      <c r="K51" s="195">
        <f t="shared" si="2"/>
        <v>0.96030433386004399</v>
      </c>
      <c r="M51" s="218">
        <f t="shared" si="10"/>
        <v>0.96030433386004399</v>
      </c>
      <c r="N51" s="218">
        <f>Calculations!F61</f>
        <v>0.90727012373681504</v>
      </c>
      <c r="O51" s="219">
        <f>Spectra!$C$10*$A51</f>
        <v>2491887919056.1426</v>
      </c>
      <c r="P51" s="219">
        <f t="shared" si="11"/>
        <v>2171070884929.9172</v>
      </c>
      <c r="Q51" s="218">
        <f t="shared" si="14"/>
        <v>3.9672605986943554E-2</v>
      </c>
    </row>
    <row r="52" spans="1:17" x14ac:dyDescent="0.25">
      <c r="A52" s="214">
        <v>500</v>
      </c>
      <c r="C52" s="215">
        <f t="shared" si="12"/>
        <v>1.016</v>
      </c>
      <c r="D52" s="216">
        <f t="shared" si="4"/>
        <v>8.0386749047497299E-5</v>
      </c>
      <c r="E52" s="216">
        <f t="shared" si="5"/>
        <v>7.1934449375156514E-2</v>
      </c>
      <c r="F52" s="217">
        <f t="shared" si="6"/>
        <v>0.2694964665097806</v>
      </c>
      <c r="G52" s="216">
        <f t="shared" si="13"/>
        <v>1.0155113026339846</v>
      </c>
      <c r="H52" s="216">
        <f t="shared" si="7"/>
        <v>0.98472562285249599</v>
      </c>
      <c r="I52" s="217">
        <f t="shared" si="8"/>
        <v>3.3739965024613049E-4</v>
      </c>
      <c r="J52" s="217">
        <f t="shared" si="9"/>
        <v>0.98506302250274214</v>
      </c>
      <c r="K52" s="195">
        <f t="shared" si="2"/>
        <v>0.98518642533604062</v>
      </c>
      <c r="M52" s="218">
        <f t="shared" si="10"/>
        <v>0.98518642533604062</v>
      </c>
      <c r="N52" s="218">
        <f>Calculations!F62</f>
        <v>0.91299999999999992</v>
      </c>
      <c r="O52" s="219">
        <f>Spectra!$C$10*$A52</f>
        <v>2517058504097.1138</v>
      </c>
      <c r="P52" s="219">
        <f t="shared" si="11"/>
        <v>2264031717321.9761</v>
      </c>
      <c r="Q52" s="218">
        <f t="shared" si="14"/>
        <v>4.1371306154362318E-2</v>
      </c>
    </row>
    <row r="53" spans="1:17" x14ac:dyDescent="0.25">
      <c r="A53" s="214">
        <v>505</v>
      </c>
      <c r="C53" s="215">
        <f t="shared" si="12"/>
        <v>1.0059405940594059</v>
      </c>
      <c r="D53" s="216">
        <f t="shared" si="4"/>
        <v>1.6206377714184396E-4</v>
      </c>
      <c r="E53" s="216">
        <f t="shared" si="5"/>
        <v>9.5337063148217355E-2</v>
      </c>
      <c r="F53" s="217">
        <f t="shared" si="6"/>
        <v>0.23198440056629421</v>
      </c>
      <c r="G53" s="216">
        <f t="shared" si="13"/>
        <v>1.0014835274916534</v>
      </c>
      <c r="H53" s="216">
        <f t="shared" si="7"/>
        <v>0.99851867010197459</v>
      </c>
      <c r="I53" s="217">
        <f t="shared" si="8"/>
        <v>2.1566144492480045E-4</v>
      </c>
      <c r="J53" s="217">
        <f t="shared" si="9"/>
        <v>0.99873433154689939</v>
      </c>
      <c r="K53" s="195">
        <f t="shared" si="2"/>
        <v>0.99885944704043628</v>
      </c>
      <c r="M53" s="218">
        <f t="shared" si="10"/>
        <v>0.99885944704043628</v>
      </c>
      <c r="N53" s="218">
        <f>Calculations!F63</f>
        <v>0.91742392670060402</v>
      </c>
      <c r="O53" s="219">
        <f>Spectra!$C$10*$A53</f>
        <v>2542229089138.085</v>
      </c>
      <c r="P53" s="219">
        <f t="shared" si="11"/>
        <v>2329641679816.356</v>
      </c>
      <c r="Q53" s="218">
        <f t="shared" si="14"/>
        <v>4.2570215968374077E-2</v>
      </c>
    </row>
    <row r="54" spans="1:17" x14ac:dyDescent="0.25">
      <c r="A54" s="214">
        <v>510</v>
      </c>
      <c r="C54" s="215">
        <f t="shared" si="12"/>
        <v>0.99607843137254903</v>
      </c>
      <c r="D54" s="216">
        <f t="shared" si="4"/>
        <v>3.2226773753861134E-4</v>
      </c>
      <c r="E54" s="216">
        <f t="shared" si="5"/>
        <v>0.12565740559713834</v>
      </c>
      <c r="F54" s="217">
        <f t="shared" si="6"/>
        <v>0.20028150590524788</v>
      </c>
      <c r="G54" s="216">
        <f t="shared" si="13"/>
        <v>1.0002611792399247</v>
      </c>
      <c r="H54" s="216">
        <f t="shared" si="7"/>
        <v>0.99973888895685903</v>
      </c>
      <c r="I54" s="217">
        <f t="shared" si="8"/>
        <v>1.3585268581391743E-4</v>
      </c>
      <c r="J54" s="217">
        <f t="shared" si="9"/>
        <v>0.99987474164267298</v>
      </c>
      <c r="K54" s="195">
        <f t="shared" si="2"/>
        <v>1</v>
      </c>
      <c r="M54" s="218">
        <f t="shared" si="10"/>
        <v>1</v>
      </c>
      <c r="N54" s="218">
        <f>Calculations!F64</f>
        <v>0.92099999999999993</v>
      </c>
      <c r="O54" s="219">
        <f>Spectra!$C$10*$A54</f>
        <v>2567399674179.0557</v>
      </c>
      <c r="P54" s="219">
        <f t="shared" si="11"/>
        <v>2364575099918.9102</v>
      </c>
      <c r="Q54" s="218">
        <f t="shared" si="14"/>
        <v>4.3208564453964746E-2</v>
      </c>
    </row>
    <row r="55" spans="1:17" x14ac:dyDescent="0.25">
      <c r="A55" s="214">
        <v>515</v>
      </c>
      <c r="C55" s="215">
        <f t="shared" si="12"/>
        <v>0.98640776699029131</v>
      </c>
      <c r="D55" s="216">
        <f t="shared" si="4"/>
        <v>6.3234048460185832E-4</v>
      </c>
      <c r="E55" s="216">
        <f t="shared" si="5"/>
        <v>0.16473494745899414</v>
      </c>
      <c r="F55" s="217">
        <f t="shared" si="6"/>
        <v>0.1734051921576989</v>
      </c>
      <c r="G55" s="216">
        <f t="shared" si="13"/>
        <v>1.0127724801012949</v>
      </c>
      <c r="H55" s="216">
        <f t="shared" si="7"/>
        <v>0.9873885987699651</v>
      </c>
      <c r="I55" s="217">
        <f t="shared" si="8"/>
        <v>8.433964772837012E-5</v>
      </c>
      <c r="J55" s="217">
        <f t="shared" si="9"/>
        <v>0.98747293841769346</v>
      </c>
      <c r="K55" s="195">
        <f t="shared" si="2"/>
        <v>0.98759664315091622</v>
      </c>
      <c r="M55" s="218">
        <f t="shared" si="10"/>
        <v>0.98759664315091622</v>
      </c>
      <c r="N55" s="218">
        <f>Calculations!F65</f>
        <v>0.92453416946076994</v>
      </c>
      <c r="O55" s="219">
        <f>Spectra!$C$10*$A55</f>
        <v>2592570259220.0269</v>
      </c>
      <c r="P55" s="219">
        <f t="shared" si="11"/>
        <v>2367189939865.604</v>
      </c>
      <c r="Q55" s="218">
        <f t="shared" si="14"/>
        <v>4.3256346180321162E-2</v>
      </c>
    </row>
    <row r="56" spans="1:17" x14ac:dyDescent="0.25">
      <c r="A56" s="214">
        <v>520</v>
      </c>
      <c r="C56" s="215">
        <f t="shared" si="12"/>
        <v>0.97692307692307689</v>
      </c>
      <c r="D56" s="216">
        <f t="shared" si="4"/>
        <v>1.2247731084367309E-3</v>
      </c>
      <c r="E56" s="216">
        <f t="shared" si="5"/>
        <v>0.21484334295761873</v>
      </c>
      <c r="F56" s="217">
        <f t="shared" si="6"/>
        <v>0.15055208817433197</v>
      </c>
      <c r="G56" s="216">
        <f t="shared" si="13"/>
        <v>1.0406202042403874</v>
      </c>
      <c r="H56" s="216">
        <f t="shared" si="7"/>
        <v>0.96096538960625066</v>
      </c>
      <c r="I56" s="217">
        <f t="shared" si="8"/>
        <v>5.1601600508822948E-5</v>
      </c>
      <c r="J56" s="217">
        <f t="shared" si="9"/>
        <v>0.96101699120675954</v>
      </c>
      <c r="K56" s="195">
        <f t="shared" si="2"/>
        <v>0.96113738169635643</v>
      </c>
      <c r="M56" s="218">
        <f t="shared" si="10"/>
        <v>0.96113738169635643</v>
      </c>
      <c r="N56" s="218">
        <f>Calculations!F66</f>
        <v>0.92799999999999994</v>
      </c>
      <c r="O56" s="219">
        <f>Spectra!$C$10*$A56</f>
        <v>2617740844260.998</v>
      </c>
      <c r="P56" s="219">
        <f t="shared" si="11"/>
        <v>2334855963179.7158</v>
      </c>
      <c r="Q56" s="218">
        <f t="shared" si="14"/>
        <v>4.2665498075842224E-2</v>
      </c>
    </row>
    <row r="57" spans="1:17" x14ac:dyDescent="0.25">
      <c r="A57" s="214">
        <v>525</v>
      </c>
      <c r="C57" s="215">
        <f t="shared" si="12"/>
        <v>0.9676190476190476</v>
      </c>
      <c r="D57" s="216">
        <f t="shared" si="4"/>
        <v>2.34256492703416E-3</v>
      </c>
      <c r="E57" s="216">
        <f t="shared" si="5"/>
        <v>0.27877972271079271</v>
      </c>
      <c r="F57" s="217">
        <f t="shared" si="6"/>
        <v>0.13106312645977602</v>
      </c>
      <c r="G57" s="216">
        <f t="shared" si="13"/>
        <v>1.0861854140976028</v>
      </c>
      <c r="H57" s="216">
        <f t="shared" si="7"/>
        <v>0.9206531288498242</v>
      </c>
      <c r="I57" s="217">
        <f t="shared" si="8"/>
        <v>3.1114469258340207E-5</v>
      </c>
      <c r="J57" s="217">
        <f t="shared" si="9"/>
        <v>0.9206842433190825</v>
      </c>
      <c r="K57" s="195">
        <f t="shared" si="2"/>
        <v>0.9207995811620463</v>
      </c>
      <c r="M57" s="218">
        <f t="shared" si="10"/>
        <v>0.9207995811620463</v>
      </c>
      <c r="N57" s="218">
        <f>Calculations!F67</f>
        <v>0.93118939545631607</v>
      </c>
      <c r="O57" s="219">
        <f>Spectra!$C$10*$A57</f>
        <v>2642911429301.9692</v>
      </c>
      <c r="P57" s="219">
        <f t="shared" si="11"/>
        <v>2266134818503.8579</v>
      </c>
      <c r="Q57" s="218">
        <f t="shared" si="14"/>
        <v>4.1409736730313854E-2</v>
      </c>
    </row>
    <row r="58" spans="1:17" x14ac:dyDescent="0.25">
      <c r="A58" s="214">
        <v>530</v>
      </c>
      <c r="C58" s="215">
        <f t="shared" si="12"/>
        <v>0.95849056603773586</v>
      </c>
      <c r="D58" s="216">
        <f t="shared" si="4"/>
        <v>4.4260237956498024E-3</v>
      </c>
      <c r="E58" s="216">
        <f t="shared" si="5"/>
        <v>0.35996954473943515</v>
      </c>
      <c r="F58" s="217">
        <f t="shared" si="6"/>
        <v>0.11439583980509686</v>
      </c>
      <c r="G58" s="216">
        <f t="shared" si="13"/>
        <v>1.1527914083401818</v>
      </c>
      <c r="H58" s="216">
        <f t="shared" si="7"/>
        <v>0.86745962258673082</v>
      </c>
      <c r="I58" s="217">
        <f t="shared" si="8"/>
        <v>1.8489682688667613E-5</v>
      </c>
      <c r="J58" s="217">
        <f t="shared" si="9"/>
        <v>0.86747811226941951</v>
      </c>
      <c r="K58" s="195">
        <f t="shared" si="2"/>
        <v>0.8675867847649178</v>
      </c>
      <c r="M58" s="218">
        <f t="shared" si="10"/>
        <v>0.8675867847649178</v>
      </c>
      <c r="N58" s="218">
        <f>Calculations!F68</f>
        <v>0.93400000000000005</v>
      </c>
      <c r="O58" s="219">
        <f>Spectra!$C$10*$A58</f>
        <v>2668082014342.9404</v>
      </c>
      <c r="P58" s="219">
        <f t="shared" si="11"/>
        <v>2162016378356.2458</v>
      </c>
      <c r="Q58" s="218">
        <f t="shared" si="14"/>
        <v>3.9507150370456372E-2</v>
      </c>
    </row>
    <row r="59" spans="1:17" x14ac:dyDescent="0.25">
      <c r="A59" s="214">
        <v>535</v>
      </c>
      <c r="C59" s="215">
        <f t="shared" si="12"/>
        <v>0.94953271028037378</v>
      </c>
      <c r="D59" s="216">
        <f t="shared" si="4"/>
        <v>8.2636317017110873E-3</v>
      </c>
      <c r="E59" s="216">
        <f t="shared" si="5"/>
        <v>0.46258919440746527</v>
      </c>
      <c r="F59" s="217">
        <f t="shared" si="6"/>
        <v>0.10010229990785793</v>
      </c>
      <c r="G59" s="216">
        <f t="shared" si="13"/>
        <v>1.2449551260170342</v>
      </c>
      <c r="H59" s="216">
        <f t="shared" si="7"/>
        <v>0.80324180293894176</v>
      </c>
      <c r="I59" s="217">
        <f t="shared" si="8"/>
        <v>1.0828401602139475E-5</v>
      </c>
      <c r="J59" s="217">
        <f t="shared" si="9"/>
        <v>0.80325263134054392</v>
      </c>
      <c r="K59" s="195">
        <f t="shared" si="2"/>
        <v>0.80335325805000057</v>
      </c>
      <c r="M59" s="218">
        <f t="shared" si="10"/>
        <v>0.80335325805000057</v>
      </c>
      <c r="N59" s="218">
        <f>Calculations!F69</f>
        <v>0.93645824871396799</v>
      </c>
      <c r="O59" s="219">
        <f>Spectra!$C$10*$A59</f>
        <v>2693252599383.9116</v>
      </c>
      <c r="P59" s="219">
        <f t="shared" si="11"/>
        <v>2026152204591.3545</v>
      </c>
      <c r="Q59" s="218">
        <f t="shared" si="14"/>
        <v>3.7024465041787261E-2</v>
      </c>
    </row>
    <row r="60" spans="1:17" x14ac:dyDescent="0.25">
      <c r="A60" s="214">
        <v>540</v>
      </c>
      <c r="C60" s="215">
        <f t="shared" si="12"/>
        <v>0.94074074074074077</v>
      </c>
      <c r="D60" s="216">
        <f t="shared" si="4"/>
        <v>1.5251295360953555E-2</v>
      </c>
      <c r="E60" s="216">
        <f t="shared" si="5"/>
        <v>0.59170875045491456</v>
      </c>
      <c r="F60" s="217">
        <f t="shared" si="6"/>
        <v>8.7811486341476036E-2</v>
      </c>
      <c r="G60" s="216">
        <f t="shared" si="13"/>
        <v>1.3687715321573442</v>
      </c>
      <c r="H60" s="216">
        <f t="shared" si="7"/>
        <v>0.73058211433129605</v>
      </c>
      <c r="I60" s="217">
        <f t="shared" si="8"/>
        <v>6.2498139124113179E-6</v>
      </c>
      <c r="J60" s="217">
        <f t="shared" si="9"/>
        <v>0.73058836414520845</v>
      </c>
      <c r="K60" s="195">
        <f t="shared" si="2"/>
        <v>0.73067988790769967</v>
      </c>
      <c r="M60" s="218">
        <f t="shared" si="10"/>
        <v>0.73067988790769967</v>
      </c>
      <c r="N60" s="218">
        <f>Calculations!F70</f>
        <v>0.93900000000000006</v>
      </c>
      <c r="O60" s="219">
        <f>Spectra!$C$10*$A60</f>
        <v>2718423184424.8828</v>
      </c>
      <c r="P60" s="219">
        <f t="shared" si="11"/>
        <v>1865133021672.7083</v>
      </c>
      <c r="Q60" s="218">
        <f t="shared" si="14"/>
        <v>3.4082114957958813E-2</v>
      </c>
    </row>
    <row r="61" spans="1:17" x14ac:dyDescent="0.25">
      <c r="A61" s="214">
        <v>545</v>
      </c>
      <c r="C61" s="215">
        <f t="shared" si="12"/>
        <v>0.93211009174311932</v>
      </c>
      <c r="D61" s="216">
        <f t="shared" si="4"/>
        <v>2.7832952940367531E-2</v>
      </c>
      <c r="E61" s="216">
        <f t="shared" si="5"/>
        <v>0.7534575731980574</v>
      </c>
      <c r="F61" s="217">
        <f t="shared" si="6"/>
        <v>7.7215147270738541E-2</v>
      </c>
      <c r="G61" s="216">
        <f t="shared" si="13"/>
        <v>1.5325056734091635</v>
      </c>
      <c r="H61" s="216">
        <f t="shared" si="7"/>
        <v>0.65252613243214408</v>
      </c>
      <c r="I61" s="217">
        <f t="shared" si="8"/>
        <v>3.5549840301156168E-6</v>
      </c>
      <c r="J61" s="217">
        <f t="shared" si="9"/>
        <v>0.65252968741617423</v>
      </c>
      <c r="K61" s="195">
        <f t="shared" si="2"/>
        <v>0.65261143245217601</v>
      </c>
      <c r="M61" s="218">
        <f t="shared" si="10"/>
        <v>0.65261143245217601</v>
      </c>
      <c r="N61" s="218">
        <f>Calculations!F71</f>
        <v>0.94197760968781497</v>
      </c>
      <c r="O61" s="219">
        <f>Spectra!$C$10*$A61</f>
        <v>2743593769465.854</v>
      </c>
      <c r="P61" s="219">
        <f t="shared" si="11"/>
        <v>1686611531811.6697</v>
      </c>
      <c r="Q61" s="218">
        <f t="shared" si="14"/>
        <v>3.08199401590518E-2</v>
      </c>
    </row>
    <row r="62" spans="1:17" x14ac:dyDescent="0.25">
      <c r="A62" s="214">
        <v>550</v>
      </c>
      <c r="C62" s="215">
        <f t="shared" si="12"/>
        <v>0.92363636363636359</v>
      </c>
      <c r="D62" s="216">
        <f t="shared" si="4"/>
        <v>5.0241406898612714E-2</v>
      </c>
      <c r="E62" s="216">
        <f t="shared" si="5"/>
        <v>0.95521562197061693</v>
      </c>
      <c r="F62" s="217">
        <f t="shared" si="6"/>
        <v>6.8056422049937268E-2</v>
      </c>
      <c r="G62" s="216">
        <f t="shared" si="13"/>
        <v>1.747513450919167</v>
      </c>
      <c r="H62" s="216">
        <f t="shared" si="7"/>
        <v>0.57224166112942609</v>
      </c>
      <c r="I62" s="217">
        <f t="shared" si="8"/>
        <v>1.9928566371603528E-6</v>
      </c>
      <c r="J62" s="217">
        <f t="shared" si="9"/>
        <v>0.57224365398606325</v>
      </c>
      <c r="K62" s="195">
        <f t="shared" si="2"/>
        <v>0.57231534126558326</v>
      </c>
      <c r="M62" s="218">
        <f t="shared" si="10"/>
        <v>0.57231534126558326</v>
      </c>
      <c r="N62" s="218">
        <f>Calculations!F72</f>
        <v>0.94499999999999995</v>
      </c>
      <c r="O62" s="219">
        <f>Spectra!$C$10*$A62</f>
        <v>2768764354506.8252</v>
      </c>
      <c r="P62" s="219">
        <f t="shared" si="11"/>
        <v>1497452969029.7104</v>
      </c>
      <c r="Q62" s="218">
        <f t="shared" si="14"/>
        <v>2.7363391051237921E-2</v>
      </c>
    </row>
    <row r="63" spans="1:17" x14ac:dyDescent="0.25">
      <c r="A63" s="214">
        <v>555</v>
      </c>
      <c r="C63" s="215">
        <f t="shared" si="12"/>
        <v>0.91531531531531529</v>
      </c>
      <c r="D63" s="216">
        <f t="shared" si="4"/>
        <v>8.9731025798338721E-2</v>
      </c>
      <c r="E63" s="216">
        <f t="shared" si="5"/>
        <v>1.2058336713474931</v>
      </c>
      <c r="F63" s="217">
        <f t="shared" si="6"/>
        <v>6.0120656050788548E-2</v>
      </c>
      <c r="G63" s="216">
        <f t="shared" si="13"/>
        <v>2.0296853531966206</v>
      </c>
      <c r="H63" s="216">
        <f t="shared" si="7"/>
        <v>0.49268720317908682</v>
      </c>
      <c r="I63" s="217">
        <f t="shared" si="8"/>
        <v>1.1009872668795485E-6</v>
      </c>
      <c r="J63" s="217">
        <f t="shared" si="9"/>
        <v>0.49268830416635367</v>
      </c>
      <c r="K63" s="195">
        <f t="shared" si="2"/>
        <v>0.49275002522508621</v>
      </c>
      <c r="M63" s="218">
        <f t="shared" si="10"/>
        <v>0.49275002522508621</v>
      </c>
      <c r="N63" s="218">
        <f>Calculations!F73</f>
        <v>0.94763131253477395</v>
      </c>
      <c r="O63" s="219">
        <f>Spectra!$C$10*$A63</f>
        <v>2793934939547.7959</v>
      </c>
      <c r="P63" s="219">
        <f t="shared" si="11"/>
        <v>1304614937040.8916</v>
      </c>
      <c r="Q63" s="218">
        <f t="shared" si="14"/>
        <v>2.3839605938787766E-2</v>
      </c>
    </row>
    <row r="64" spans="1:17" x14ac:dyDescent="0.25">
      <c r="A64" s="214">
        <v>560</v>
      </c>
      <c r="C64" s="215">
        <f t="shared" si="12"/>
        <v>0.90714285714285714</v>
      </c>
      <c r="D64" s="216">
        <f t="shared" si="4"/>
        <v>0.15860818694024104</v>
      </c>
      <c r="E64" s="216">
        <f t="shared" si="5"/>
        <v>1.5158858688705708</v>
      </c>
      <c r="F64" s="217">
        <f t="shared" si="6"/>
        <v>5.3227961501756363E-2</v>
      </c>
      <c r="G64" s="216">
        <f t="shared" si="13"/>
        <v>2.4017220173125682</v>
      </c>
      <c r="H64" s="216">
        <f t="shared" si="7"/>
        <v>0.41636791968079651</v>
      </c>
      <c r="I64" s="217">
        <f t="shared" si="8"/>
        <v>5.9945470170830297E-7</v>
      </c>
      <c r="J64" s="217">
        <f t="shared" si="9"/>
        <v>0.41636851913549822</v>
      </c>
      <c r="K64" s="195">
        <f t="shared" si="2"/>
        <v>0.41642067930574506</v>
      </c>
      <c r="M64" s="218">
        <f t="shared" si="10"/>
        <v>0.41642067930574506</v>
      </c>
      <c r="N64" s="218">
        <f>Calculations!F74</f>
        <v>0.95</v>
      </c>
      <c r="O64" s="219">
        <f>Spectra!$C$10*$A64</f>
        <v>2819105524588.7671</v>
      </c>
      <c r="P64" s="219">
        <f t="shared" si="11"/>
        <v>1115237145704.6414</v>
      </c>
      <c r="Q64" s="218">
        <f t="shared" si="14"/>
        <v>2.03790508042173E-2</v>
      </c>
    </row>
    <row r="65" spans="1:17" x14ac:dyDescent="0.25">
      <c r="A65" s="214">
        <v>565</v>
      </c>
      <c r="C65" s="215">
        <f t="shared" si="12"/>
        <v>0.89911504424778765</v>
      </c>
      <c r="D65" s="216">
        <f t="shared" si="4"/>
        <v>0.27754289191634451</v>
      </c>
      <c r="E65" s="216">
        <f t="shared" si="5"/>
        <v>1.8979583599960264</v>
      </c>
      <c r="F65" s="217">
        <f t="shared" si="6"/>
        <v>4.7227173575288495E-2</v>
      </c>
      <c r="G65" s="216">
        <f t="shared" si="13"/>
        <v>2.8967284254876593</v>
      </c>
      <c r="H65" s="216">
        <f t="shared" si="7"/>
        <v>0.34521703560514194</v>
      </c>
      <c r="I65" s="217">
        <f t="shared" si="8"/>
        <v>3.2166090612881056E-7</v>
      </c>
      <c r="J65" s="217">
        <f t="shared" si="9"/>
        <v>0.34521735726604807</v>
      </c>
      <c r="K65" s="195">
        <f t="shared" si="2"/>
        <v>0.34526060404216014</v>
      </c>
      <c r="M65" s="218">
        <f t="shared" si="10"/>
        <v>0.34526060404216014</v>
      </c>
      <c r="N65" s="218">
        <f>Calculations!F75</f>
        <v>0.95237214017309002</v>
      </c>
      <c r="O65" s="219">
        <f>Spectra!$C$10*$A65</f>
        <v>2844276109629.7383</v>
      </c>
      <c r="P65" s="219">
        <f t="shared" si="11"/>
        <v>935245144050.82312</v>
      </c>
      <c r="Q65" s="218">
        <f t="shared" si="14"/>
        <v>1.7090004918161983E-2</v>
      </c>
    </row>
    <row r="66" spans="1:17" x14ac:dyDescent="0.25">
      <c r="A66" s="214">
        <v>570</v>
      </c>
      <c r="C66" s="215">
        <f t="shared" si="12"/>
        <v>0.89122807017543859</v>
      </c>
      <c r="D66" s="216">
        <f t="shared" si="4"/>
        <v>0.48091838576722262</v>
      </c>
      <c r="E66" s="216">
        <f t="shared" si="5"/>
        <v>2.3669779977860133</v>
      </c>
      <c r="F66" s="217">
        <f t="shared" si="6"/>
        <v>4.1990925045693184E-2</v>
      </c>
      <c r="G66" s="216">
        <f t="shared" si="13"/>
        <v>3.5638873085989289</v>
      </c>
      <c r="H66" s="216">
        <f t="shared" si="7"/>
        <v>0.28059248607193754</v>
      </c>
      <c r="I66" s="217">
        <f t="shared" si="8"/>
        <v>1.7010145436668829E-7</v>
      </c>
      <c r="J66" s="217">
        <f t="shared" si="9"/>
        <v>0.28059265617339191</v>
      </c>
      <c r="K66" s="195">
        <f t="shared" si="2"/>
        <v>0.28062780715153601</v>
      </c>
      <c r="M66" s="218">
        <f t="shared" si="10"/>
        <v>0.28062780715153601</v>
      </c>
      <c r="N66" s="218">
        <f>Calculations!F76</f>
        <v>0.95499999999999996</v>
      </c>
      <c r="O66" s="219">
        <f>Spectra!$C$10*$A66</f>
        <v>2869446694670.7095</v>
      </c>
      <c r="P66" s="219">
        <f t="shared" si="11"/>
        <v>769010439648.79944</v>
      </c>
      <c r="Q66" s="218">
        <f t="shared" si="14"/>
        <v>1.4052350102340341E-2</v>
      </c>
    </row>
    <row r="67" spans="1:17" x14ac:dyDescent="0.25">
      <c r="A67" s="214">
        <v>575</v>
      </c>
      <c r="C67" s="215">
        <f t="shared" si="12"/>
        <v>0.88347826086956527</v>
      </c>
      <c r="D67" s="216">
        <f t="shared" si="4"/>
        <v>0.82539271245209322</v>
      </c>
      <c r="E67" s="216">
        <f t="shared" si="5"/>
        <v>2.9405854543308863</v>
      </c>
      <c r="F67" s="217">
        <f t="shared" si="6"/>
        <v>3.7411620545714355E-2</v>
      </c>
      <c r="G67" s="216">
        <f t="shared" si="13"/>
        <v>4.4773897873286943</v>
      </c>
      <c r="H67" s="216">
        <f t="shared" si="7"/>
        <v>0.22334441437957117</v>
      </c>
      <c r="I67" s="217">
        <f t="shared" si="8"/>
        <v>8.8651402007897967E-8</v>
      </c>
      <c r="J67" s="217">
        <f t="shared" si="9"/>
        <v>0.22334450303097317</v>
      </c>
      <c r="K67" s="195">
        <f t="shared" si="2"/>
        <v>0.22337248230117826</v>
      </c>
      <c r="M67" s="218">
        <f t="shared" si="10"/>
        <v>0.22337248230117826</v>
      </c>
      <c r="N67" s="218">
        <f>Calculations!F77</f>
        <v>0.95800512677286409</v>
      </c>
      <c r="O67" s="219">
        <f>Spectra!$C$10*$A67</f>
        <v>2894617279711.6807</v>
      </c>
      <c r="P67" s="219">
        <f t="shared" si="11"/>
        <v>619424892361.43762</v>
      </c>
      <c r="Q67" s="218">
        <f t="shared" si="14"/>
        <v>1.1318930148129871E-2</v>
      </c>
    </row>
    <row r="68" spans="1:17" x14ac:dyDescent="0.25">
      <c r="A68" s="214">
        <v>580</v>
      </c>
      <c r="C68" s="215">
        <f t="shared" si="12"/>
        <v>0.87586206896551722</v>
      </c>
      <c r="D68" s="216">
        <f t="shared" si="4"/>
        <v>1.4034767976408007</v>
      </c>
      <c r="E68" s="216">
        <f t="shared" si="5"/>
        <v>3.6395573567494686</v>
      </c>
      <c r="F68" s="217">
        <f t="shared" si="6"/>
        <v>3.3398136551946504E-2</v>
      </c>
      <c r="G68" s="216">
        <f t="shared" si="13"/>
        <v>5.7504322909422161</v>
      </c>
      <c r="H68" s="216">
        <f t="shared" si="7"/>
        <v>0.17389996949884071</v>
      </c>
      <c r="I68" s="217">
        <f t="shared" si="8"/>
        <v>4.5533499065559899E-8</v>
      </c>
      <c r="J68" s="217">
        <f t="shared" si="9"/>
        <v>0.17390001503233976</v>
      </c>
      <c r="K68" s="195">
        <f t="shared" si="2"/>
        <v>0.17392180019133507</v>
      </c>
      <c r="M68" s="218">
        <f t="shared" si="10"/>
        <v>0.17392180019133507</v>
      </c>
      <c r="N68" s="218">
        <f>Calculations!F78</f>
        <v>0.96099999999999997</v>
      </c>
      <c r="O68" s="219">
        <f>Spectra!$C$10*$A68</f>
        <v>2919787864752.6519</v>
      </c>
      <c r="P68" s="219">
        <f t="shared" si="11"/>
        <v>488009985911.62634</v>
      </c>
      <c r="Q68" s="218">
        <f t="shared" si="14"/>
        <v>8.9175475674949205E-3</v>
      </c>
    </row>
    <row r="69" spans="1:17" x14ac:dyDescent="0.25">
      <c r="A69" s="214">
        <v>585</v>
      </c>
      <c r="C69" s="215">
        <f t="shared" si="12"/>
        <v>0.8683760683760684</v>
      </c>
      <c r="D69" s="216">
        <f t="shared" si="4"/>
        <v>2.3648789246529218</v>
      </c>
      <c r="E69" s="216">
        <f t="shared" si="5"/>
        <v>4.4882823814998529</v>
      </c>
      <c r="F69" s="217">
        <f t="shared" si="6"/>
        <v>2.9873108599949894E-2</v>
      </c>
      <c r="G69" s="216">
        <f t="shared" si="13"/>
        <v>7.5570344147527244</v>
      </c>
      <c r="H69" s="216">
        <f t="shared" si="7"/>
        <v>0.13232704062427128</v>
      </c>
      <c r="I69" s="217">
        <f t="shared" si="8"/>
        <v>2.3048585518285124E-8</v>
      </c>
      <c r="J69" s="217">
        <f t="shared" si="9"/>
        <v>0.13232706367285679</v>
      </c>
      <c r="K69" s="195">
        <f t="shared" si="2"/>
        <v>0.13234364081990857</v>
      </c>
      <c r="M69" s="218">
        <f t="shared" si="10"/>
        <v>0.13234364081990857</v>
      </c>
      <c r="N69" s="218">
        <f>Calculations!F79</f>
        <v>0.96360735273545206</v>
      </c>
      <c r="O69" s="219">
        <f>Spectra!$C$10*$A69</f>
        <v>2944958449793.623</v>
      </c>
      <c r="P69" s="219">
        <f t="shared" si="11"/>
        <v>375562615563.67212</v>
      </c>
      <c r="Q69" s="218">
        <f t="shared" si="14"/>
        <v>6.8627642580009456E-3</v>
      </c>
    </row>
    <row r="70" spans="1:17" x14ac:dyDescent="0.25">
      <c r="A70" s="214">
        <v>590</v>
      </c>
      <c r="C70" s="215">
        <f t="shared" si="12"/>
        <v>0.86101694915254234</v>
      </c>
      <c r="D70" s="216">
        <f t="shared" si="4"/>
        <v>3.9497703416299283</v>
      </c>
      <c r="E70" s="216">
        <f t="shared" si="5"/>
        <v>5.5152965551667394</v>
      </c>
      <c r="F70" s="217">
        <f t="shared" si="6"/>
        <v>2.6770695060558333E-2</v>
      </c>
      <c r="G70" s="216">
        <f t="shared" si="13"/>
        <v>10.165837591857224</v>
      </c>
      <c r="H70" s="216">
        <f t="shared" si="7"/>
        <v>9.836867754025444E-2</v>
      </c>
      <c r="I70" s="217">
        <f t="shared" si="8"/>
        <v>1.1498081070108097E-8</v>
      </c>
      <c r="J70" s="217">
        <f t="shared" si="9"/>
        <v>9.8368689038335511E-2</v>
      </c>
      <c r="K70" s="195">
        <f t="shared" si="2"/>
        <v>9.8381012082301114E-2</v>
      </c>
      <c r="M70" s="218">
        <f t="shared" si="10"/>
        <v>9.8381012082301114E-2</v>
      </c>
      <c r="N70" s="218">
        <f>Calculations!F80</f>
        <v>0.96599999999999997</v>
      </c>
      <c r="O70" s="219">
        <f>Spectra!$C$10*$A70</f>
        <v>2970129034834.5942</v>
      </c>
      <c r="P70" s="219">
        <f t="shared" si="11"/>
        <v>282269354246.34564</v>
      </c>
      <c r="Q70" s="218">
        <f t="shared" si="14"/>
        <v>5.1579895207179054E-3</v>
      </c>
    </row>
    <row r="71" spans="1:17" x14ac:dyDescent="0.25">
      <c r="A71" s="214">
        <v>595</v>
      </c>
      <c r="C71" s="215">
        <f t="shared" si="12"/>
        <v>0.85378151260504198</v>
      </c>
      <c r="D71" s="216">
        <f t="shared" si="4"/>
        <v>6.5401974962990828</v>
      </c>
      <c r="E71" s="216">
        <f t="shared" si="5"/>
        <v>6.753883326302434</v>
      </c>
      <c r="F71" s="217">
        <f t="shared" si="6"/>
        <v>2.4034728777403199E-2</v>
      </c>
      <c r="G71" s="216">
        <f t="shared" si="13"/>
        <v>13.992115551378919</v>
      </c>
      <c r="H71" s="216">
        <f t="shared" si="7"/>
        <v>7.1468820874728292E-2</v>
      </c>
      <c r="I71" s="217">
        <f t="shared" si="8"/>
        <v>5.6529388870146207E-9</v>
      </c>
      <c r="J71" s="217">
        <f t="shared" si="9"/>
        <v>7.1468826527667173E-2</v>
      </c>
      <c r="K71" s="195">
        <f t="shared" si="2"/>
        <v>7.1477779716939902E-2</v>
      </c>
      <c r="M71" s="218">
        <f t="shared" si="10"/>
        <v>7.1477779716939902E-2</v>
      </c>
      <c r="N71" s="218">
        <f>Calculations!F81</f>
        <v>0.96844046228532799</v>
      </c>
      <c r="O71" s="219">
        <f>Spectra!$C$10*$A71</f>
        <v>2995299619875.5654</v>
      </c>
      <c r="P71" s="219">
        <f t="shared" si="11"/>
        <v>207340552505.69128</v>
      </c>
      <c r="Q71" s="218">
        <f t="shared" si="14"/>
        <v>3.7887938628678175E-3</v>
      </c>
    </row>
    <row r="72" spans="1:17" x14ac:dyDescent="0.25">
      <c r="A72" s="214">
        <v>600</v>
      </c>
      <c r="C72" s="215">
        <f t="shared" si="12"/>
        <v>0.84666666666666668</v>
      </c>
      <c r="D72" s="216">
        <f t="shared" si="4"/>
        <v>10.738894224084664</v>
      </c>
      <c r="E72" s="216">
        <f t="shared" si="5"/>
        <v>8.2427442896388392</v>
      </c>
      <c r="F72" s="217">
        <f t="shared" si="6"/>
        <v>2.1617185261500579E-2</v>
      </c>
      <c r="G72" s="216">
        <f t="shared" si="13"/>
        <v>19.677255698985004</v>
      </c>
      <c r="H72" s="216">
        <f t="shared" si="7"/>
        <v>5.082009479866556E-2</v>
      </c>
      <c r="I72" s="217">
        <f t="shared" si="8"/>
        <v>2.7389938052063925E-9</v>
      </c>
      <c r="J72" s="217">
        <f t="shared" si="9"/>
        <v>5.0820097537659363E-2</v>
      </c>
      <c r="K72" s="195">
        <f t="shared" si="2"/>
        <v>5.082646397704587E-2</v>
      </c>
      <c r="M72" s="218">
        <f t="shared" si="10"/>
        <v>5.082646397704587E-2</v>
      </c>
      <c r="N72" s="218">
        <f>Calculations!F82</f>
        <v>0.97099999999999997</v>
      </c>
      <c r="O72" s="219">
        <f>Spectra!$C$10*$A72</f>
        <v>3020470204916.5361</v>
      </c>
      <c r="P72" s="219">
        <f t="shared" si="11"/>
        <v>149067745282.07669</v>
      </c>
      <c r="Q72" s="218">
        <f t="shared" si="14"/>
        <v>2.7239580084594036E-3</v>
      </c>
    </row>
    <row r="73" spans="1:17" x14ac:dyDescent="0.25">
      <c r="A73" s="214">
        <v>605</v>
      </c>
      <c r="C73" s="215">
        <f t="shared" si="12"/>
        <v>0.83966942148760326</v>
      </c>
      <c r="D73" s="216">
        <f t="shared" si="4"/>
        <v>17.489139951778068</v>
      </c>
      <c r="E73" s="216">
        <f t="shared" si="5"/>
        <v>10.026746759333919</v>
      </c>
      <c r="F73" s="217">
        <f t="shared" si="6"/>
        <v>1.9476909956082849E-2</v>
      </c>
      <c r="G73" s="216">
        <f t="shared" si="13"/>
        <v>28.209363621068071</v>
      </c>
      <c r="H73" s="216">
        <f t="shared" si="7"/>
        <v>3.5449222231059237E-2</v>
      </c>
      <c r="I73" s="217">
        <f t="shared" si="8"/>
        <v>1.3079033291985928E-9</v>
      </c>
      <c r="J73" s="217">
        <f t="shared" si="9"/>
        <v>3.5449223538962564E-2</v>
      </c>
      <c r="K73" s="195">
        <f t="shared" si="2"/>
        <v>3.5453664406727377E-2</v>
      </c>
      <c r="M73" s="218">
        <f t="shared" si="10"/>
        <v>3.5453664406727377E-2</v>
      </c>
      <c r="N73" s="218">
        <f>Calculations!F83</f>
        <v>0.97363079812323805</v>
      </c>
      <c r="O73" s="219">
        <f>Spectra!$C$10*$A73</f>
        <v>3045640789957.5073</v>
      </c>
      <c r="P73" s="219">
        <f t="shared" si="11"/>
        <v>105131803086.21405</v>
      </c>
      <c r="Q73" s="218">
        <f t="shared" si="14"/>
        <v>1.9211038338211341E-3</v>
      </c>
    </row>
    <row r="74" spans="1:17" x14ac:dyDescent="0.25">
      <c r="A74" s="214">
        <v>610</v>
      </c>
      <c r="C74" s="215">
        <f t="shared" si="12"/>
        <v>0.83278688524590161</v>
      </c>
      <c r="D74" s="216">
        <f t="shared" si="4"/>
        <v>28.2556345317591</v>
      </c>
      <c r="E74" s="216">
        <f t="shared" si="5"/>
        <v>12.157754700091864</v>
      </c>
      <c r="F74" s="217">
        <f t="shared" si="6"/>
        <v>1.7578558092844962E-2</v>
      </c>
      <c r="G74" s="216">
        <f t="shared" si="13"/>
        <v>41.104967789943807</v>
      </c>
      <c r="H74" s="216">
        <f t="shared" si="7"/>
        <v>2.4327959703319527E-2</v>
      </c>
      <c r="I74" s="217">
        <f t="shared" si="8"/>
        <v>6.1550002672897581E-10</v>
      </c>
      <c r="J74" s="217">
        <f t="shared" si="9"/>
        <v>2.4327960318819553E-2</v>
      </c>
      <c r="K74" s="195">
        <f t="shared" si="2"/>
        <v>2.4331007980911354E-2</v>
      </c>
      <c r="M74" s="218">
        <f t="shared" si="10"/>
        <v>2.4331007980911354E-2</v>
      </c>
      <c r="N74" s="218">
        <f>Calculations!F84</f>
        <v>0.97599999999999998</v>
      </c>
      <c r="O74" s="219">
        <f>Spectra!$C$10*$A74</f>
        <v>3070811374998.4785</v>
      </c>
      <c r="P74" s="219">
        <f t="shared" si="11"/>
        <v>72922753607.210281</v>
      </c>
      <c r="Q74" s="218">
        <f t="shared" si="14"/>
        <v>1.332538560312925E-3</v>
      </c>
    </row>
    <row r="75" spans="1:17" x14ac:dyDescent="0.25">
      <c r="A75" s="214">
        <v>615</v>
      </c>
      <c r="C75" s="215">
        <f t="shared" si="12"/>
        <v>0.82601626016260166</v>
      </c>
      <c r="D75" s="216">
        <f t="shared" si="4"/>
        <v>45.295398930260959</v>
      </c>
      <c r="E75" s="216">
        <f t="shared" si="5"/>
        <v>14.695549832179427</v>
      </c>
      <c r="F75" s="217">
        <f t="shared" si="6"/>
        <v>1.5891709456411832E-2</v>
      </c>
      <c r="G75" s="216">
        <f t="shared" si="13"/>
        <v>60.680840471896794</v>
      </c>
      <c r="H75" s="216">
        <f t="shared" si="7"/>
        <v>1.6479666270659707E-2</v>
      </c>
      <c r="I75" s="217">
        <f t="shared" si="8"/>
        <v>2.8546202525360555E-10</v>
      </c>
      <c r="J75" s="217">
        <f t="shared" si="9"/>
        <v>1.6479666556121732E-2</v>
      </c>
      <c r="K75" s="195">
        <f t="shared" si="2"/>
        <v>1.6481731030676541E-2</v>
      </c>
      <c r="M75" s="218">
        <f t="shared" si="10"/>
        <v>1.6481731030676541E-2</v>
      </c>
      <c r="N75" s="218">
        <f>Calculations!F85</f>
        <v>0.97778634522172103</v>
      </c>
      <c r="O75" s="219">
        <f>Spectra!$C$10*$A75</f>
        <v>3095981960039.4497</v>
      </c>
      <c r="P75" s="219">
        <f t="shared" si="11"/>
        <v>49893642625.792992</v>
      </c>
      <c r="Q75" s="218">
        <f t="shared" si="14"/>
        <v>9.1172095710285994E-4</v>
      </c>
    </row>
    <row r="76" spans="1:17" x14ac:dyDescent="0.25">
      <c r="A76" s="214">
        <v>620</v>
      </c>
      <c r="C76" s="215">
        <f t="shared" ref="C76:C108" si="15">$C$4/A76</f>
        <v>0.8193548387096774</v>
      </c>
      <c r="D76" s="216">
        <f t="shared" si="4"/>
        <v>72.060535293283635</v>
      </c>
      <c r="E76" s="216">
        <f t="shared" si="5"/>
        <v>17.708850026697853</v>
      </c>
      <c r="F76" s="217">
        <f t="shared" si="6"/>
        <v>1.4390127421957138E-2</v>
      </c>
      <c r="G76" s="216">
        <f t="shared" ref="G76:G107" si="16">D76+E76+F76+$G$4</f>
        <v>90.457775447403463</v>
      </c>
      <c r="H76" s="216">
        <f t="shared" si="7"/>
        <v>1.1054881629069559E-2</v>
      </c>
      <c r="I76" s="217">
        <f t="shared" si="8"/>
        <v>1.304777457314918E-10</v>
      </c>
      <c r="J76" s="217">
        <f t="shared" si="9"/>
        <v>1.1054881759547304E-2</v>
      </c>
      <c r="K76" s="195">
        <f t="shared" ref="K76:K107" si="17">IF(J76="","",J76/MAX(J$12:J$108))</f>
        <v>1.1056266649345971E-2</v>
      </c>
      <c r="M76" s="218">
        <f t="shared" si="10"/>
        <v>1.1056266649345971E-2</v>
      </c>
      <c r="N76" s="218">
        <f>Calculations!F86</f>
        <v>0.97900000000000009</v>
      </c>
      <c r="O76" s="219">
        <f>Spectra!$C$10*$A76</f>
        <v>3121152545080.4209</v>
      </c>
      <c r="P76" s="219">
        <f t="shared" si="11"/>
        <v>33783620601.068386</v>
      </c>
      <c r="Q76" s="218">
        <f t="shared" ref="Q76:Q107" si="18">P76/SUM(P$12:P$108)</f>
        <v>6.1733786686648878E-4</v>
      </c>
    </row>
    <row r="77" spans="1:17" x14ac:dyDescent="0.25">
      <c r="A77" s="214">
        <v>625</v>
      </c>
      <c r="C77" s="215">
        <f t="shared" si="15"/>
        <v>0.81279999999999997</v>
      </c>
      <c r="D77" s="216">
        <f t="shared" ref="D77:D108" si="19">EXP($D$7*($D$8-C77))</f>
        <v>113.79274776884061</v>
      </c>
      <c r="E77" s="216">
        <f t="shared" ref="E77:E108" si="20">EXP($E$4*($E$5-C77))</f>
        <v>21.276432399093487</v>
      </c>
      <c r="F77" s="217">
        <f t="shared" ref="F77:F108" si="21">EXP($F$7*($F$8-C77))</f>
        <v>1.3051137294589463E-2</v>
      </c>
      <c r="G77" s="216">
        <f t="shared" si="16"/>
        <v>135.75623130522868</v>
      </c>
      <c r="H77" s="216">
        <f t="shared" ref="H77:H108" si="22">1/G77</f>
        <v>7.3661443779449174E-3</v>
      </c>
      <c r="I77" s="217">
        <f t="shared" ref="I77:I108" si="23">$I$4*(EXP(-(((A77-$C$5)/$I$5)^2)))</f>
        <v>5.8774965456320529E-11</v>
      </c>
      <c r="J77" s="217">
        <f t="shared" ref="J77:J108" si="24">IF(ISERROR(H77+I77),"",H77+I77)</f>
        <v>7.3661444367198832E-3</v>
      </c>
      <c r="K77" s="195">
        <f t="shared" si="17"/>
        <v>7.3670672234586116E-3</v>
      </c>
      <c r="M77" s="218">
        <f t="shared" ref="M77:M108" si="25">K77</f>
        <v>7.3670672234586116E-3</v>
      </c>
      <c r="N77" s="218">
        <f>Calculations!F87</f>
        <v>0.97984882098987991</v>
      </c>
      <c r="O77" s="219">
        <f>Spectra!$C$10*$A77</f>
        <v>3146323130121.3921</v>
      </c>
      <c r="P77" s="219">
        <f t="shared" ref="P77:P108" si="26">PRODUCT(M77:O77)</f>
        <v>22712086321.618793</v>
      </c>
      <c r="Q77" s="218">
        <f t="shared" si="18"/>
        <v>4.1502451994243319E-4</v>
      </c>
    </row>
    <row r="78" spans="1:17" x14ac:dyDescent="0.25">
      <c r="A78" s="214">
        <v>630</v>
      </c>
      <c r="C78" s="215">
        <f t="shared" si="15"/>
        <v>0.80634920634920637</v>
      </c>
      <c r="D78" s="216">
        <f t="shared" si="19"/>
        <v>178.39480669278899</v>
      </c>
      <c r="E78" s="216">
        <f t="shared" si="20"/>
        <v>25.488368789929876</v>
      </c>
      <c r="F78" s="217">
        <f t="shared" si="21"/>
        <v>1.1855103542827625E-2</v>
      </c>
      <c r="G78" s="216">
        <f t="shared" si="16"/>
        <v>204.56903058626168</v>
      </c>
      <c r="H78" s="216">
        <f t="shared" si="22"/>
        <v>4.8883254573488574E-3</v>
      </c>
      <c r="I78" s="217">
        <f t="shared" si="23"/>
        <v>2.6092527866263322E-11</v>
      </c>
      <c r="J78" s="217">
        <f t="shared" si="24"/>
        <v>4.8883254834413848E-3</v>
      </c>
      <c r="K78" s="195">
        <f t="shared" si="17"/>
        <v>4.8889378637672742E-3</v>
      </c>
      <c r="M78" s="218">
        <f t="shared" si="25"/>
        <v>4.8889378637672742E-3</v>
      </c>
      <c r="N78" s="218">
        <f>Calculations!F88</f>
        <v>0.98099999999999998</v>
      </c>
      <c r="O78" s="219">
        <f>Spectra!$C$10*$A78</f>
        <v>3171493715162.3633</v>
      </c>
      <c r="P78" s="219">
        <f t="shared" si="26"/>
        <v>15210636230.290833</v>
      </c>
      <c r="Q78" s="218">
        <f t="shared" si="18"/>
        <v>2.7794835358152574E-4</v>
      </c>
    </row>
    <row r="79" spans="1:17" x14ac:dyDescent="0.25">
      <c r="A79" s="214">
        <v>635</v>
      </c>
      <c r="C79" s="215">
        <f t="shared" si="15"/>
        <v>0.8</v>
      </c>
      <c r="D79" s="216">
        <f t="shared" si="19"/>
        <v>277.6992772818831</v>
      </c>
      <c r="E79" s="216">
        <f t="shared" si="20"/>
        <v>30.447381590538228</v>
      </c>
      <c r="F79" s="217">
        <f t="shared" si="21"/>
        <v>1.0784989205741261E-2</v>
      </c>
      <c r="G79" s="216">
        <f t="shared" si="16"/>
        <v>308.83144386162701</v>
      </c>
      <c r="H79" s="216">
        <f t="shared" si="22"/>
        <v>3.2380122551512384E-3</v>
      </c>
      <c r="I79" s="217">
        <f t="shared" si="23"/>
        <v>1.1415837154562417E-11</v>
      </c>
      <c r="J79" s="217">
        <f t="shared" si="24"/>
        <v>3.2380122665670755E-3</v>
      </c>
      <c r="K79" s="195">
        <f t="shared" si="17"/>
        <v>3.2384179054742537E-3</v>
      </c>
      <c r="M79" s="218">
        <f t="shared" si="25"/>
        <v>3.2384179054742537E-3</v>
      </c>
      <c r="N79" s="218">
        <f>Calculations!F89</f>
        <v>0.98294337081876093</v>
      </c>
      <c r="O79" s="219">
        <f>Spectra!$C$10*$A79</f>
        <v>3196664300203.3345</v>
      </c>
      <c r="P79" s="219">
        <f t="shared" si="26"/>
        <v>10175562381.216242</v>
      </c>
      <c r="Q79" s="218">
        <f t="shared" si="18"/>
        <v>1.8594099338151658E-4</v>
      </c>
    </row>
    <row r="80" spans="1:17" x14ac:dyDescent="0.25">
      <c r="A80" s="214">
        <v>640</v>
      </c>
      <c r="C80" s="215">
        <f t="shared" si="15"/>
        <v>0.79374999999999996</v>
      </c>
      <c r="D80" s="216">
        <f t="shared" si="19"/>
        <v>429.30335566444097</v>
      </c>
      <c r="E80" s="216">
        <f t="shared" si="20"/>
        <v>36.27032812548152</v>
      </c>
      <c r="F80" s="217">
        <f t="shared" si="21"/>
        <v>9.8259837402992333E-3</v>
      </c>
      <c r="G80" s="216">
        <f t="shared" si="16"/>
        <v>466.25750977366278</v>
      </c>
      <c r="H80" s="216">
        <f t="shared" si="22"/>
        <v>2.1447375732037729E-3</v>
      </c>
      <c r="I80" s="217">
        <f t="shared" si="23"/>
        <v>4.9222901450622016E-12</v>
      </c>
      <c r="J80" s="217">
        <f t="shared" si="24"/>
        <v>2.1447375781260629E-3</v>
      </c>
      <c r="K80" s="195">
        <f t="shared" si="17"/>
        <v>2.1450062580864069E-3</v>
      </c>
      <c r="M80" s="218">
        <f t="shared" si="25"/>
        <v>2.1450062580864069E-3</v>
      </c>
      <c r="N80" s="218">
        <f>Calculations!F90</f>
        <v>0.98499999999999999</v>
      </c>
      <c r="O80" s="219">
        <f>Spectra!$C$10*$A80</f>
        <v>3221834885244.3057</v>
      </c>
      <c r="P80" s="219">
        <f t="shared" si="26"/>
        <v>6807193151.4995832</v>
      </c>
      <c r="Q80" s="218">
        <f t="shared" si="18"/>
        <v>1.2438980857374499E-4</v>
      </c>
    </row>
    <row r="81" spans="1:17" x14ac:dyDescent="0.25">
      <c r="A81" s="214">
        <v>645</v>
      </c>
      <c r="C81" s="215">
        <f t="shared" si="15"/>
        <v>0.78759689922480625</v>
      </c>
      <c r="D81" s="216">
        <f t="shared" si="19"/>
        <v>659.20523224356407</v>
      </c>
      <c r="E81" s="216">
        <f t="shared" si="20"/>
        <v>43.089822042014696</v>
      </c>
      <c r="F81" s="217">
        <f t="shared" si="21"/>
        <v>8.9651880013799836E-3</v>
      </c>
      <c r="G81" s="216">
        <f t="shared" si="16"/>
        <v>702.97801947358016</v>
      </c>
      <c r="H81" s="216">
        <f t="shared" si="22"/>
        <v>1.4225195842522112E-3</v>
      </c>
      <c r="I81" s="217">
        <f t="shared" si="23"/>
        <v>2.0916763692000722E-12</v>
      </c>
      <c r="J81" s="217">
        <f t="shared" si="24"/>
        <v>1.4225195863438876E-3</v>
      </c>
      <c r="K81" s="195">
        <f t="shared" si="17"/>
        <v>1.4226977911321777E-3</v>
      </c>
      <c r="M81" s="218">
        <f t="shared" si="25"/>
        <v>1.4226977911321777E-3</v>
      </c>
      <c r="N81" s="218">
        <f>Calculations!F91</f>
        <v>0.98650269573507798</v>
      </c>
      <c r="O81" s="219">
        <f>Spectra!$C$10*$A81</f>
        <v>3247005470285.2764</v>
      </c>
      <c r="P81" s="219">
        <f t="shared" si="26"/>
        <v>4557156611.9474182</v>
      </c>
      <c r="Q81" s="218">
        <f t="shared" si="18"/>
        <v>8.3274240349098794E-5</v>
      </c>
    </row>
    <row r="82" spans="1:17" x14ac:dyDescent="0.25">
      <c r="A82" s="214">
        <v>650</v>
      </c>
      <c r="C82" s="215">
        <f t="shared" si="15"/>
        <v>0.78153846153846152</v>
      </c>
      <c r="D82" s="216">
        <f t="shared" si="19"/>
        <v>1005.5681886374309</v>
      </c>
      <c r="E82" s="216">
        <f t="shared" si="20"/>
        <v>51.05600037716043</v>
      </c>
      <c r="F82" s="217">
        <f t="shared" si="21"/>
        <v>8.1913470221107905E-3</v>
      </c>
      <c r="G82" s="216">
        <f t="shared" si="16"/>
        <v>1057.3063803616135</v>
      </c>
      <c r="H82" s="216">
        <f t="shared" si="22"/>
        <v>9.4579964575451257E-4</v>
      </c>
      <c r="I82" s="217">
        <f t="shared" si="23"/>
        <v>8.7597075253547426E-13</v>
      </c>
      <c r="J82" s="217">
        <f t="shared" si="24"/>
        <v>9.4579964663048331E-4</v>
      </c>
      <c r="K82" s="195">
        <f t="shared" si="17"/>
        <v>9.4591813078171089E-4</v>
      </c>
      <c r="M82" s="218">
        <f t="shared" si="25"/>
        <v>9.4591813078171089E-4</v>
      </c>
      <c r="N82" s="218">
        <f>Calculations!F92</f>
        <v>0.98799999999999999</v>
      </c>
      <c r="O82" s="219">
        <f>Spectra!$C$10*$A82</f>
        <v>3272176055326.2476</v>
      </c>
      <c r="P82" s="219">
        <f t="shared" si="26"/>
        <v>3058068129.9487615</v>
      </c>
      <c r="Q82" s="218">
        <f t="shared" si="18"/>
        <v>5.5880963096514838E-5</v>
      </c>
    </row>
    <row r="83" spans="1:17" x14ac:dyDescent="0.25">
      <c r="A83" s="214">
        <v>655</v>
      </c>
      <c r="C83" s="215">
        <f t="shared" si="15"/>
        <v>0.77557251908396951</v>
      </c>
      <c r="D83" s="216">
        <f t="shared" si="19"/>
        <v>1524.0616857521461</v>
      </c>
      <c r="E83" s="216">
        <f t="shared" si="20"/>
        <v>60.338445173960984</v>
      </c>
      <c r="F83" s="217">
        <f t="shared" si="21"/>
        <v>7.4946228744197322E-3</v>
      </c>
      <c r="G83" s="216">
        <f t="shared" si="16"/>
        <v>1585.0816255489815</v>
      </c>
      <c r="H83" s="216">
        <f t="shared" si="22"/>
        <v>6.308823368346455E-4</v>
      </c>
      <c r="I83" s="217">
        <f t="shared" si="23"/>
        <v>3.6153683976282661E-13</v>
      </c>
      <c r="J83" s="217">
        <f t="shared" si="24"/>
        <v>6.3088233719618236E-4</v>
      </c>
      <c r="K83" s="195">
        <f t="shared" si="17"/>
        <v>6.3096137038097305E-4</v>
      </c>
      <c r="M83" s="218">
        <f t="shared" si="25"/>
        <v>6.3096137038097305E-4</v>
      </c>
      <c r="N83" s="218">
        <f>Calculations!F93</f>
        <v>0.99004584624092695</v>
      </c>
      <c r="O83" s="219">
        <f>Spectra!$C$10*$A83</f>
        <v>3297346640367.2188</v>
      </c>
      <c r="P83" s="219">
        <f t="shared" si="26"/>
        <v>2059788754.3077495</v>
      </c>
      <c r="Q83" s="218">
        <f t="shared" si="18"/>
        <v>3.763911543985653E-5</v>
      </c>
    </row>
    <row r="84" spans="1:17" x14ac:dyDescent="0.25">
      <c r="A84" s="214">
        <v>660</v>
      </c>
      <c r="C84" s="215">
        <f t="shared" si="15"/>
        <v>0.76969696969696966</v>
      </c>
      <c r="D84" s="216">
        <f t="shared" si="19"/>
        <v>2295.3945017663168</v>
      </c>
      <c r="E84" s="216">
        <f t="shared" si="20"/>
        <v>71.128268698335688</v>
      </c>
      <c r="F84" s="217">
        <f t="shared" si="21"/>
        <v>6.866401208796254E-3</v>
      </c>
      <c r="G84" s="216">
        <f t="shared" si="16"/>
        <v>2367.2036368658614</v>
      </c>
      <c r="H84" s="216">
        <f t="shared" si="22"/>
        <v>4.2243936450012533E-4</v>
      </c>
      <c r="I84" s="217">
        <f t="shared" si="23"/>
        <v>1.470562017862506E-13</v>
      </c>
      <c r="J84" s="217">
        <f t="shared" si="24"/>
        <v>4.2243936464718152E-4</v>
      </c>
      <c r="K84" s="195">
        <f t="shared" si="17"/>
        <v>4.2249228533682617E-4</v>
      </c>
      <c r="M84" s="218">
        <f t="shared" si="25"/>
        <v>4.2249228533682617E-4</v>
      </c>
      <c r="N84" s="218">
        <f>Calculations!F94</f>
        <v>0.99199999999999999</v>
      </c>
      <c r="O84" s="219">
        <f>Spectra!$C$10*$A84</f>
        <v>3322517225408.1899</v>
      </c>
      <c r="P84" s="219">
        <f t="shared" si="26"/>
        <v>1392507992.4686074</v>
      </c>
      <c r="Q84" s="218">
        <f t="shared" si="18"/>
        <v>2.5445701152525994E-5</v>
      </c>
    </row>
    <row r="85" spans="1:17" x14ac:dyDescent="0.25">
      <c r="A85" s="214">
        <v>665</v>
      </c>
      <c r="C85" s="215">
        <f t="shared" si="15"/>
        <v>0.76390977443609021</v>
      </c>
      <c r="D85" s="216">
        <f t="shared" si="19"/>
        <v>3435.8770981816911</v>
      </c>
      <c r="E85" s="216">
        <f t="shared" si="20"/>
        <v>83.640371465222003</v>
      </c>
      <c r="F85" s="217">
        <f t="shared" si="21"/>
        <v>6.2991261541083783E-3</v>
      </c>
      <c r="G85" s="216">
        <f t="shared" si="16"/>
        <v>3520.1977687730673</v>
      </c>
      <c r="H85" s="216">
        <f t="shared" si="22"/>
        <v>2.8407494853578664E-4</v>
      </c>
      <c r="I85" s="217">
        <f t="shared" si="23"/>
        <v>5.8949749984713439E-14</v>
      </c>
      <c r="J85" s="217">
        <f t="shared" si="24"/>
        <v>2.8407494859473639E-4</v>
      </c>
      <c r="K85" s="195">
        <f t="shared" si="17"/>
        <v>2.8411053581375173E-4</v>
      </c>
      <c r="M85" s="218">
        <f t="shared" si="25"/>
        <v>2.8411053581375173E-4</v>
      </c>
      <c r="N85" s="218">
        <f>Calculations!F95</f>
        <v>0.993188919301215</v>
      </c>
      <c r="O85" s="219">
        <f>Spectra!$C$10*$A85</f>
        <v>3347687810449.1611</v>
      </c>
      <c r="P85" s="219">
        <f t="shared" si="26"/>
        <v>944635267.59559488</v>
      </c>
      <c r="Q85" s="218">
        <f t="shared" si="18"/>
        <v>1.7261593360596683E-5</v>
      </c>
    </row>
    <row r="86" spans="1:17" x14ac:dyDescent="0.25">
      <c r="A86" s="214">
        <v>670</v>
      </c>
      <c r="C86" s="215">
        <f t="shared" si="15"/>
        <v>0.75820895522388054</v>
      </c>
      <c r="D86" s="216">
        <f t="shared" si="19"/>
        <v>5112.146290324129</v>
      </c>
      <c r="E86" s="216">
        <f t="shared" si="20"/>
        <v>98.115882415943716</v>
      </c>
      <c r="F86" s="217">
        <f t="shared" si="21"/>
        <v>5.7861591476462632E-3</v>
      </c>
      <c r="G86" s="216">
        <f t="shared" si="16"/>
        <v>5210.9419588992205</v>
      </c>
      <c r="H86" s="216">
        <f t="shared" si="22"/>
        <v>1.9190388376754129E-4</v>
      </c>
      <c r="I86" s="217">
        <f t="shared" si="23"/>
        <v>2.3288870502071163E-14</v>
      </c>
      <c r="J86" s="217">
        <f t="shared" si="24"/>
        <v>1.9190388379083017E-4</v>
      </c>
      <c r="K86" s="195">
        <f t="shared" si="17"/>
        <v>1.9192792436736162E-4</v>
      </c>
      <c r="M86" s="218">
        <f t="shared" si="25"/>
        <v>1.9192792436736162E-4</v>
      </c>
      <c r="N86" s="218">
        <f>Calculations!F96</f>
        <v>0.99400000000000011</v>
      </c>
      <c r="O86" s="219">
        <f>Spectra!$C$10*$A86</f>
        <v>3372858395490.1323</v>
      </c>
      <c r="P86" s="219">
        <f t="shared" si="26"/>
        <v>643461636.76526213</v>
      </c>
      <c r="Q86" s="218">
        <f t="shared" si="18"/>
        <v>1.1758160528197622E-5</v>
      </c>
    </row>
    <row r="87" spans="1:17" x14ac:dyDescent="0.25">
      <c r="A87" s="214">
        <v>675</v>
      </c>
      <c r="C87" s="215">
        <f t="shared" si="15"/>
        <v>0.75259259259259259</v>
      </c>
      <c r="D87" s="216">
        <f t="shared" si="19"/>
        <v>7561.5773235453598</v>
      </c>
      <c r="E87" s="216">
        <f t="shared" si="20"/>
        <v>114.82479069666996</v>
      </c>
      <c r="F87" s="217">
        <f t="shared" si="21"/>
        <v>5.3216579982807649E-3</v>
      </c>
      <c r="G87" s="216">
        <f t="shared" si="16"/>
        <v>7677.0814359000278</v>
      </c>
      <c r="H87" s="216">
        <f t="shared" si="22"/>
        <v>1.3025783409353198E-4</v>
      </c>
      <c r="I87" s="217">
        <f t="shared" si="23"/>
        <v>9.0673988608892931E-15</v>
      </c>
      <c r="J87" s="217">
        <f t="shared" si="24"/>
        <v>1.3025783410259938E-4</v>
      </c>
      <c r="K87" s="195">
        <f t="shared" si="17"/>
        <v>1.3027415202888467E-4</v>
      </c>
      <c r="M87" s="218">
        <f t="shared" si="25"/>
        <v>1.3027415202888467E-4</v>
      </c>
      <c r="N87" s="218">
        <f>Calculations!F97</f>
        <v>0.99494847655421392</v>
      </c>
      <c r="O87" s="219">
        <f>Spectra!$C$10*$A87</f>
        <v>3398028980531.1035</v>
      </c>
      <c r="P87" s="219">
        <f t="shared" si="26"/>
        <v>440439159.12913579</v>
      </c>
      <c r="Q87" s="218">
        <f t="shared" si="18"/>
        <v>8.0482720958763087E-6</v>
      </c>
    </row>
    <row r="88" spans="1:17" x14ac:dyDescent="0.25">
      <c r="A88" s="214">
        <v>680</v>
      </c>
      <c r="C88" s="215">
        <f t="shared" si="15"/>
        <v>0.74705882352941178</v>
      </c>
      <c r="D88" s="216">
        <f t="shared" si="19"/>
        <v>11120.425058902161</v>
      </c>
      <c r="E88" s="216">
        <f t="shared" si="20"/>
        <v>134.06877856927545</v>
      </c>
      <c r="F88" s="217">
        <f t="shared" si="21"/>
        <v>4.9004730906603436E-3</v>
      </c>
      <c r="G88" s="216">
        <f t="shared" si="16"/>
        <v>11255.172737944527</v>
      </c>
      <c r="H88" s="216">
        <f t="shared" si="22"/>
        <v>8.8848036656843414E-5</v>
      </c>
      <c r="I88" s="217">
        <f t="shared" si="23"/>
        <v>3.4792437024997722E-15</v>
      </c>
      <c r="J88" s="217">
        <f t="shared" si="24"/>
        <v>8.8848036660322659E-5</v>
      </c>
      <c r="K88" s="195">
        <f t="shared" si="17"/>
        <v>8.8859167013616232E-5</v>
      </c>
      <c r="M88" s="218">
        <f t="shared" si="25"/>
        <v>8.8859167013616232E-5</v>
      </c>
      <c r="N88" s="218">
        <f>Calculations!F98</f>
        <v>0.996</v>
      </c>
      <c r="O88" s="219">
        <f>Spectra!$C$10*$A88</f>
        <v>3423199565572.0747</v>
      </c>
      <c r="P88" s="219">
        <f t="shared" si="26"/>
        <v>302965931.27043509</v>
      </c>
      <c r="Q88" s="218">
        <f t="shared" si="18"/>
        <v>5.5361840565364059E-6</v>
      </c>
    </row>
    <row r="89" spans="1:17" x14ac:dyDescent="0.25">
      <c r="A89" s="214">
        <v>685</v>
      </c>
      <c r="C89" s="215">
        <f t="shared" si="15"/>
        <v>0.7416058394160584</v>
      </c>
      <c r="D89" s="216">
        <f t="shared" si="19"/>
        <v>16262.413185728154</v>
      </c>
      <c r="E89" s="216">
        <f t="shared" si="20"/>
        <v>156.18426503976625</v>
      </c>
      <c r="F89" s="217">
        <f t="shared" si="21"/>
        <v>4.5180581390624882E-3</v>
      </c>
      <c r="G89" s="216">
        <f t="shared" si="16"/>
        <v>16419.275968826059</v>
      </c>
      <c r="H89" s="216">
        <f t="shared" si="22"/>
        <v>6.0904025360108353E-5</v>
      </c>
      <c r="I89" s="217">
        <f t="shared" si="23"/>
        <v>1.3156937607580285E-15</v>
      </c>
      <c r="J89" s="217">
        <f t="shared" si="24"/>
        <v>6.0904025361424046E-5</v>
      </c>
      <c r="K89" s="195">
        <f t="shared" si="17"/>
        <v>6.0911655055278338E-5</v>
      </c>
      <c r="M89" s="218">
        <f t="shared" si="25"/>
        <v>6.0911655055278338E-5</v>
      </c>
      <c r="N89" s="218">
        <f>Calculations!F99</f>
        <v>0.99701717448192895</v>
      </c>
      <c r="O89" s="219">
        <f>Spectra!$C$10*$A89</f>
        <v>3448370150613.0454</v>
      </c>
      <c r="P89" s="219">
        <f t="shared" si="26"/>
        <v>209419402.74779141</v>
      </c>
      <c r="Q89" s="218">
        <f t="shared" si="18"/>
        <v>3.8267812943852201E-6</v>
      </c>
    </row>
    <row r="90" spans="1:17" x14ac:dyDescent="0.25">
      <c r="A90" s="214">
        <v>690</v>
      </c>
      <c r="C90" s="215">
        <f t="shared" si="15"/>
        <v>0.73623188405797102</v>
      </c>
      <c r="D90" s="216">
        <f t="shared" si="19"/>
        <v>23651.373609061266</v>
      </c>
      <c r="E90" s="216">
        <f t="shared" si="20"/>
        <v>181.54566981480562</v>
      </c>
      <c r="F90" s="217">
        <f t="shared" si="21"/>
        <v>4.1703933147463328E-3</v>
      </c>
      <c r="G90" s="216">
        <f t="shared" si="16"/>
        <v>23833.597449269382</v>
      </c>
      <c r="H90" s="216">
        <f t="shared" si="22"/>
        <v>4.1957576993088594E-5</v>
      </c>
      <c r="I90" s="217">
        <f t="shared" si="23"/>
        <v>4.903346861330468E-16</v>
      </c>
      <c r="J90" s="217">
        <f t="shared" si="24"/>
        <v>4.1957576993578931E-5</v>
      </c>
      <c r="K90" s="195">
        <f t="shared" si="17"/>
        <v>4.1962833189132992E-5</v>
      </c>
      <c r="M90" s="218">
        <f t="shared" si="25"/>
        <v>4.1962833189132992E-5</v>
      </c>
      <c r="N90" s="218">
        <f>Calculations!F100</f>
        <v>0.998</v>
      </c>
      <c r="O90" s="219">
        <f>Spectra!$C$10*$A90</f>
        <v>3473540735654.0166</v>
      </c>
      <c r="P90" s="219">
        <f t="shared" si="26"/>
        <v>145468091.24497598</v>
      </c>
      <c r="Q90" s="218">
        <f t="shared" si="18"/>
        <v>2.6581804894965363E-6</v>
      </c>
    </row>
    <row r="91" spans="1:17" x14ac:dyDescent="0.25">
      <c r="A91" s="214">
        <v>695</v>
      </c>
      <c r="C91" s="215">
        <f t="shared" si="15"/>
        <v>0.73093525179856111</v>
      </c>
      <c r="D91" s="216">
        <f t="shared" si="19"/>
        <v>34212.684340416301</v>
      </c>
      <c r="E91" s="216">
        <f t="shared" si="20"/>
        <v>210.56890719293526</v>
      </c>
      <c r="F91" s="217">
        <f t="shared" si="21"/>
        <v>3.8539189157319404E-3</v>
      </c>
      <c r="G91" s="216">
        <f t="shared" si="16"/>
        <v>34423.931101528156</v>
      </c>
      <c r="H91" s="216">
        <f t="shared" si="22"/>
        <v>2.904955849030292E-5</v>
      </c>
      <c r="I91" s="217">
        <f t="shared" si="23"/>
        <v>1.8009358892557742E-16</v>
      </c>
      <c r="J91" s="217">
        <f t="shared" si="24"/>
        <v>2.9049558490483013E-5</v>
      </c>
      <c r="K91" s="195">
        <f t="shared" si="17"/>
        <v>2.9053197646295283E-5</v>
      </c>
      <c r="M91" s="218">
        <f t="shared" si="25"/>
        <v>2.9053197646295283E-5</v>
      </c>
      <c r="N91" s="218">
        <f>Calculations!F101</f>
        <v>0.99898282551807105</v>
      </c>
      <c r="O91" s="219">
        <f>Spectra!$C$10*$A91</f>
        <v>3498711320694.9878</v>
      </c>
      <c r="P91" s="219">
        <f t="shared" si="26"/>
        <v>101545356.99132892</v>
      </c>
      <c r="Q91" s="218">
        <f t="shared" si="18"/>
        <v>1.8555676674050924E-6</v>
      </c>
    </row>
    <row r="92" spans="1:17" x14ac:dyDescent="0.25">
      <c r="A92" s="214">
        <v>700</v>
      </c>
      <c r="C92" s="215">
        <f t="shared" si="15"/>
        <v>0.72571428571428576</v>
      </c>
      <c r="D92" s="216">
        <f t="shared" si="19"/>
        <v>49229.734392927399</v>
      </c>
      <c r="E92" s="216">
        <f t="shared" si="20"/>
        <v>243.71511946318242</v>
      </c>
      <c r="F92" s="217">
        <f t="shared" si="21"/>
        <v>3.5654780352996963E-3</v>
      </c>
      <c r="G92" s="216">
        <f t="shared" si="16"/>
        <v>49474.127077868616</v>
      </c>
      <c r="H92" s="216">
        <f t="shared" si="22"/>
        <v>2.0212585022997455E-5</v>
      </c>
      <c r="I92" s="217">
        <f t="shared" si="23"/>
        <v>6.5188610646791922E-17</v>
      </c>
      <c r="J92" s="217">
        <f t="shared" si="24"/>
        <v>2.0212585023062643E-5</v>
      </c>
      <c r="K92" s="195">
        <f t="shared" si="17"/>
        <v>2.02151171354282E-5</v>
      </c>
      <c r="M92" s="218">
        <f t="shared" si="25"/>
        <v>2.02151171354282E-5</v>
      </c>
      <c r="N92" s="218">
        <f>Calculations!F102</f>
        <v>1</v>
      </c>
      <c r="O92" s="219">
        <f>Spectra!$C$10*$A92</f>
        <v>3523881905735.959</v>
      </c>
      <c r="P92" s="219">
        <f t="shared" si="26"/>
        <v>71235685.49586837</v>
      </c>
      <c r="Q92" s="218">
        <f t="shared" si="18"/>
        <v>1.3017102769441097E-6</v>
      </c>
    </row>
    <row r="93" spans="1:17" x14ac:dyDescent="0.25">
      <c r="A93" s="214">
        <v>705</v>
      </c>
      <c r="C93" s="215">
        <f t="shared" si="15"/>
        <v>0.72056737588652486</v>
      </c>
      <c r="D93" s="216">
        <f t="shared" si="19"/>
        <v>70473.546575399945</v>
      </c>
      <c r="E93" s="216">
        <f t="shared" si="20"/>
        <v>281.49465931937607</v>
      </c>
      <c r="F93" s="217">
        <f t="shared" si="21"/>
        <v>3.3022669252948723E-3</v>
      </c>
      <c r="G93" s="216">
        <f t="shared" si="16"/>
        <v>70755.718536986242</v>
      </c>
      <c r="H93" s="216">
        <f t="shared" si="22"/>
        <v>1.4133133274270524E-5</v>
      </c>
      <c r="I93" s="217">
        <f t="shared" si="23"/>
        <v>2.3254822715854111E-17</v>
      </c>
      <c r="J93" s="217">
        <f t="shared" si="24"/>
        <v>1.4133133274293779E-5</v>
      </c>
      <c r="K93" s="195">
        <f t="shared" si="17"/>
        <v>1.4134903789123379E-5</v>
      </c>
      <c r="M93" s="218">
        <f t="shared" si="25"/>
        <v>1.4134903789123379E-5</v>
      </c>
      <c r="N93" s="218">
        <f>Calculations!F103</f>
        <v>1</v>
      </c>
      <c r="O93" s="219">
        <f>Spectra!$C$10*$A93</f>
        <v>3549052490776.9302</v>
      </c>
      <c r="P93" s="219">
        <f t="shared" si="26"/>
        <v>50165515.499680594</v>
      </c>
      <c r="Q93" s="218">
        <f t="shared" si="18"/>
        <v>9.1668896873212049E-7</v>
      </c>
    </row>
    <row r="94" spans="1:17" x14ac:dyDescent="0.25">
      <c r="A94" s="214">
        <v>710</v>
      </c>
      <c r="C94" s="215">
        <f t="shared" si="15"/>
        <v>0.71549295774647892</v>
      </c>
      <c r="D94" s="216">
        <f t="shared" si="19"/>
        <v>100376.12276256589</v>
      </c>
      <c r="E94" s="216">
        <f t="shared" si="20"/>
        <v>324.47133070324645</v>
      </c>
      <c r="F94" s="217">
        <f t="shared" si="21"/>
        <v>3.0617919508103531E-3</v>
      </c>
      <c r="G94" s="216">
        <f t="shared" si="16"/>
        <v>100701.2711550611</v>
      </c>
      <c r="H94" s="216">
        <f t="shared" si="22"/>
        <v>9.9303612410233359E-6</v>
      </c>
      <c r="I94" s="217">
        <f t="shared" si="23"/>
        <v>8.1756478447144097E-18</v>
      </c>
      <c r="J94" s="217">
        <f t="shared" si="24"/>
        <v>9.9303612410315115E-6</v>
      </c>
      <c r="K94" s="195">
        <f t="shared" si="17"/>
        <v>9.9316052575916981E-6</v>
      </c>
      <c r="M94" s="218">
        <f t="shared" si="25"/>
        <v>9.9316052575916981E-6</v>
      </c>
      <c r="N94" s="218">
        <f>Calculations!F104</f>
        <v>1</v>
      </c>
      <c r="O94" s="219">
        <f>Spectra!$C$10*$A94</f>
        <v>3574223075817.9014</v>
      </c>
      <c r="P94" s="219">
        <f t="shared" si="26"/>
        <v>35497772.691598639</v>
      </c>
      <c r="Q94" s="218">
        <f t="shared" si="18"/>
        <v>6.4866106361761537E-7</v>
      </c>
    </row>
    <row r="95" spans="1:17" x14ac:dyDescent="0.25">
      <c r="A95" s="214">
        <v>715</v>
      </c>
      <c r="C95" s="215">
        <f t="shared" si="15"/>
        <v>0.71048951048951048</v>
      </c>
      <c r="D95" s="216">
        <f t="shared" si="19"/>
        <v>142261.17541232356</v>
      </c>
      <c r="E95" s="216">
        <f t="shared" si="20"/>
        <v>373.26689736309066</v>
      </c>
      <c r="F95" s="217">
        <f t="shared" si="21"/>
        <v>2.8418322007717021E-3</v>
      </c>
      <c r="G95" s="216">
        <f t="shared" si="16"/>
        <v>142635.11915151885</v>
      </c>
      <c r="H95" s="216">
        <f t="shared" si="22"/>
        <v>7.0108960959167217E-6</v>
      </c>
      <c r="I95" s="217">
        <f t="shared" si="23"/>
        <v>2.8326906932828822E-18</v>
      </c>
      <c r="J95" s="217">
        <f t="shared" si="24"/>
        <v>7.0108960959195542E-6</v>
      </c>
      <c r="K95" s="195">
        <f t="shared" si="17"/>
        <v>7.0117743792602482E-6</v>
      </c>
      <c r="M95" s="218">
        <f t="shared" si="25"/>
        <v>7.0117743792602482E-6</v>
      </c>
      <c r="N95" s="218">
        <f>Calculations!F105</f>
        <v>1</v>
      </c>
      <c r="O95" s="219">
        <f>Spectra!$C$10*$A95</f>
        <v>3599393660858.8726</v>
      </c>
      <c r="P95" s="219">
        <f t="shared" si="26"/>
        <v>25238136.252081994</v>
      </c>
      <c r="Q95" s="218">
        <f t="shared" si="18"/>
        <v>4.6118376066102804E-7</v>
      </c>
    </row>
    <row r="96" spans="1:17" x14ac:dyDescent="0.25">
      <c r="A96" s="214">
        <v>720</v>
      </c>
      <c r="C96" s="215">
        <f t="shared" si="15"/>
        <v>0.7055555555555556</v>
      </c>
      <c r="D96" s="216">
        <f t="shared" si="19"/>
        <v>200649.83825171745</v>
      </c>
      <c r="E96" s="216">
        <f t="shared" si="20"/>
        <v>428.5658682572892</v>
      </c>
      <c r="F96" s="217">
        <f t="shared" si="21"/>
        <v>2.6404069599119729E-3</v>
      </c>
      <c r="G96" s="216">
        <f t="shared" si="16"/>
        <v>201079.08076038168</v>
      </c>
      <c r="H96" s="216">
        <f t="shared" si="22"/>
        <v>4.9731677518043862E-6</v>
      </c>
      <c r="I96" s="217">
        <f t="shared" si="23"/>
        <v>9.6726165287237411E-19</v>
      </c>
      <c r="J96" s="217">
        <f t="shared" si="24"/>
        <v>4.9731677518053535E-6</v>
      </c>
      <c r="K96" s="195">
        <f t="shared" si="17"/>
        <v>4.9737907606657231E-6</v>
      </c>
      <c r="M96" s="218">
        <f t="shared" si="25"/>
        <v>4.9737907606657231E-6</v>
      </c>
      <c r="N96" s="218">
        <f>Calculations!F106</f>
        <v>1</v>
      </c>
      <c r="O96" s="219">
        <f>Spectra!$C$10*$A96</f>
        <v>3624564245899.8438</v>
      </c>
      <c r="P96" s="219">
        <f t="shared" si="26"/>
        <v>18027824.157695968</v>
      </c>
      <c r="Q96" s="218">
        <f t="shared" si="18"/>
        <v>3.294276430929439E-7</v>
      </c>
    </row>
    <row r="97" spans="1:17" x14ac:dyDescent="0.25">
      <c r="A97" s="214">
        <v>725</v>
      </c>
      <c r="C97" s="215">
        <f t="shared" si="15"/>
        <v>0.70068965517241377</v>
      </c>
      <c r="D97" s="216">
        <f t="shared" si="19"/>
        <v>281663.90877114143</v>
      </c>
      <c r="E97" s="216">
        <f t="shared" si="20"/>
        <v>491.12056874340425</v>
      </c>
      <c r="F97" s="217">
        <f t="shared" si="21"/>
        <v>2.4557473661561456E-3</v>
      </c>
      <c r="G97" s="216">
        <f t="shared" si="16"/>
        <v>282155.70579563215</v>
      </c>
      <c r="H97" s="216">
        <f t="shared" si="22"/>
        <v>3.5441423988934278E-6</v>
      </c>
      <c r="I97" s="217">
        <f t="shared" si="23"/>
        <v>3.2550421817914828E-19</v>
      </c>
      <c r="J97" s="217">
        <f t="shared" si="24"/>
        <v>3.5441423988937535E-6</v>
      </c>
      <c r="K97" s="195">
        <f t="shared" si="17"/>
        <v>3.5445863879621136E-6</v>
      </c>
      <c r="M97" s="218">
        <f t="shared" si="25"/>
        <v>3.5445863879621136E-6</v>
      </c>
      <c r="N97" s="218">
        <f>Calculations!F107</f>
        <v>1</v>
      </c>
      <c r="O97" s="219">
        <f>Spectra!$C$10*$A97</f>
        <v>3649734830940.8149</v>
      </c>
      <c r="P97" s="219">
        <f t="shared" si="26"/>
        <v>12936800.401424019</v>
      </c>
      <c r="Q97" s="218">
        <f t="shared" si="18"/>
        <v>2.3639789406231006E-7</v>
      </c>
    </row>
    <row r="98" spans="1:17" x14ac:dyDescent="0.25">
      <c r="A98" s="214">
        <v>730</v>
      </c>
      <c r="C98" s="215">
        <f t="shared" si="15"/>
        <v>0.69589041095890414</v>
      </c>
      <c r="D98" s="216">
        <f t="shared" si="19"/>
        <v>393555.40914155467</v>
      </c>
      <c r="E98" s="216">
        <f t="shared" si="20"/>
        <v>561.75650627406515</v>
      </c>
      <c r="F98" s="217">
        <f t="shared" si="21"/>
        <v>2.2862716772892948E-3</v>
      </c>
      <c r="G98" s="216">
        <f t="shared" si="16"/>
        <v>394117.84193410038</v>
      </c>
      <c r="H98" s="216">
        <f t="shared" si="22"/>
        <v>2.53731217823731E-6</v>
      </c>
      <c r="I98" s="217">
        <f t="shared" si="23"/>
        <v>1.0795359437471114E-19</v>
      </c>
      <c r="J98" s="217">
        <f t="shared" si="24"/>
        <v>2.537312178237418E-6</v>
      </c>
      <c r="K98" s="195">
        <f t="shared" si="17"/>
        <v>2.5376300376074324E-6</v>
      </c>
      <c r="M98" s="218">
        <f t="shared" si="25"/>
        <v>2.5376300376074324E-6</v>
      </c>
      <c r="N98" s="218">
        <f>Calculations!F108</f>
        <v>1</v>
      </c>
      <c r="O98" s="219">
        <f>Spectra!$C$10*$A98</f>
        <v>3674905415981.7856</v>
      </c>
      <c r="P98" s="219">
        <f t="shared" si="26"/>
        <v>9325550.3689616155</v>
      </c>
      <c r="Q98" s="218">
        <f t="shared" si="18"/>
        <v>1.7040847812352886E-7</v>
      </c>
    </row>
    <row r="99" spans="1:17" x14ac:dyDescent="0.25">
      <c r="A99" s="214">
        <v>735</v>
      </c>
      <c r="C99" s="215">
        <f t="shared" si="15"/>
        <v>0.69115646258503405</v>
      </c>
      <c r="D99" s="216">
        <f t="shared" si="19"/>
        <v>547399.05520475958</v>
      </c>
      <c r="E99" s="216">
        <f t="shared" si="20"/>
        <v>641.37803907086902</v>
      </c>
      <c r="F99" s="217">
        <f t="shared" si="21"/>
        <v>2.1305636550526903E-3</v>
      </c>
      <c r="G99" s="216">
        <f t="shared" si="16"/>
        <v>548041.10937439406</v>
      </c>
      <c r="H99" s="216">
        <f t="shared" si="22"/>
        <v>1.8246806359864701E-6</v>
      </c>
      <c r="I99" s="217">
        <f t="shared" si="23"/>
        <v>3.5284618704110798E-20</v>
      </c>
      <c r="J99" s="217">
        <f t="shared" si="24"/>
        <v>1.8246806359865054E-6</v>
      </c>
      <c r="K99" s="195">
        <f t="shared" si="17"/>
        <v>1.8249092211178136E-6</v>
      </c>
      <c r="M99" s="218">
        <f t="shared" si="25"/>
        <v>1.8249092211178136E-6</v>
      </c>
      <c r="N99" s="218">
        <f>Calculations!F109</f>
        <v>1</v>
      </c>
      <c r="O99" s="219">
        <f>Spectra!$C$10*$A99</f>
        <v>3700076001022.7568</v>
      </c>
      <c r="P99" s="219">
        <f t="shared" si="26"/>
        <v>6752302.8131031534</v>
      </c>
      <c r="Q99" s="218">
        <f t="shared" si="18"/>
        <v>1.2338678155016539E-7</v>
      </c>
    </row>
    <row r="100" spans="1:17" x14ac:dyDescent="0.25">
      <c r="A100" s="214">
        <v>740</v>
      </c>
      <c r="C100" s="215">
        <f t="shared" si="15"/>
        <v>0.68648648648648647</v>
      </c>
      <c r="D100" s="216">
        <f t="shared" si="19"/>
        <v>757993.95047376631</v>
      </c>
      <c r="E100" s="216">
        <f t="shared" si="20"/>
        <v>730.9743559673243</v>
      </c>
      <c r="F100" s="217">
        <f t="shared" si="21"/>
        <v>1.9873536460566256E-3</v>
      </c>
      <c r="G100" s="216">
        <f t="shared" si="16"/>
        <v>758725.60081708734</v>
      </c>
      <c r="H100" s="216">
        <f t="shared" si="22"/>
        <v>1.317999549406372E-6</v>
      </c>
      <c r="I100" s="217">
        <f t="shared" si="23"/>
        <v>1.1365841254647225E-20</v>
      </c>
      <c r="J100" s="217">
        <f t="shared" si="24"/>
        <v>1.3179995494063834E-6</v>
      </c>
      <c r="K100" s="195">
        <f t="shared" si="17"/>
        <v>1.31816466054645E-6</v>
      </c>
      <c r="M100" s="218">
        <f t="shared" si="25"/>
        <v>1.31816466054645E-6</v>
      </c>
      <c r="N100" s="218">
        <f>Calculations!F110</f>
        <v>1</v>
      </c>
      <c r="O100" s="219">
        <f>Spectra!$C$10*$A100</f>
        <v>3725246586063.728</v>
      </c>
      <c r="P100" s="219">
        <f t="shared" si="26"/>
        <v>4910488.4015705157</v>
      </c>
      <c r="Q100" s="218">
        <f t="shared" si="18"/>
        <v>8.9730774297243593E-8</v>
      </c>
    </row>
    <row r="101" spans="1:17" x14ac:dyDescent="0.25">
      <c r="A101" s="214">
        <v>745</v>
      </c>
      <c r="C101" s="215">
        <f t="shared" si="15"/>
        <v>0.68187919463087243</v>
      </c>
      <c r="D101" s="216">
        <f t="shared" si="19"/>
        <v>1045032.899879391</v>
      </c>
      <c r="E101" s="216">
        <f t="shared" si="20"/>
        <v>831.62577530232909</v>
      </c>
      <c r="F101" s="217">
        <f t="shared" si="21"/>
        <v>1.8555019992348239E-3</v>
      </c>
      <c r="G101" s="216">
        <f t="shared" si="16"/>
        <v>1045865.2015101953</v>
      </c>
      <c r="H101" s="216">
        <f t="shared" si="22"/>
        <v>9.5614616353621156E-7</v>
      </c>
      <c r="I101" s="217">
        <f t="shared" si="23"/>
        <v>3.6081582665329098E-21</v>
      </c>
      <c r="J101" s="217">
        <f t="shared" si="24"/>
        <v>9.5614616353621516E-7</v>
      </c>
      <c r="K101" s="195">
        <f t="shared" si="17"/>
        <v>9.5626594383750793E-7</v>
      </c>
      <c r="M101" s="218">
        <f t="shared" si="25"/>
        <v>9.5626594383750793E-7</v>
      </c>
      <c r="N101" s="218">
        <f>Calculations!F111</f>
        <v>1</v>
      </c>
      <c r="O101" s="219">
        <f>Spectra!$C$10*$A101</f>
        <v>3750417171104.6992</v>
      </c>
      <c r="P101" s="219">
        <f t="shared" si="26"/>
        <v>3586396.2159108315</v>
      </c>
      <c r="Q101" s="218">
        <f t="shared" si="18"/>
        <v>6.5535254963123252E-8</v>
      </c>
    </row>
    <row r="102" spans="1:17" x14ac:dyDescent="0.25">
      <c r="A102" s="214">
        <v>750</v>
      </c>
      <c r="C102" s="215">
        <f t="shared" si="15"/>
        <v>0.67733333333333334</v>
      </c>
      <c r="D102" s="216">
        <f t="shared" si="19"/>
        <v>1434612.6758769499</v>
      </c>
      <c r="E102" s="216">
        <f t="shared" si="20"/>
        <v>944.5103704072917</v>
      </c>
      <c r="F102" s="217">
        <f t="shared" si="21"/>
        <v>1.7339845107508245E-3</v>
      </c>
      <c r="G102" s="216">
        <f t="shared" si="16"/>
        <v>1435557.8619813418</v>
      </c>
      <c r="H102" s="216">
        <f t="shared" si="22"/>
        <v>6.9659330806757629E-7</v>
      </c>
      <c r="I102" s="217">
        <f t="shared" si="23"/>
        <v>1.1288530418024305E-21</v>
      </c>
      <c r="J102" s="217">
        <f t="shared" si="24"/>
        <v>6.9659330806757745E-7</v>
      </c>
      <c r="K102" s="195">
        <f t="shared" si="17"/>
        <v>6.966805731317496E-7</v>
      </c>
      <c r="M102" s="218">
        <f t="shared" si="25"/>
        <v>6.966805731317496E-7</v>
      </c>
      <c r="N102" s="218">
        <f>Calculations!F112</f>
        <v>1</v>
      </c>
      <c r="O102" s="219">
        <f>Spectra!$C$10*$A102</f>
        <v>3775587756145.6704</v>
      </c>
      <c r="P102" s="219">
        <f t="shared" si="26"/>
        <v>2630378.6418607822</v>
      </c>
      <c r="Q102" s="218">
        <f t="shared" si="18"/>
        <v>4.8065669425797261E-8</v>
      </c>
    </row>
    <row r="103" spans="1:17" x14ac:dyDescent="0.25">
      <c r="A103" s="214">
        <v>755</v>
      </c>
      <c r="C103" s="215">
        <f t="shared" si="15"/>
        <v>0.67284768211920531</v>
      </c>
      <c r="D103" s="216">
        <f t="shared" si="19"/>
        <v>1961176.9743284991</v>
      </c>
      <c r="E103" s="216">
        <f t="shared" si="20"/>
        <v>1070.9109288637987</v>
      </c>
      <c r="F103" s="217">
        <f t="shared" si="21"/>
        <v>1.6218796307616939E-3</v>
      </c>
      <c r="G103" s="216">
        <f t="shared" si="16"/>
        <v>1962248.5608792426</v>
      </c>
      <c r="H103" s="216">
        <f t="shared" si="22"/>
        <v>5.0961943350944335E-7</v>
      </c>
      <c r="I103" s="217">
        <f t="shared" si="23"/>
        <v>3.4806236901395122E-22</v>
      </c>
      <c r="J103" s="217">
        <f t="shared" si="24"/>
        <v>5.0961943350944367E-7</v>
      </c>
      <c r="K103" s="195">
        <f t="shared" si="17"/>
        <v>5.0968327559930224E-7</v>
      </c>
      <c r="M103" s="218">
        <f t="shared" si="25"/>
        <v>5.0968327559930224E-7</v>
      </c>
      <c r="N103" s="218">
        <f>Calculations!F113</f>
        <v>1</v>
      </c>
      <c r="O103" s="219">
        <f>Spectra!$C$10*$A103</f>
        <v>3800758341186.6416</v>
      </c>
      <c r="P103" s="219">
        <f t="shared" si="26"/>
        <v>1937182.9610973778</v>
      </c>
      <c r="Q103" s="218">
        <f t="shared" si="18"/>
        <v>3.5398704332363476E-8</v>
      </c>
    </row>
    <row r="104" spans="1:17" x14ac:dyDescent="0.25">
      <c r="A104" s="214">
        <v>760</v>
      </c>
      <c r="C104" s="215">
        <f t="shared" si="15"/>
        <v>0.66842105263157892</v>
      </c>
      <c r="D104" s="216">
        <f t="shared" si="19"/>
        <v>2670006.3893122072</v>
      </c>
      <c r="E104" s="216">
        <f t="shared" si="20"/>
        <v>1212.2222523155112</v>
      </c>
      <c r="F104" s="217">
        <f t="shared" si="21"/>
        <v>1.5183572034653025E-3</v>
      </c>
      <c r="G104" s="216">
        <f t="shared" si="16"/>
        <v>2671219.2870828798</v>
      </c>
      <c r="H104" s="216">
        <f t="shared" si="22"/>
        <v>3.7436087888241318E-7</v>
      </c>
      <c r="I104" s="217">
        <f t="shared" si="23"/>
        <v>1.0576563268187038E-22</v>
      </c>
      <c r="J104" s="217">
        <f t="shared" si="24"/>
        <v>3.7436087888241328E-7</v>
      </c>
      <c r="K104" s="195">
        <f t="shared" si="17"/>
        <v>3.7440777658547882E-7</v>
      </c>
      <c r="M104" s="218">
        <f t="shared" si="25"/>
        <v>3.7440777658547882E-7</v>
      </c>
      <c r="N104" s="218">
        <f>Calculations!F114</f>
        <v>1</v>
      </c>
      <c r="O104" s="219">
        <f>Spectra!$C$10*$A104</f>
        <v>3825928926227.6128</v>
      </c>
      <c r="P104" s="219">
        <f t="shared" si="26"/>
        <v>1432457.5426429489</v>
      </c>
      <c r="Q104" s="218">
        <f t="shared" si="18"/>
        <v>2.6175710833197219E-8</v>
      </c>
    </row>
    <row r="105" spans="1:17" x14ac:dyDescent="0.25">
      <c r="A105" s="214">
        <v>765</v>
      </c>
      <c r="C105" s="215">
        <f t="shared" si="15"/>
        <v>0.66405228758169932</v>
      </c>
      <c r="D105" s="216">
        <f t="shared" si="19"/>
        <v>3620397.3658553064</v>
      </c>
      <c r="E105" s="216">
        <f t="shared" si="20"/>
        <v>1369.9588031990618</v>
      </c>
      <c r="F105" s="217">
        <f t="shared" si="21"/>
        <v>1.4226685434185549E-3</v>
      </c>
      <c r="G105" s="216">
        <f t="shared" si="16"/>
        <v>3621768.0000811741</v>
      </c>
      <c r="H105" s="216">
        <f t="shared" si="22"/>
        <v>2.7610824326063599E-7</v>
      </c>
      <c r="I105" s="217">
        <f t="shared" si="23"/>
        <v>3.1673780822745328E-23</v>
      </c>
      <c r="J105" s="217">
        <f t="shared" si="24"/>
        <v>2.7610824326063604E-7</v>
      </c>
      <c r="K105" s="195">
        <f t="shared" si="17"/>
        <v>2.7614283245821739E-7</v>
      </c>
      <c r="M105" s="218">
        <f t="shared" si="25"/>
        <v>2.7614283245821739E-7</v>
      </c>
      <c r="N105" s="218">
        <f>Calculations!F115</f>
        <v>1</v>
      </c>
      <c r="O105" s="219">
        <f>Spectra!$C$10*$A105</f>
        <v>3851099511268.584</v>
      </c>
      <c r="P105" s="219">
        <f t="shared" si="26"/>
        <v>1063453.5271201634</v>
      </c>
      <c r="Q105" s="218">
        <f t="shared" si="18"/>
        <v>1.9432793769985791E-8</v>
      </c>
    </row>
    <row r="106" spans="1:17" x14ac:dyDescent="0.25">
      <c r="A106" s="214">
        <v>770</v>
      </c>
      <c r="C106" s="215">
        <f t="shared" si="15"/>
        <v>0.65974025974025974</v>
      </c>
      <c r="D106" s="216">
        <f t="shared" si="19"/>
        <v>4889705.7601849455</v>
      </c>
      <c r="E106" s="216">
        <f t="shared" si="20"/>
        <v>1545.76270431494</v>
      </c>
      <c r="F106" s="217">
        <f t="shared" si="21"/>
        <v>1.3341376780633548E-3</v>
      </c>
      <c r="G106" s="216">
        <f t="shared" si="16"/>
        <v>4891252.1982233971</v>
      </c>
      <c r="H106" s="216">
        <f t="shared" si="22"/>
        <v>2.0444662419231223E-7</v>
      </c>
      <c r="I106" s="217">
        <f t="shared" si="23"/>
        <v>9.3480941608903517E-24</v>
      </c>
      <c r="J106" s="217">
        <f t="shared" si="24"/>
        <v>2.0444662419231223E-7</v>
      </c>
      <c r="K106" s="195">
        <f t="shared" si="17"/>
        <v>2.0447223604871868E-7</v>
      </c>
      <c r="M106" s="218">
        <f t="shared" si="25"/>
        <v>2.0447223604871868E-7</v>
      </c>
      <c r="N106" s="218">
        <f>Calculations!F116</f>
        <v>1</v>
      </c>
      <c r="O106" s="219">
        <f>Spectra!$C$10*$A106</f>
        <v>3876270096309.5552</v>
      </c>
      <c r="P106" s="219">
        <f t="shared" si="26"/>
        <v>792589.61412119679</v>
      </c>
      <c r="Q106" s="218">
        <f t="shared" si="18"/>
        <v>1.4483219174757115E-8</v>
      </c>
    </row>
    <row r="107" spans="1:17" x14ac:dyDescent="0.25">
      <c r="A107" s="214">
        <v>775</v>
      </c>
      <c r="C107" s="215">
        <f t="shared" si="15"/>
        <v>0.65548387096774197</v>
      </c>
      <c r="D107" s="216">
        <f t="shared" si="19"/>
        <v>6578471.5253914595</v>
      </c>
      <c r="E107" s="216">
        <f t="shared" si="20"/>
        <v>1741.4120966922849</v>
      </c>
      <c r="F107" s="217">
        <f t="shared" si="21"/>
        <v>1.252153609444424E-3</v>
      </c>
      <c r="G107" s="216">
        <f t="shared" si="16"/>
        <v>6580213.6127403053</v>
      </c>
      <c r="H107" s="216">
        <f t="shared" si="22"/>
        <v>1.5197075032090846E-7</v>
      </c>
      <c r="I107" s="217">
        <f t="shared" si="23"/>
        <v>2.7190305365488718E-24</v>
      </c>
      <c r="J107" s="217">
        <f t="shared" si="24"/>
        <v>1.5197075032090846E-7</v>
      </c>
      <c r="K107" s="195">
        <f t="shared" si="17"/>
        <v>1.5198978831212293E-7</v>
      </c>
      <c r="M107" s="218">
        <f t="shared" si="25"/>
        <v>1.5198978831212293E-7</v>
      </c>
      <c r="N107" s="218">
        <f>Calculations!F117</f>
        <v>1</v>
      </c>
      <c r="O107" s="219">
        <f>Spectra!$C$10*$A107</f>
        <v>3901440681350.5259</v>
      </c>
      <c r="P107" s="219">
        <f t="shared" si="26"/>
        <v>592979.14327077114</v>
      </c>
      <c r="Q107" s="218">
        <f t="shared" si="18"/>
        <v>1.083567932892069E-8</v>
      </c>
    </row>
    <row r="108" spans="1:17" x14ac:dyDescent="0.25">
      <c r="A108" s="214">
        <v>780</v>
      </c>
      <c r="C108" s="215">
        <f t="shared" si="15"/>
        <v>0.6512820512820513</v>
      </c>
      <c r="D108" s="216">
        <f t="shared" si="19"/>
        <v>8816890.5232292097</v>
      </c>
      <c r="E108" s="216">
        <f t="shared" si="20"/>
        <v>1958.8298607123015</v>
      </c>
      <c r="F108" s="217">
        <f t="shared" si="21"/>
        <v>1.1761634678435484E-3</v>
      </c>
      <c r="G108" s="216">
        <f t="shared" ref="G108" si="27">D108+E108+F108+$G$4</f>
        <v>8818850.0282660853</v>
      </c>
      <c r="H108" s="216">
        <f t="shared" si="22"/>
        <v>1.1339346930663414E-7</v>
      </c>
      <c r="I108" s="217">
        <f t="shared" si="23"/>
        <v>7.7942247986674456E-25</v>
      </c>
      <c r="J108" s="217">
        <f t="shared" si="24"/>
        <v>1.1339346930663414E-7</v>
      </c>
      <c r="K108" s="195">
        <f>IF(J108="","",J108/MAX(J$12:J$108))</f>
        <v>1.1340767456565852E-7</v>
      </c>
      <c r="M108" s="218">
        <f t="shared" si="25"/>
        <v>1.1340767456565852E-7</v>
      </c>
      <c r="N108" s="218">
        <f>Calculations!F118</f>
        <v>1</v>
      </c>
      <c r="O108" s="219">
        <f>Spectra!$C$10*$A108</f>
        <v>3926611266391.4971</v>
      </c>
      <c r="P108" s="219">
        <f t="shared" si="26"/>
        <v>445307.85264477518</v>
      </c>
      <c r="Q108" s="218">
        <f t="shared" ref="Q108" si="28">P108/SUM(P$12:P$108)</f>
        <v>8.1372391401390687E-9</v>
      </c>
    </row>
    <row r="109" spans="1:17" x14ac:dyDescent="0.25">
      <c r="A109" s="214"/>
      <c r="C109" s="215"/>
      <c r="D109" s="216"/>
      <c r="E109" s="216"/>
      <c r="F109" s="217"/>
      <c r="G109" s="216"/>
      <c r="H109" s="216"/>
      <c r="I109" s="217"/>
      <c r="J109" s="217"/>
    </row>
    <row r="110" spans="1:17" x14ac:dyDescent="0.25">
      <c r="A110" s="214"/>
      <c r="C110" s="215"/>
      <c r="D110" s="216"/>
      <c r="E110" s="216"/>
      <c r="F110" s="217"/>
      <c r="G110" s="216"/>
      <c r="H110" s="216"/>
      <c r="I110" s="217"/>
      <c r="J110" s="217"/>
    </row>
    <row r="111" spans="1:17" x14ac:dyDescent="0.25">
      <c r="A111" s="214"/>
      <c r="C111" s="215"/>
      <c r="D111" s="216"/>
      <c r="E111" s="216"/>
      <c r="F111" s="217"/>
      <c r="G111" s="216"/>
      <c r="H111" s="216"/>
      <c r="I111" s="217"/>
      <c r="J111" s="217"/>
    </row>
    <row r="112" spans="1:17" x14ac:dyDescent="0.25">
      <c r="A112" s="214"/>
      <c r="C112" s="215"/>
      <c r="D112" s="216"/>
      <c r="E112" s="216"/>
      <c r="F112" s="217"/>
      <c r="G112" s="216"/>
      <c r="H112" s="216"/>
      <c r="I112" s="217"/>
      <c r="J112" s="217"/>
    </row>
    <row r="113" spans="1:10" x14ac:dyDescent="0.25">
      <c r="A113" s="214"/>
      <c r="C113" s="215"/>
      <c r="D113" s="216"/>
      <c r="E113" s="216"/>
      <c r="F113" s="217"/>
      <c r="G113" s="216"/>
      <c r="H113" s="216"/>
      <c r="I113" s="217"/>
      <c r="J113" s="217"/>
    </row>
    <row r="114" spans="1:10" x14ac:dyDescent="0.25">
      <c r="A114" s="214"/>
      <c r="C114" s="215"/>
      <c r="D114" s="216"/>
      <c r="E114" s="216"/>
      <c r="F114" s="217"/>
      <c r="G114" s="216"/>
      <c r="H114" s="216"/>
      <c r="I114" s="217"/>
      <c r="J114" s="217"/>
    </row>
    <row r="115" spans="1:10" x14ac:dyDescent="0.25">
      <c r="A115" s="214"/>
      <c r="C115" s="215"/>
      <c r="D115" s="216"/>
      <c r="E115" s="216"/>
      <c r="F115" s="217"/>
      <c r="G115" s="216"/>
      <c r="H115" s="216"/>
      <c r="I115" s="217"/>
      <c r="J115" s="217"/>
    </row>
    <row r="116" spans="1:10" x14ac:dyDescent="0.25">
      <c r="A116" s="214"/>
      <c r="C116" s="215"/>
      <c r="D116" s="216"/>
      <c r="E116" s="216"/>
      <c r="F116" s="217"/>
      <c r="G116" s="216"/>
      <c r="H116" s="216"/>
      <c r="I116" s="217"/>
      <c r="J116" s="217"/>
    </row>
    <row r="117" spans="1:10" x14ac:dyDescent="0.25">
      <c r="A117" s="214"/>
      <c r="C117" s="215"/>
      <c r="D117" s="216"/>
      <c r="E117" s="216"/>
      <c r="F117" s="217"/>
      <c r="G117" s="216"/>
      <c r="H117" s="216"/>
      <c r="I117" s="217"/>
      <c r="J117" s="217"/>
    </row>
    <row r="118" spans="1:10" x14ac:dyDescent="0.25">
      <c r="A118" s="214"/>
      <c r="C118" s="215"/>
      <c r="D118" s="216"/>
      <c r="E118" s="216"/>
      <c r="F118" s="217"/>
      <c r="G118" s="216"/>
      <c r="H118" s="216"/>
      <c r="I118" s="217"/>
      <c r="J118" s="217"/>
    </row>
    <row r="119" spans="1:10" x14ac:dyDescent="0.25">
      <c r="A119" s="214"/>
      <c r="C119" s="215"/>
      <c r="D119" s="216"/>
      <c r="E119" s="216"/>
      <c r="F119" s="217"/>
      <c r="G119" s="216"/>
      <c r="H119" s="216"/>
      <c r="I119" s="217"/>
      <c r="J119" s="217"/>
    </row>
    <row r="120" spans="1:10" x14ac:dyDescent="0.25">
      <c r="A120" s="214"/>
      <c r="C120" s="215"/>
      <c r="D120" s="216"/>
      <c r="E120" s="216"/>
      <c r="F120" s="217"/>
      <c r="G120" s="216"/>
      <c r="H120" s="216"/>
      <c r="I120" s="217"/>
      <c r="J120" s="217"/>
    </row>
    <row r="121" spans="1:10" x14ac:dyDescent="0.25">
      <c r="A121" s="214"/>
      <c r="C121" s="215"/>
      <c r="D121" s="216"/>
      <c r="E121" s="216"/>
      <c r="F121" s="217"/>
      <c r="G121" s="216"/>
      <c r="H121" s="216"/>
      <c r="I121" s="217"/>
      <c r="J121" s="217"/>
    </row>
    <row r="122" spans="1:10" x14ac:dyDescent="0.25">
      <c r="A122" s="214"/>
      <c r="C122" s="215"/>
      <c r="D122" s="216"/>
      <c r="E122" s="216"/>
      <c r="F122" s="217"/>
      <c r="G122" s="216"/>
      <c r="H122" s="216"/>
      <c r="I122" s="217"/>
      <c r="J122" s="217"/>
    </row>
    <row r="123" spans="1:10" x14ac:dyDescent="0.25">
      <c r="A123" s="214"/>
      <c r="C123" s="215"/>
      <c r="D123" s="216"/>
      <c r="E123" s="216"/>
      <c r="F123" s="217"/>
      <c r="G123" s="216"/>
      <c r="H123" s="216"/>
      <c r="I123" s="217"/>
      <c r="J123" s="217"/>
    </row>
    <row r="124" spans="1:10" x14ac:dyDescent="0.25">
      <c r="A124" s="214"/>
      <c r="C124" s="215"/>
      <c r="D124" s="216"/>
      <c r="E124" s="216"/>
      <c r="F124" s="217"/>
      <c r="G124" s="216"/>
      <c r="H124" s="216"/>
      <c r="I124" s="217"/>
      <c r="J124" s="217"/>
    </row>
    <row r="125" spans="1:10" x14ac:dyDescent="0.25">
      <c r="A125" s="214"/>
      <c r="C125" s="215"/>
      <c r="D125" s="216"/>
      <c r="E125" s="216"/>
      <c r="F125" s="217"/>
      <c r="G125" s="216"/>
      <c r="H125" s="216"/>
      <c r="I125" s="217"/>
      <c r="J125" s="217"/>
    </row>
    <row r="126" spans="1:10" x14ac:dyDescent="0.25">
      <c r="A126" s="214"/>
      <c r="C126" s="215"/>
      <c r="D126" s="216"/>
      <c r="E126" s="216"/>
      <c r="F126" s="217"/>
      <c r="G126" s="216"/>
      <c r="H126" s="216"/>
      <c r="I126" s="217"/>
      <c r="J126" s="217"/>
    </row>
    <row r="127" spans="1:10" x14ac:dyDescent="0.25">
      <c r="A127" s="214"/>
      <c r="C127" s="215"/>
      <c r="D127" s="216"/>
      <c r="E127" s="216"/>
      <c r="F127" s="217"/>
      <c r="G127" s="216"/>
      <c r="H127" s="216"/>
      <c r="I127" s="217"/>
      <c r="J127" s="217"/>
    </row>
    <row r="128" spans="1:10" x14ac:dyDescent="0.25">
      <c r="A128" s="214"/>
      <c r="C128" s="215"/>
      <c r="D128" s="216"/>
      <c r="E128" s="216"/>
      <c r="F128" s="217"/>
      <c r="G128" s="216"/>
      <c r="H128" s="216"/>
      <c r="I128" s="217"/>
      <c r="J128" s="217"/>
    </row>
    <row r="129" spans="1:10" x14ac:dyDescent="0.25">
      <c r="A129" s="214"/>
      <c r="C129" s="215"/>
      <c r="D129" s="216"/>
      <c r="E129" s="216"/>
      <c r="F129" s="217"/>
      <c r="G129" s="216"/>
      <c r="H129" s="216"/>
      <c r="I129" s="217"/>
      <c r="J129" s="217"/>
    </row>
    <row r="130" spans="1:10" x14ac:dyDescent="0.25">
      <c r="A130" s="214"/>
      <c r="C130" s="215"/>
      <c r="D130" s="216"/>
      <c r="E130" s="216"/>
      <c r="F130" s="217"/>
      <c r="G130" s="216"/>
      <c r="H130" s="216"/>
      <c r="I130" s="217"/>
      <c r="J130" s="217"/>
    </row>
    <row r="131" spans="1:10" x14ac:dyDescent="0.25">
      <c r="A131" s="214"/>
      <c r="C131" s="215"/>
      <c r="D131" s="216"/>
      <c r="E131" s="216"/>
      <c r="F131" s="217"/>
      <c r="G131" s="216"/>
      <c r="H131" s="216"/>
      <c r="I131" s="217"/>
      <c r="J131" s="217"/>
    </row>
    <row r="132" spans="1:10" x14ac:dyDescent="0.25">
      <c r="A132" s="214"/>
      <c r="C132" s="215"/>
      <c r="D132" s="216"/>
      <c r="E132" s="216"/>
      <c r="F132" s="217"/>
      <c r="G132" s="216"/>
      <c r="H132" s="216"/>
      <c r="I132" s="217"/>
      <c r="J132" s="217"/>
    </row>
    <row r="133" spans="1:10" x14ac:dyDescent="0.25">
      <c r="A133" s="214"/>
      <c r="C133" s="215"/>
      <c r="D133" s="216"/>
      <c r="E133" s="216"/>
      <c r="F133" s="217"/>
      <c r="G133" s="216"/>
      <c r="H133" s="216"/>
      <c r="I133" s="217"/>
      <c r="J133" s="217"/>
    </row>
    <row r="134" spans="1:10" x14ac:dyDescent="0.25">
      <c r="A134" s="214"/>
      <c r="C134" s="215"/>
      <c r="D134" s="216"/>
      <c r="E134" s="216"/>
      <c r="F134" s="217"/>
      <c r="G134" s="216"/>
      <c r="H134" s="216"/>
      <c r="I134" s="217"/>
      <c r="J134" s="217"/>
    </row>
    <row r="135" spans="1:10" x14ac:dyDescent="0.25">
      <c r="A135" s="214"/>
      <c r="C135" s="215"/>
      <c r="D135" s="216"/>
      <c r="E135" s="216"/>
      <c r="F135" s="217"/>
      <c r="G135" s="216"/>
      <c r="H135" s="216"/>
      <c r="I135" s="217"/>
      <c r="J135" s="217"/>
    </row>
    <row r="136" spans="1:10" x14ac:dyDescent="0.25">
      <c r="A136" s="214"/>
      <c r="C136" s="215"/>
      <c r="D136" s="216"/>
      <c r="E136" s="216"/>
      <c r="F136" s="217"/>
      <c r="G136" s="216"/>
      <c r="H136" s="216"/>
      <c r="I136" s="217"/>
      <c r="J136" s="217"/>
    </row>
    <row r="137" spans="1:10" x14ac:dyDescent="0.25">
      <c r="A137" s="214"/>
      <c r="C137" s="215"/>
      <c r="D137" s="216"/>
      <c r="E137" s="216"/>
      <c r="F137" s="217"/>
      <c r="G137" s="216"/>
      <c r="H137" s="216"/>
      <c r="I137" s="217"/>
      <c r="J137" s="217"/>
    </row>
    <row r="138" spans="1:10" x14ac:dyDescent="0.25">
      <c r="A138" s="214"/>
      <c r="C138" s="215"/>
      <c r="D138" s="216"/>
      <c r="E138" s="216"/>
      <c r="F138" s="217"/>
      <c r="G138" s="216"/>
      <c r="H138" s="216"/>
      <c r="I138" s="217"/>
      <c r="J138" s="217"/>
    </row>
    <row r="139" spans="1:10" x14ac:dyDescent="0.25">
      <c r="A139" s="214"/>
      <c r="C139" s="215"/>
      <c r="D139" s="216"/>
      <c r="E139" s="216"/>
      <c r="F139" s="217"/>
      <c r="G139" s="216"/>
      <c r="H139" s="216"/>
      <c r="I139" s="217"/>
      <c r="J139" s="217"/>
    </row>
    <row r="140" spans="1:10" x14ac:dyDescent="0.25">
      <c r="A140" s="214"/>
      <c r="C140" s="215"/>
      <c r="D140" s="216"/>
      <c r="E140" s="216"/>
      <c r="F140" s="217"/>
      <c r="G140" s="216"/>
      <c r="H140" s="216"/>
      <c r="I140" s="217"/>
      <c r="J140" s="217"/>
    </row>
    <row r="141" spans="1:10" x14ac:dyDescent="0.25">
      <c r="A141" s="214"/>
      <c r="C141" s="215"/>
      <c r="D141" s="216"/>
      <c r="E141" s="216"/>
      <c r="F141" s="217"/>
      <c r="G141" s="216"/>
      <c r="H141" s="216"/>
      <c r="I141" s="217"/>
      <c r="J141" s="217"/>
    </row>
    <row r="142" spans="1:10" x14ac:dyDescent="0.25">
      <c r="A142" s="214"/>
      <c r="C142" s="215"/>
      <c r="D142" s="216"/>
      <c r="E142" s="216"/>
      <c r="F142" s="217"/>
      <c r="G142" s="216"/>
      <c r="H142" s="216"/>
      <c r="I142" s="217"/>
      <c r="J142" s="217"/>
    </row>
    <row r="143" spans="1:10" x14ac:dyDescent="0.25">
      <c r="A143" s="214"/>
      <c r="C143" s="215"/>
      <c r="D143" s="216"/>
      <c r="E143" s="216"/>
      <c r="F143" s="217"/>
      <c r="G143" s="216"/>
      <c r="H143" s="216"/>
      <c r="I143" s="217"/>
      <c r="J143" s="217"/>
    </row>
    <row r="144" spans="1:10" x14ac:dyDescent="0.25">
      <c r="A144" s="214"/>
      <c r="C144" s="215"/>
      <c r="D144" s="216"/>
      <c r="E144" s="216"/>
      <c r="F144" s="217"/>
      <c r="G144" s="216"/>
      <c r="H144" s="216"/>
      <c r="I144" s="217"/>
      <c r="J144" s="217"/>
    </row>
    <row r="145" spans="1:10" x14ac:dyDescent="0.25">
      <c r="A145" s="214"/>
      <c r="C145" s="215"/>
      <c r="D145" s="216"/>
      <c r="E145" s="216"/>
      <c r="F145" s="217"/>
      <c r="G145" s="216"/>
      <c r="H145" s="216"/>
      <c r="I145" s="217"/>
      <c r="J145" s="217"/>
    </row>
    <row r="146" spans="1:10" x14ac:dyDescent="0.25">
      <c r="A146" s="214"/>
      <c r="C146" s="215"/>
      <c r="D146" s="216"/>
      <c r="E146" s="216"/>
      <c r="F146" s="217"/>
      <c r="G146" s="216"/>
      <c r="H146" s="216"/>
      <c r="I146" s="217"/>
      <c r="J146" s="217"/>
    </row>
    <row r="147" spans="1:10" x14ac:dyDescent="0.25">
      <c r="A147" s="214"/>
      <c r="C147" s="215"/>
      <c r="D147" s="216"/>
      <c r="E147" s="216"/>
      <c r="F147" s="217"/>
      <c r="G147" s="216"/>
      <c r="H147" s="216"/>
      <c r="I147" s="217"/>
      <c r="J147" s="217"/>
    </row>
    <row r="148" spans="1:10" x14ac:dyDescent="0.25">
      <c r="A148" s="214"/>
      <c r="C148" s="215"/>
      <c r="D148" s="216"/>
      <c r="E148" s="216"/>
      <c r="F148" s="217"/>
      <c r="G148" s="216"/>
      <c r="H148" s="216"/>
      <c r="I148" s="217"/>
      <c r="J148" s="217"/>
    </row>
    <row r="149" spans="1:10" x14ac:dyDescent="0.25">
      <c r="A149" s="214"/>
      <c r="C149" s="215"/>
      <c r="D149" s="216"/>
      <c r="E149" s="216"/>
      <c r="F149" s="217"/>
      <c r="G149" s="216"/>
      <c r="H149" s="216"/>
      <c r="I149" s="217"/>
      <c r="J149" s="217"/>
    </row>
    <row r="150" spans="1:10" x14ac:dyDescent="0.25">
      <c r="A150" s="214"/>
      <c r="C150" s="215"/>
      <c r="D150" s="216"/>
      <c r="E150" s="216"/>
      <c r="F150" s="217"/>
      <c r="G150" s="216"/>
      <c r="H150" s="216"/>
      <c r="I150" s="217"/>
      <c r="J150" s="217"/>
    </row>
    <row r="151" spans="1:10" x14ac:dyDescent="0.25">
      <c r="A151" s="214"/>
      <c r="C151" s="215"/>
      <c r="D151" s="216"/>
      <c r="E151" s="216"/>
      <c r="F151" s="217"/>
      <c r="G151" s="216"/>
      <c r="H151" s="216"/>
      <c r="I151" s="217"/>
      <c r="J151" s="217"/>
    </row>
    <row r="152" spans="1:10" x14ac:dyDescent="0.25">
      <c r="A152" s="214"/>
      <c r="C152" s="215"/>
      <c r="D152" s="216"/>
      <c r="E152" s="216"/>
      <c r="F152" s="217"/>
      <c r="G152" s="216"/>
      <c r="H152" s="216"/>
      <c r="I152" s="217"/>
      <c r="J152" s="217"/>
    </row>
    <row r="153" spans="1:10" x14ac:dyDescent="0.25">
      <c r="A153" s="214"/>
      <c r="C153" s="215"/>
      <c r="D153" s="216"/>
      <c r="E153" s="216"/>
      <c r="F153" s="217"/>
      <c r="G153" s="216"/>
      <c r="H153" s="216"/>
      <c r="I153" s="217"/>
      <c r="J153" s="217"/>
    </row>
    <row r="154" spans="1:10" x14ac:dyDescent="0.25">
      <c r="A154" s="214"/>
      <c r="C154" s="215"/>
      <c r="D154" s="216"/>
      <c r="E154" s="216"/>
      <c r="F154" s="217"/>
      <c r="G154" s="216"/>
      <c r="H154" s="216"/>
      <c r="I154" s="217"/>
      <c r="J154" s="217"/>
    </row>
    <row r="155" spans="1:10" x14ac:dyDescent="0.25">
      <c r="A155" s="214"/>
      <c r="C155" s="215"/>
      <c r="D155" s="216"/>
      <c r="E155" s="216"/>
      <c r="F155" s="217"/>
      <c r="G155" s="216"/>
      <c r="H155" s="216"/>
      <c r="I155" s="217"/>
      <c r="J155" s="217"/>
    </row>
    <row r="156" spans="1:10" x14ac:dyDescent="0.25">
      <c r="A156" s="214"/>
      <c r="C156" s="215"/>
      <c r="D156" s="216"/>
      <c r="E156" s="216"/>
      <c r="F156" s="217"/>
      <c r="G156" s="216"/>
      <c r="H156" s="216"/>
      <c r="I156" s="217"/>
      <c r="J156" s="217"/>
    </row>
    <row r="157" spans="1:10" x14ac:dyDescent="0.25">
      <c r="A157" s="214"/>
      <c r="C157" s="215"/>
      <c r="D157" s="216"/>
      <c r="E157" s="216"/>
      <c r="F157" s="217"/>
      <c r="G157" s="216"/>
      <c r="H157" s="216"/>
      <c r="I157" s="217"/>
      <c r="J157" s="217"/>
    </row>
    <row r="158" spans="1:10" x14ac:dyDescent="0.25">
      <c r="A158" s="214"/>
      <c r="C158" s="215"/>
      <c r="D158" s="216"/>
      <c r="E158" s="216"/>
      <c r="F158" s="217"/>
      <c r="G158" s="216"/>
      <c r="H158" s="216"/>
      <c r="I158" s="217"/>
      <c r="J158" s="217"/>
    </row>
    <row r="159" spans="1:10" x14ac:dyDescent="0.25">
      <c r="A159" s="214"/>
      <c r="C159" s="215"/>
      <c r="D159" s="216"/>
      <c r="E159" s="216"/>
      <c r="F159" s="217"/>
      <c r="G159" s="216"/>
      <c r="H159" s="216"/>
      <c r="I159" s="217"/>
      <c r="J159" s="217"/>
    </row>
    <row r="160" spans="1:10" x14ac:dyDescent="0.25">
      <c r="A160" s="214"/>
      <c r="C160" s="215"/>
      <c r="D160" s="216"/>
      <c r="E160" s="216"/>
      <c r="F160" s="217"/>
      <c r="G160" s="216"/>
      <c r="H160" s="216"/>
      <c r="I160" s="217"/>
      <c r="J160" s="217"/>
    </row>
    <row r="161" spans="1:10" x14ac:dyDescent="0.25">
      <c r="A161" s="214"/>
      <c r="C161" s="215"/>
      <c r="D161" s="216"/>
      <c r="E161" s="216"/>
      <c r="F161" s="217"/>
      <c r="G161" s="216"/>
      <c r="H161" s="216"/>
      <c r="I161" s="217"/>
      <c r="J161" s="217"/>
    </row>
    <row r="162" spans="1:10" x14ac:dyDescent="0.25">
      <c r="A162" s="214"/>
      <c r="C162" s="215"/>
      <c r="D162" s="216"/>
      <c r="E162" s="216"/>
      <c r="F162" s="217"/>
      <c r="G162" s="216"/>
      <c r="H162" s="216"/>
      <c r="I162" s="217"/>
      <c r="J162" s="217"/>
    </row>
    <row r="163" spans="1:10" x14ac:dyDescent="0.25">
      <c r="A163" s="214"/>
      <c r="C163" s="215"/>
      <c r="D163" s="216"/>
      <c r="E163" s="216"/>
      <c r="F163" s="217"/>
      <c r="G163" s="216"/>
      <c r="H163" s="216"/>
      <c r="I163" s="217"/>
      <c r="J163" s="217"/>
    </row>
    <row r="164" spans="1:10" x14ac:dyDescent="0.25">
      <c r="A164" s="214"/>
      <c r="C164" s="215"/>
      <c r="D164" s="216"/>
      <c r="E164" s="216"/>
      <c r="F164" s="217"/>
      <c r="G164" s="216"/>
      <c r="H164" s="216"/>
      <c r="I164" s="217"/>
      <c r="J164" s="217"/>
    </row>
    <row r="165" spans="1:10" x14ac:dyDescent="0.25">
      <c r="A165" s="214"/>
      <c r="C165" s="215"/>
      <c r="D165" s="216"/>
      <c r="E165" s="216"/>
      <c r="F165" s="217"/>
      <c r="G165" s="216"/>
      <c r="H165" s="216"/>
      <c r="I165" s="217"/>
      <c r="J165" s="217"/>
    </row>
    <row r="166" spans="1:10" x14ac:dyDescent="0.25">
      <c r="A166" s="214"/>
      <c r="C166" s="215"/>
      <c r="D166" s="216"/>
      <c r="E166" s="216"/>
      <c r="F166" s="217"/>
      <c r="G166" s="216"/>
      <c r="H166" s="216"/>
      <c r="I166" s="217"/>
      <c r="J166" s="217"/>
    </row>
    <row r="167" spans="1:10" x14ac:dyDescent="0.25">
      <c r="A167" s="214"/>
      <c r="C167" s="215"/>
      <c r="D167" s="216"/>
      <c r="E167" s="216"/>
      <c r="F167" s="217"/>
      <c r="G167" s="216"/>
      <c r="H167" s="216"/>
      <c r="I167" s="217"/>
      <c r="J167" s="217"/>
    </row>
    <row r="168" spans="1:10" x14ac:dyDescent="0.25">
      <c r="A168" s="214"/>
      <c r="C168" s="215"/>
      <c r="D168" s="216"/>
      <c r="E168" s="216"/>
      <c r="F168" s="217"/>
      <c r="G168" s="216"/>
      <c r="H168" s="216"/>
      <c r="I168" s="217"/>
      <c r="J168" s="217"/>
    </row>
    <row r="169" spans="1:10" x14ac:dyDescent="0.25">
      <c r="A169" s="214"/>
      <c r="C169" s="215"/>
      <c r="D169" s="216"/>
      <c r="E169" s="216"/>
      <c r="F169" s="217"/>
      <c r="G169" s="216"/>
      <c r="H169" s="216"/>
      <c r="I169" s="217"/>
      <c r="J169" s="217"/>
    </row>
    <row r="170" spans="1:10" x14ac:dyDescent="0.25">
      <c r="A170" s="214"/>
      <c r="C170" s="215"/>
      <c r="D170" s="216"/>
      <c r="E170" s="216"/>
      <c r="F170" s="217"/>
      <c r="G170" s="216"/>
      <c r="H170" s="216"/>
      <c r="I170" s="217"/>
      <c r="J170" s="217"/>
    </row>
    <row r="171" spans="1:10" x14ac:dyDescent="0.25">
      <c r="A171" s="214"/>
      <c r="C171" s="215"/>
      <c r="D171" s="216"/>
      <c r="E171" s="216"/>
      <c r="F171" s="217"/>
      <c r="G171" s="216"/>
      <c r="H171" s="216"/>
      <c r="I171" s="217"/>
      <c r="J171" s="217"/>
    </row>
    <row r="172" spans="1:10" x14ac:dyDescent="0.25">
      <c r="A172" s="214"/>
      <c r="C172" s="215"/>
      <c r="D172" s="216"/>
      <c r="E172" s="216"/>
      <c r="F172" s="217"/>
      <c r="G172" s="216"/>
      <c r="H172" s="216"/>
      <c r="I172" s="217"/>
      <c r="J172" s="217"/>
    </row>
    <row r="173" spans="1:10" x14ac:dyDescent="0.25">
      <c r="A173" s="214"/>
      <c r="C173" s="215"/>
      <c r="D173" s="216"/>
      <c r="E173" s="216"/>
      <c r="F173" s="217"/>
      <c r="G173" s="216"/>
      <c r="H173" s="216"/>
      <c r="I173" s="217"/>
      <c r="J173" s="217"/>
    </row>
    <row r="174" spans="1:10" x14ac:dyDescent="0.25">
      <c r="A174" s="214"/>
      <c r="C174" s="215"/>
      <c r="D174" s="216"/>
      <c r="E174" s="216"/>
      <c r="F174" s="217"/>
      <c r="G174" s="216"/>
      <c r="H174" s="216"/>
      <c r="I174" s="217"/>
      <c r="J174" s="217"/>
    </row>
    <row r="175" spans="1:10" x14ac:dyDescent="0.25">
      <c r="A175" s="214"/>
      <c r="C175" s="215"/>
      <c r="D175" s="216"/>
      <c r="E175" s="216"/>
      <c r="F175" s="217"/>
      <c r="G175" s="216"/>
      <c r="H175" s="216"/>
      <c r="I175" s="217"/>
      <c r="J175" s="217"/>
    </row>
    <row r="176" spans="1:10" x14ac:dyDescent="0.25">
      <c r="A176" s="214"/>
      <c r="C176" s="215"/>
      <c r="D176" s="216"/>
      <c r="E176" s="216"/>
      <c r="F176" s="217"/>
      <c r="G176" s="216"/>
      <c r="H176" s="216"/>
      <c r="I176" s="217"/>
      <c r="J176" s="217"/>
    </row>
    <row r="177" spans="1:10" x14ac:dyDescent="0.25">
      <c r="A177" s="214"/>
      <c r="C177" s="215"/>
      <c r="D177" s="216"/>
      <c r="E177" s="216"/>
      <c r="F177" s="217"/>
      <c r="G177" s="216"/>
      <c r="H177" s="216"/>
      <c r="I177" s="217"/>
      <c r="J177" s="217"/>
    </row>
    <row r="178" spans="1:10" x14ac:dyDescent="0.25">
      <c r="A178" s="214"/>
      <c r="C178" s="215"/>
      <c r="D178" s="216"/>
      <c r="E178" s="216"/>
      <c r="F178" s="217"/>
      <c r="G178" s="216"/>
      <c r="H178" s="216"/>
      <c r="I178" s="217"/>
      <c r="J178" s="217"/>
    </row>
    <row r="179" spans="1:10" x14ac:dyDescent="0.25">
      <c r="A179" s="214"/>
      <c r="C179" s="215"/>
      <c r="D179" s="216"/>
      <c r="E179" s="216"/>
      <c r="F179" s="217"/>
      <c r="G179" s="216"/>
      <c r="H179" s="216"/>
      <c r="I179" s="217"/>
      <c r="J179" s="217"/>
    </row>
    <row r="180" spans="1:10" x14ac:dyDescent="0.25">
      <c r="A180" s="214"/>
      <c r="C180" s="215"/>
      <c r="D180" s="216"/>
      <c r="E180" s="216"/>
      <c r="F180" s="217"/>
      <c r="G180" s="216"/>
      <c r="H180" s="216"/>
      <c r="I180" s="217"/>
      <c r="J180" s="217"/>
    </row>
    <row r="181" spans="1:10" x14ac:dyDescent="0.25">
      <c r="A181" s="214"/>
      <c r="C181" s="215"/>
      <c r="D181" s="216"/>
      <c r="E181" s="216"/>
      <c r="F181" s="217"/>
      <c r="G181" s="216"/>
      <c r="H181" s="216"/>
      <c r="I181" s="217"/>
      <c r="J181" s="217"/>
    </row>
    <row r="182" spans="1:10" x14ac:dyDescent="0.25">
      <c r="A182" s="214"/>
      <c r="C182" s="215"/>
      <c r="D182" s="216"/>
      <c r="E182" s="216"/>
      <c r="F182" s="217"/>
      <c r="G182" s="216"/>
      <c r="H182" s="216"/>
      <c r="I182" s="217"/>
      <c r="J182" s="217"/>
    </row>
    <row r="183" spans="1:10" x14ac:dyDescent="0.25">
      <c r="A183" s="214"/>
      <c r="C183" s="215"/>
      <c r="D183" s="216"/>
      <c r="E183" s="216"/>
      <c r="F183" s="217"/>
      <c r="G183" s="216"/>
      <c r="H183" s="216"/>
      <c r="I183" s="217"/>
      <c r="J183" s="217"/>
    </row>
    <row r="184" spans="1:10" x14ac:dyDescent="0.25">
      <c r="A184" s="214"/>
      <c r="C184" s="215"/>
      <c r="D184" s="216"/>
      <c r="E184" s="216"/>
      <c r="F184" s="217"/>
      <c r="G184" s="216"/>
      <c r="H184" s="216"/>
      <c r="I184" s="217"/>
      <c r="J184" s="217"/>
    </row>
    <row r="185" spans="1:10" x14ac:dyDescent="0.25">
      <c r="A185" s="214"/>
      <c r="C185" s="215"/>
      <c r="D185" s="216"/>
      <c r="E185" s="216"/>
      <c r="F185" s="217"/>
      <c r="G185" s="216"/>
      <c r="H185" s="216"/>
      <c r="I185" s="217"/>
      <c r="J185" s="217"/>
    </row>
    <row r="186" spans="1:10" x14ac:dyDescent="0.25">
      <c r="A186" s="214"/>
      <c r="C186" s="215"/>
      <c r="D186" s="216"/>
      <c r="E186" s="216"/>
      <c r="F186" s="217"/>
      <c r="G186" s="216"/>
      <c r="H186" s="216"/>
      <c r="I186" s="217"/>
      <c r="J186" s="217"/>
    </row>
    <row r="187" spans="1:10" x14ac:dyDescent="0.25">
      <c r="A187" s="214"/>
      <c r="C187" s="215"/>
      <c r="D187" s="216"/>
      <c r="E187" s="216"/>
      <c r="F187" s="217"/>
      <c r="G187" s="216"/>
      <c r="H187" s="216"/>
      <c r="I187" s="217"/>
      <c r="J187" s="217"/>
    </row>
    <row r="188" spans="1:10" x14ac:dyDescent="0.25">
      <c r="A188" s="214"/>
      <c r="C188" s="215"/>
      <c r="D188" s="216"/>
      <c r="E188" s="216"/>
      <c r="F188" s="217"/>
      <c r="G188" s="216"/>
      <c r="H188" s="216"/>
      <c r="I188" s="217"/>
      <c r="J188" s="217"/>
    </row>
    <row r="189" spans="1:10" x14ac:dyDescent="0.25">
      <c r="A189" s="214"/>
      <c r="C189" s="215"/>
      <c r="D189" s="216"/>
      <c r="E189" s="216"/>
      <c r="F189" s="217"/>
      <c r="G189" s="216"/>
      <c r="H189" s="216"/>
      <c r="I189" s="217"/>
      <c r="J189" s="217"/>
    </row>
    <row r="190" spans="1:10" x14ac:dyDescent="0.25">
      <c r="A190" s="214"/>
      <c r="C190" s="215"/>
      <c r="D190" s="216"/>
      <c r="E190" s="216"/>
      <c r="F190" s="217"/>
      <c r="G190" s="216"/>
      <c r="H190" s="216"/>
      <c r="I190" s="217"/>
      <c r="J190" s="217"/>
    </row>
    <row r="191" spans="1:10" x14ac:dyDescent="0.25">
      <c r="A191" s="214"/>
      <c r="C191" s="215"/>
      <c r="D191" s="216"/>
      <c r="E191" s="216"/>
      <c r="F191" s="217"/>
      <c r="G191" s="216"/>
      <c r="H191" s="216"/>
      <c r="I191" s="217"/>
      <c r="J191" s="217"/>
    </row>
    <row r="192" spans="1:10" x14ac:dyDescent="0.25">
      <c r="A192" s="214"/>
      <c r="C192" s="215"/>
      <c r="D192" s="216"/>
      <c r="E192" s="216"/>
      <c r="F192" s="217"/>
      <c r="G192" s="216"/>
      <c r="H192" s="216"/>
      <c r="I192" s="217"/>
      <c r="J192" s="217"/>
    </row>
    <row r="193" spans="1:10" x14ac:dyDescent="0.25">
      <c r="A193" s="214"/>
      <c r="C193" s="215"/>
      <c r="D193" s="216"/>
      <c r="E193" s="216"/>
      <c r="F193" s="217"/>
      <c r="G193" s="216"/>
      <c r="H193" s="216"/>
      <c r="I193" s="217"/>
      <c r="J193" s="217"/>
    </row>
    <row r="194" spans="1:10" x14ac:dyDescent="0.25">
      <c r="A194" s="214"/>
      <c r="C194" s="215"/>
      <c r="D194" s="216"/>
      <c r="E194" s="216"/>
      <c r="F194" s="217"/>
      <c r="G194" s="216"/>
      <c r="H194" s="216"/>
      <c r="I194" s="217"/>
      <c r="J194" s="217"/>
    </row>
    <row r="195" spans="1:10" x14ac:dyDescent="0.25">
      <c r="A195" s="214"/>
      <c r="C195" s="215"/>
      <c r="D195" s="216"/>
      <c r="E195" s="216"/>
      <c r="F195" s="217"/>
      <c r="G195" s="216"/>
      <c r="H195" s="216"/>
      <c r="I195" s="217"/>
      <c r="J195" s="217"/>
    </row>
    <row r="196" spans="1:10" x14ac:dyDescent="0.25">
      <c r="A196" s="214"/>
      <c r="C196" s="215"/>
      <c r="D196" s="216"/>
      <c r="E196" s="216"/>
      <c r="F196" s="217"/>
      <c r="G196" s="216"/>
      <c r="H196" s="216"/>
      <c r="I196" s="217"/>
      <c r="J196" s="217"/>
    </row>
    <row r="197" spans="1:10" x14ac:dyDescent="0.25">
      <c r="A197" s="214"/>
      <c r="C197" s="215"/>
      <c r="D197" s="216"/>
      <c r="E197" s="216"/>
      <c r="F197" s="217"/>
      <c r="G197" s="216"/>
      <c r="H197" s="216"/>
      <c r="I197" s="217"/>
      <c r="J197" s="217"/>
    </row>
    <row r="198" spans="1:10" x14ac:dyDescent="0.25">
      <c r="A198" s="214"/>
      <c r="C198" s="215"/>
      <c r="D198" s="216"/>
      <c r="E198" s="216"/>
      <c r="F198" s="217"/>
      <c r="G198" s="216"/>
      <c r="H198" s="216"/>
      <c r="I198" s="217"/>
      <c r="J198" s="217"/>
    </row>
    <row r="199" spans="1:10" x14ac:dyDescent="0.25">
      <c r="A199" s="214"/>
      <c r="C199" s="215"/>
      <c r="D199" s="216"/>
      <c r="E199" s="216"/>
      <c r="F199" s="217"/>
      <c r="G199" s="216"/>
      <c r="H199" s="216"/>
      <c r="I199" s="217"/>
      <c r="J199" s="217"/>
    </row>
    <row r="200" spans="1:10" x14ac:dyDescent="0.25">
      <c r="A200" s="214"/>
      <c r="C200" s="215"/>
      <c r="D200" s="216"/>
      <c r="E200" s="216"/>
      <c r="F200" s="217"/>
      <c r="G200" s="216"/>
      <c r="H200" s="216"/>
      <c r="I200" s="217"/>
      <c r="J200" s="217"/>
    </row>
    <row r="201" spans="1:10" x14ac:dyDescent="0.25">
      <c r="A201" s="214"/>
      <c r="C201" s="215"/>
      <c r="D201" s="216"/>
      <c r="E201" s="216"/>
      <c r="F201" s="217"/>
      <c r="G201" s="216"/>
      <c r="H201" s="216"/>
      <c r="I201" s="217"/>
      <c r="J201" s="217"/>
    </row>
    <row r="202" spans="1:10" x14ac:dyDescent="0.25">
      <c r="A202" s="214"/>
      <c r="C202" s="215"/>
      <c r="D202" s="216"/>
      <c r="E202" s="216"/>
      <c r="F202" s="217"/>
      <c r="G202" s="216"/>
      <c r="H202" s="216"/>
      <c r="I202" s="217"/>
      <c r="J202" s="217"/>
    </row>
    <row r="203" spans="1:10" x14ac:dyDescent="0.25">
      <c r="A203" s="214"/>
      <c r="C203" s="215"/>
      <c r="D203" s="216"/>
      <c r="E203" s="216"/>
      <c r="F203" s="217"/>
      <c r="G203" s="216"/>
      <c r="H203" s="216"/>
      <c r="I203" s="217"/>
      <c r="J203" s="217"/>
    </row>
    <row r="204" spans="1:10" x14ac:dyDescent="0.25">
      <c r="A204" s="214"/>
      <c r="C204" s="215"/>
      <c r="D204" s="216"/>
      <c r="E204" s="216"/>
      <c r="F204" s="217"/>
      <c r="G204" s="216"/>
      <c r="H204" s="216"/>
      <c r="I204" s="217"/>
      <c r="J204" s="217"/>
    </row>
    <row r="205" spans="1:10" x14ac:dyDescent="0.25">
      <c r="A205" s="214"/>
      <c r="C205" s="215"/>
      <c r="D205" s="216"/>
      <c r="E205" s="216"/>
      <c r="F205" s="217"/>
      <c r="G205" s="216"/>
      <c r="H205" s="216"/>
      <c r="I205" s="217"/>
      <c r="J205" s="217"/>
    </row>
    <row r="206" spans="1:10" x14ac:dyDescent="0.25">
      <c r="A206" s="214"/>
      <c r="C206" s="215"/>
      <c r="D206" s="216"/>
      <c r="E206" s="216"/>
      <c r="F206" s="217"/>
      <c r="G206" s="216"/>
      <c r="H206" s="216"/>
      <c r="I206" s="217"/>
      <c r="J206" s="217"/>
    </row>
    <row r="207" spans="1:10" x14ac:dyDescent="0.25">
      <c r="A207" s="214"/>
      <c r="C207" s="215"/>
      <c r="D207" s="216"/>
      <c r="E207" s="216"/>
      <c r="F207" s="217"/>
      <c r="G207" s="216"/>
      <c r="H207" s="216"/>
      <c r="I207" s="217"/>
      <c r="J207" s="217"/>
    </row>
    <row r="208" spans="1:10" x14ac:dyDescent="0.25">
      <c r="A208" s="214"/>
      <c r="C208" s="215"/>
      <c r="D208" s="216"/>
      <c r="E208" s="216"/>
      <c r="F208" s="217"/>
      <c r="G208" s="216"/>
      <c r="H208" s="216"/>
      <c r="I208" s="217"/>
      <c r="J208" s="217"/>
    </row>
    <row r="209" spans="1:10" x14ac:dyDescent="0.25">
      <c r="A209" s="214"/>
      <c r="C209" s="215"/>
      <c r="D209" s="216"/>
      <c r="E209" s="216"/>
      <c r="F209" s="217"/>
      <c r="G209" s="216"/>
      <c r="H209" s="216"/>
      <c r="I209" s="217"/>
      <c r="J209" s="217"/>
    </row>
    <row r="210" spans="1:10" x14ac:dyDescent="0.25">
      <c r="A210" s="214"/>
      <c r="C210" s="215"/>
      <c r="D210" s="216"/>
      <c r="E210" s="216"/>
      <c r="F210" s="217"/>
      <c r="G210" s="216"/>
      <c r="H210" s="216"/>
      <c r="I210" s="217"/>
      <c r="J210" s="217"/>
    </row>
    <row r="211" spans="1:10" x14ac:dyDescent="0.25">
      <c r="A211" s="214"/>
      <c r="C211" s="215"/>
      <c r="D211" s="216"/>
      <c r="E211" s="216"/>
      <c r="F211" s="217"/>
      <c r="G211" s="216"/>
      <c r="H211" s="216"/>
      <c r="I211" s="217"/>
      <c r="J211" s="217"/>
    </row>
    <row r="212" spans="1:10" x14ac:dyDescent="0.25">
      <c r="A212" s="214"/>
      <c r="C212" s="215"/>
      <c r="D212" s="216"/>
      <c r="E212" s="216"/>
      <c r="F212" s="217"/>
      <c r="G212" s="216"/>
      <c r="H212" s="216"/>
      <c r="I212" s="217"/>
      <c r="J212" s="217"/>
    </row>
    <row r="213" spans="1:10" x14ac:dyDescent="0.25">
      <c r="A213" s="214"/>
      <c r="C213" s="215"/>
      <c r="D213" s="216"/>
      <c r="E213" s="216"/>
      <c r="F213" s="217"/>
      <c r="G213" s="216"/>
      <c r="H213" s="216"/>
      <c r="I213" s="217"/>
      <c r="J213" s="217"/>
    </row>
    <row r="214" spans="1:10" x14ac:dyDescent="0.25">
      <c r="A214" s="214"/>
      <c r="C214" s="215"/>
      <c r="D214" s="216"/>
      <c r="E214" s="216"/>
      <c r="F214" s="217"/>
      <c r="G214" s="216"/>
      <c r="H214" s="216"/>
      <c r="I214" s="217"/>
      <c r="J214" s="217"/>
    </row>
    <row r="215" spans="1:10" x14ac:dyDescent="0.25">
      <c r="A215" s="214"/>
      <c r="C215" s="215"/>
      <c r="D215" s="216"/>
      <c r="E215" s="216"/>
      <c r="F215" s="217"/>
      <c r="G215" s="216"/>
      <c r="H215" s="216"/>
      <c r="I215" s="217"/>
      <c r="J215" s="217"/>
    </row>
    <row r="216" spans="1:10" x14ac:dyDescent="0.25">
      <c r="A216" s="214"/>
      <c r="C216" s="215"/>
      <c r="D216" s="216"/>
      <c r="E216" s="216"/>
      <c r="F216" s="217"/>
      <c r="G216" s="216"/>
      <c r="H216" s="216"/>
      <c r="I216" s="217"/>
      <c r="J216" s="217"/>
    </row>
    <row r="217" spans="1:10" x14ac:dyDescent="0.25">
      <c r="A217" s="214"/>
      <c r="C217" s="215"/>
      <c r="D217" s="216"/>
      <c r="E217" s="216"/>
      <c r="F217" s="217"/>
      <c r="G217" s="216"/>
      <c r="H217" s="216"/>
      <c r="I217" s="217"/>
      <c r="J217" s="217"/>
    </row>
    <row r="218" spans="1:10" x14ac:dyDescent="0.25">
      <c r="A218" s="214"/>
      <c r="C218" s="215"/>
      <c r="D218" s="216"/>
      <c r="E218" s="216"/>
      <c r="F218" s="217"/>
      <c r="G218" s="216"/>
      <c r="H218" s="216"/>
      <c r="I218" s="217"/>
      <c r="J218" s="217"/>
    </row>
    <row r="219" spans="1:10" x14ac:dyDescent="0.25">
      <c r="A219" s="214"/>
      <c r="C219" s="215"/>
      <c r="D219" s="216"/>
      <c r="E219" s="216"/>
      <c r="F219" s="217"/>
      <c r="G219" s="216"/>
      <c r="H219" s="216"/>
      <c r="I219" s="217"/>
      <c r="J219" s="217"/>
    </row>
    <row r="220" spans="1:10" x14ac:dyDescent="0.25">
      <c r="A220" s="214"/>
      <c r="C220" s="215"/>
      <c r="D220" s="216"/>
      <c r="E220" s="216"/>
      <c r="F220" s="217"/>
      <c r="G220" s="216"/>
      <c r="H220" s="216"/>
      <c r="I220" s="217"/>
      <c r="J220" s="217"/>
    </row>
    <row r="221" spans="1:10" x14ac:dyDescent="0.25">
      <c r="A221" s="214"/>
      <c r="C221" s="215"/>
      <c r="D221" s="216"/>
      <c r="E221" s="216"/>
      <c r="F221" s="217"/>
      <c r="G221" s="216"/>
      <c r="H221" s="216"/>
      <c r="I221" s="217"/>
      <c r="J221" s="217"/>
    </row>
    <row r="222" spans="1:10" x14ac:dyDescent="0.25">
      <c r="A222" s="214"/>
      <c r="C222" s="215"/>
      <c r="D222" s="216"/>
      <c r="E222" s="216"/>
      <c r="F222" s="217"/>
      <c r="G222" s="216"/>
      <c r="H222" s="216"/>
      <c r="I222" s="217"/>
      <c r="J222" s="217"/>
    </row>
    <row r="223" spans="1:10" x14ac:dyDescent="0.25">
      <c r="A223" s="214"/>
      <c r="C223" s="215"/>
      <c r="D223" s="216"/>
      <c r="E223" s="216"/>
      <c r="F223" s="217"/>
      <c r="G223" s="216"/>
      <c r="H223" s="216"/>
      <c r="I223" s="217"/>
      <c r="J223" s="217"/>
    </row>
    <row r="224" spans="1:10" x14ac:dyDescent="0.25">
      <c r="A224" s="214"/>
      <c r="C224" s="215"/>
      <c r="D224" s="216"/>
      <c r="E224" s="216"/>
      <c r="F224" s="217"/>
      <c r="G224" s="216"/>
      <c r="H224" s="216"/>
      <c r="I224" s="217"/>
      <c r="J224" s="217"/>
    </row>
    <row r="225" spans="1:10" x14ac:dyDescent="0.25">
      <c r="A225" s="214"/>
      <c r="C225" s="215"/>
      <c r="D225" s="216"/>
      <c r="E225" s="216"/>
      <c r="F225" s="217"/>
      <c r="G225" s="216"/>
      <c r="H225" s="216"/>
      <c r="I225" s="217"/>
      <c r="J225" s="217"/>
    </row>
    <row r="226" spans="1:10" x14ac:dyDescent="0.25">
      <c r="A226" s="214"/>
      <c r="C226" s="215"/>
      <c r="D226" s="216"/>
      <c r="E226" s="216"/>
      <c r="F226" s="217"/>
      <c r="G226" s="216"/>
      <c r="H226" s="216"/>
      <c r="I226" s="217"/>
      <c r="J226" s="217"/>
    </row>
    <row r="227" spans="1:10" x14ac:dyDescent="0.25">
      <c r="A227" s="214"/>
      <c r="C227" s="215"/>
      <c r="D227" s="216"/>
      <c r="E227" s="216"/>
      <c r="F227" s="217"/>
      <c r="G227" s="216"/>
      <c r="H227" s="216"/>
      <c r="I227" s="217"/>
      <c r="J227" s="217"/>
    </row>
    <row r="228" spans="1:10" x14ac:dyDescent="0.25">
      <c r="A228" s="214"/>
      <c r="C228" s="215"/>
      <c r="D228" s="216"/>
      <c r="E228" s="216"/>
      <c r="F228" s="217"/>
      <c r="G228" s="216"/>
      <c r="H228" s="216"/>
      <c r="I228" s="217"/>
      <c r="J228" s="217"/>
    </row>
    <row r="229" spans="1:10" x14ac:dyDescent="0.25">
      <c r="A229" s="214"/>
      <c r="C229" s="215"/>
      <c r="D229" s="216"/>
      <c r="E229" s="216"/>
      <c r="F229" s="217"/>
      <c r="G229" s="216"/>
      <c r="H229" s="216"/>
      <c r="I229" s="217"/>
      <c r="J229" s="217"/>
    </row>
    <row r="230" spans="1:10" x14ac:dyDescent="0.25">
      <c r="A230" s="214"/>
      <c r="C230" s="215"/>
      <c r="D230" s="216"/>
      <c r="E230" s="216"/>
      <c r="F230" s="217"/>
      <c r="G230" s="216"/>
      <c r="H230" s="216"/>
      <c r="I230" s="217"/>
      <c r="J230" s="217"/>
    </row>
    <row r="231" spans="1:10" x14ac:dyDescent="0.25">
      <c r="A231" s="214"/>
      <c r="C231" s="215"/>
      <c r="D231" s="216"/>
      <c r="E231" s="216"/>
      <c r="F231" s="217"/>
      <c r="G231" s="216"/>
      <c r="H231" s="216"/>
      <c r="I231" s="217"/>
      <c r="J231" s="217"/>
    </row>
    <row r="232" spans="1:10" x14ac:dyDescent="0.25">
      <c r="A232" s="214"/>
      <c r="C232" s="215"/>
      <c r="D232" s="216"/>
      <c r="E232" s="216"/>
      <c r="F232" s="217"/>
      <c r="G232" s="216"/>
      <c r="H232" s="216"/>
      <c r="I232" s="217"/>
      <c r="J232" s="217"/>
    </row>
    <row r="233" spans="1:10" x14ac:dyDescent="0.25">
      <c r="A233" s="214"/>
      <c r="C233" s="215"/>
      <c r="D233" s="216"/>
      <c r="E233" s="216"/>
      <c r="F233" s="217"/>
      <c r="G233" s="216"/>
      <c r="H233" s="216"/>
      <c r="I233" s="217"/>
      <c r="J233" s="217"/>
    </row>
    <row r="234" spans="1:10" x14ac:dyDescent="0.25">
      <c r="A234" s="214"/>
      <c r="C234" s="215"/>
      <c r="D234" s="216"/>
      <c r="E234" s="216"/>
      <c r="F234" s="217"/>
      <c r="G234" s="216"/>
      <c r="H234" s="216"/>
      <c r="I234" s="217"/>
      <c r="J234" s="217"/>
    </row>
    <row r="235" spans="1:10" x14ac:dyDescent="0.25">
      <c r="A235" s="214"/>
      <c r="C235" s="215"/>
      <c r="D235" s="216"/>
      <c r="E235" s="216"/>
      <c r="F235" s="217"/>
      <c r="G235" s="216"/>
      <c r="H235" s="216"/>
      <c r="I235" s="217"/>
      <c r="J235" s="217"/>
    </row>
    <row r="236" spans="1:10" x14ac:dyDescent="0.25">
      <c r="A236" s="214"/>
      <c r="C236" s="215"/>
      <c r="D236" s="216"/>
      <c r="E236" s="216"/>
      <c r="F236" s="217"/>
      <c r="G236" s="216"/>
      <c r="H236" s="216"/>
      <c r="I236" s="217"/>
      <c r="J236" s="217"/>
    </row>
    <row r="237" spans="1:10" x14ac:dyDescent="0.25">
      <c r="A237" s="214"/>
      <c r="C237" s="215"/>
      <c r="D237" s="216"/>
      <c r="E237" s="216"/>
      <c r="F237" s="217"/>
      <c r="G237" s="216"/>
      <c r="H237" s="216"/>
      <c r="I237" s="217"/>
      <c r="J237" s="217"/>
    </row>
    <row r="238" spans="1:10" x14ac:dyDescent="0.25">
      <c r="A238" s="214"/>
      <c r="C238" s="215"/>
      <c r="D238" s="216"/>
      <c r="E238" s="216"/>
      <c r="F238" s="217"/>
      <c r="G238" s="216"/>
      <c r="H238" s="216"/>
      <c r="I238" s="217"/>
      <c r="J238" s="217"/>
    </row>
    <row r="239" spans="1:10" x14ac:dyDescent="0.25">
      <c r="A239" s="214"/>
      <c r="C239" s="215"/>
      <c r="D239" s="216"/>
      <c r="E239" s="216"/>
      <c r="F239" s="217"/>
      <c r="G239" s="216"/>
      <c r="H239" s="216"/>
      <c r="I239" s="217"/>
      <c r="J239" s="217"/>
    </row>
    <row r="240" spans="1:10" x14ac:dyDescent="0.25">
      <c r="A240" s="214"/>
      <c r="C240" s="215"/>
      <c r="D240" s="216"/>
      <c r="E240" s="216"/>
      <c r="F240" s="217"/>
      <c r="G240" s="216"/>
      <c r="H240" s="216"/>
      <c r="I240" s="217"/>
      <c r="J240" s="217"/>
    </row>
    <row r="241" spans="1:10" x14ac:dyDescent="0.25">
      <c r="A241" s="214"/>
      <c r="C241" s="215"/>
      <c r="D241" s="216"/>
      <c r="E241" s="216"/>
      <c r="F241" s="217"/>
      <c r="G241" s="216"/>
      <c r="H241" s="216"/>
      <c r="I241" s="217"/>
      <c r="J241" s="217"/>
    </row>
    <row r="242" spans="1:10" x14ac:dyDescent="0.25">
      <c r="A242" s="214"/>
      <c r="C242" s="215"/>
      <c r="D242" s="216"/>
      <c r="E242" s="216"/>
      <c r="F242" s="217"/>
      <c r="G242" s="216"/>
      <c r="H242" s="216"/>
      <c r="I242" s="217"/>
      <c r="J242" s="217"/>
    </row>
    <row r="243" spans="1:10" x14ac:dyDescent="0.25">
      <c r="A243" s="214"/>
      <c r="C243" s="215"/>
      <c r="D243" s="216"/>
      <c r="E243" s="216"/>
      <c r="F243" s="217"/>
      <c r="G243" s="216"/>
      <c r="H243" s="216"/>
      <c r="I243" s="217"/>
      <c r="J243" s="217"/>
    </row>
    <row r="244" spans="1:10" x14ac:dyDescent="0.25">
      <c r="A244" s="214"/>
      <c r="C244" s="215"/>
      <c r="D244" s="216"/>
      <c r="E244" s="216"/>
      <c r="F244" s="217"/>
      <c r="G244" s="216"/>
      <c r="H244" s="216"/>
      <c r="I244" s="217"/>
      <c r="J244" s="217"/>
    </row>
    <row r="245" spans="1:10" x14ac:dyDescent="0.25">
      <c r="A245" s="214"/>
      <c r="C245" s="215"/>
      <c r="D245" s="216"/>
      <c r="E245" s="216"/>
      <c r="F245" s="217"/>
      <c r="G245" s="216"/>
      <c r="H245" s="216"/>
      <c r="I245" s="217"/>
      <c r="J245" s="217"/>
    </row>
    <row r="246" spans="1:10" x14ac:dyDescent="0.25">
      <c r="A246" s="214"/>
      <c r="C246" s="215"/>
      <c r="D246" s="216"/>
      <c r="E246" s="216"/>
      <c r="F246" s="217"/>
      <c r="G246" s="216"/>
      <c r="H246" s="216"/>
      <c r="I246" s="217"/>
      <c r="J246" s="217"/>
    </row>
    <row r="247" spans="1:10" x14ac:dyDescent="0.25">
      <c r="A247" s="214"/>
      <c r="C247" s="215"/>
      <c r="D247" s="216"/>
      <c r="E247" s="216"/>
      <c r="F247" s="217"/>
      <c r="G247" s="216"/>
      <c r="H247" s="216"/>
      <c r="I247" s="217"/>
      <c r="J247" s="217"/>
    </row>
    <row r="248" spans="1:10" x14ac:dyDescent="0.25">
      <c r="A248" s="214"/>
      <c r="C248" s="215"/>
      <c r="D248" s="216"/>
      <c r="E248" s="216"/>
      <c r="F248" s="217"/>
      <c r="G248" s="216"/>
      <c r="H248" s="216"/>
      <c r="I248" s="217"/>
      <c r="J248" s="217"/>
    </row>
    <row r="249" spans="1:10" x14ac:dyDescent="0.25">
      <c r="A249" s="214"/>
      <c r="C249" s="215"/>
      <c r="D249" s="216"/>
      <c r="E249" s="216"/>
      <c r="F249" s="217"/>
      <c r="G249" s="216"/>
      <c r="H249" s="216"/>
      <c r="I249" s="217"/>
      <c r="J249" s="217"/>
    </row>
    <row r="250" spans="1:10" x14ac:dyDescent="0.25">
      <c r="A250" s="214"/>
      <c r="C250" s="215"/>
      <c r="D250" s="216"/>
      <c r="E250" s="216"/>
      <c r="F250" s="217"/>
      <c r="G250" s="216"/>
      <c r="H250" s="216"/>
      <c r="I250" s="217"/>
      <c r="J250" s="217"/>
    </row>
    <row r="251" spans="1:10" x14ac:dyDescent="0.25">
      <c r="A251" s="214"/>
      <c r="C251" s="215"/>
      <c r="D251" s="216"/>
      <c r="E251" s="216"/>
      <c r="F251" s="217"/>
      <c r="G251" s="216"/>
      <c r="H251" s="216"/>
      <c r="I251" s="217"/>
      <c r="J251" s="217"/>
    </row>
    <row r="252" spans="1:10" x14ac:dyDescent="0.25">
      <c r="A252" s="214"/>
      <c r="C252" s="215"/>
      <c r="D252" s="216"/>
      <c r="E252" s="216"/>
      <c r="F252" s="217"/>
      <c r="G252" s="216"/>
      <c r="H252" s="216"/>
      <c r="I252" s="217"/>
      <c r="J252" s="217"/>
    </row>
    <row r="253" spans="1:10" x14ac:dyDescent="0.25">
      <c r="A253" s="214"/>
      <c r="C253" s="215"/>
      <c r="D253" s="216"/>
      <c r="E253" s="216"/>
      <c r="F253" s="217"/>
      <c r="G253" s="216"/>
      <c r="H253" s="216"/>
      <c r="I253" s="217"/>
      <c r="J253" s="217"/>
    </row>
    <row r="254" spans="1:10" x14ac:dyDescent="0.25">
      <c r="A254" s="214"/>
      <c r="C254" s="215"/>
      <c r="D254" s="216"/>
      <c r="E254" s="216"/>
      <c r="F254" s="217"/>
      <c r="G254" s="216"/>
      <c r="H254" s="216"/>
      <c r="I254" s="217"/>
      <c r="J254" s="217"/>
    </row>
    <row r="255" spans="1:10" x14ac:dyDescent="0.25">
      <c r="A255" s="214"/>
      <c r="C255" s="215"/>
      <c r="D255" s="216"/>
      <c r="E255" s="216"/>
      <c r="F255" s="217"/>
      <c r="G255" s="216"/>
      <c r="H255" s="216"/>
      <c r="I255" s="217"/>
      <c r="J255" s="217"/>
    </row>
    <row r="256" spans="1:10" x14ac:dyDescent="0.25">
      <c r="A256" s="214"/>
      <c r="C256" s="215"/>
      <c r="D256" s="216"/>
      <c r="E256" s="216"/>
      <c r="F256" s="217"/>
      <c r="G256" s="216"/>
      <c r="H256" s="216"/>
      <c r="I256" s="217"/>
      <c r="J256" s="217"/>
    </row>
    <row r="257" spans="1:10" x14ac:dyDescent="0.25">
      <c r="A257" s="214"/>
      <c r="C257" s="215"/>
      <c r="D257" s="216"/>
      <c r="E257" s="216"/>
      <c r="F257" s="217"/>
      <c r="G257" s="216"/>
      <c r="H257" s="216"/>
      <c r="I257" s="217"/>
      <c r="J257" s="217"/>
    </row>
    <row r="258" spans="1:10" x14ac:dyDescent="0.25">
      <c r="A258" s="214"/>
      <c r="C258" s="215"/>
      <c r="D258" s="216"/>
      <c r="E258" s="216"/>
      <c r="F258" s="217"/>
      <c r="G258" s="216"/>
      <c r="H258" s="216"/>
      <c r="I258" s="217"/>
      <c r="J258" s="217"/>
    </row>
    <row r="259" spans="1:10" x14ac:dyDescent="0.25">
      <c r="A259" s="214"/>
      <c r="C259" s="215"/>
      <c r="D259" s="216"/>
      <c r="E259" s="216"/>
      <c r="F259" s="217"/>
      <c r="G259" s="216"/>
      <c r="H259" s="216"/>
      <c r="I259" s="217"/>
      <c r="J259" s="217"/>
    </row>
    <row r="260" spans="1:10" x14ac:dyDescent="0.25">
      <c r="A260" s="214"/>
      <c r="C260" s="215"/>
      <c r="D260" s="216"/>
      <c r="E260" s="216"/>
      <c r="F260" s="217"/>
      <c r="G260" s="216"/>
      <c r="H260" s="216"/>
      <c r="I260" s="217"/>
      <c r="J260" s="217"/>
    </row>
    <row r="261" spans="1:10" x14ac:dyDescent="0.25">
      <c r="A261" s="214"/>
      <c r="C261" s="215"/>
      <c r="D261" s="216"/>
      <c r="E261" s="216"/>
      <c r="F261" s="217"/>
      <c r="G261" s="216"/>
      <c r="H261" s="216"/>
      <c r="I261" s="217"/>
      <c r="J261" s="217"/>
    </row>
    <row r="262" spans="1:10" x14ac:dyDescent="0.25">
      <c r="A262" s="214"/>
      <c r="C262" s="215"/>
      <c r="D262" s="216"/>
      <c r="E262" s="216"/>
      <c r="F262" s="217"/>
      <c r="G262" s="216"/>
      <c r="H262" s="216"/>
      <c r="I262" s="217"/>
      <c r="J262" s="217"/>
    </row>
    <row r="263" spans="1:10" x14ac:dyDescent="0.25">
      <c r="A263" s="214"/>
      <c r="C263" s="215"/>
      <c r="D263" s="216"/>
      <c r="E263" s="216"/>
      <c r="F263" s="217"/>
      <c r="G263" s="216"/>
      <c r="H263" s="216"/>
      <c r="I263" s="217"/>
      <c r="J263" s="217"/>
    </row>
    <row r="264" spans="1:10" x14ac:dyDescent="0.25">
      <c r="A264" s="214"/>
      <c r="C264" s="215"/>
      <c r="D264" s="216"/>
      <c r="E264" s="216"/>
      <c r="F264" s="217"/>
      <c r="G264" s="216"/>
      <c r="H264" s="216"/>
      <c r="I264" s="217"/>
      <c r="J264" s="217"/>
    </row>
    <row r="265" spans="1:10" x14ac:dyDescent="0.25">
      <c r="A265" s="214"/>
      <c r="C265" s="215"/>
      <c r="D265" s="216"/>
      <c r="E265" s="216"/>
      <c r="F265" s="217"/>
      <c r="G265" s="216"/>
      <c r="H265" s="216"/>
      <c r="I265" s="217"/>
      <c r="J265" s="217"/>
    </row>
    <row r="266" spans="1:10" x14ac:dyDescent="0.25">
      <c r="A266" s="214"/>
      <c r="C266" s="215"/>
      <c r="D266" s="216"/>
      <c r="E266" s="216"/>
      <c r="F266" s="217"/>
      <c r="G266" s="216"/>
      <c r="H266" s="216"/>
      <c r="I266" s="217"/>
      <c r="J266" s="217"/>
    </row>
    <row r="267" spans="1:10" x14ac:dyDescent="0.25">
      <c r="A267" s="214"/>
      <c r="C267" s="215"/>
      <c r="D267" s="216"/>
      <c r="E267" s="216"/>
      <c r="F267" s="217"/>
      <c r="G267" s="216"/>
      <c r="H267" s="216"/>
      <c r="I267" s="217"/>
      <c r="J267" s="217"/>
    </row>
    <row r="268" spans="1:10" x14ac:dyDescent="0.25">
      <c r="A268" s="214"/>
      <c r="C268" s="215"/>
      <c r="D268" s="216"/>
      <c r="E268" s="216"/>
      <c r="F268" s="217"/>
      <c r="G268" s="216"/>
      <c r="H268" s="216"/>
      <c r="I268" s="217"/>
      <c r="J268" s="217"/>
    </row>
    <row r="269" spans="1:10" x14ac:dyDescent="0.25">
      <c r="A269" s="214"/>
      <c r="C269" s="215"/>
      <c r="D269" s="216"/>
      <c r="E269" s="216"/>
      <c r="F269" s="217"/>
      <c r="G269" s="216"/>
      <c r="H269" s="216"/>
      <c r="I269" s="217"/>
      <c r="J269" s="217"/>
    </row>
    <row r="270" spans="1:10" x14ac:dyDescent="0.25">
      <c r="A270" s="214"/>
      <c r="C270" s="215"/>
      <c r="D270" s="216"/>
      <c r="E270" s="216"/>
      <c r="F270" s="217"/>
      <c r="G270" s="216"/>
      <c r="H270" s="216"/>
      <c r="I270" s="217"/>
      <c r="J270" s="217"/>
    </row>
    <row r="271" spans="1:10" x14ac:dyDescent="0.25">
      <c r="A271" s="214"/>
      <c r="C271" s="215"/>
      <c r="D271" s="216"/>
      <c r="E271" s="216"/>
      <c r="F271" s="217"/>
      <c r="G271" s="216"/>
      <c r="H271" s="216"/>
      <c r="I271" s="217"/>
      <c r="J271" s="217"/>
    </row>
    <row r="272" spans="1:10" x14ac:dyDescent="0.25">
      <c r="A272" s="214"/>
      <c r="C272" s="215"/>
      <c r="D272" s="216"/>
      <c r="E272" s="216"/>
      <c r="F272" s="217"/>
      <c r="G272" s="216"/>
      <c r="H272" s="216"/>
      <c r="I272" s="217"/>
      <c r="J272" s="217"/>
    </row>
    <row r="273" spans="1:10" x14ac:dyDescent="0.25">
      <c r="A273" s="214"/>
      <c r="C273" s="215"/>
      <c r="D273" s="216"/>
      <c r="E273" s="216"/>
      <c r="F273" s="217"/>
      <c r="G273" s="216"/>
      <c r="H273" s="216"/>
      <c r="I273" s="217"/>
      <c r="J273" s="217"/>
    </row>
    <row r="274" spans="1:10" x14ac:dyDescent="0.25">
      <c r="A274" s="214"/>
      <c r="C274" s="215"/>
      <c r="D274" s="216"/>
      <c r="E274" s="216"/>
      <c r="F274" s="217"/>
      <c r="G274" s="216"/>
      <c r="H274" s="216"/>
      <c r="I274" s="217"/>
      <c r="J274" s="217"/>
    </row>
    <row r="275" spans="1:10" x14ac:dyDescent="0.25">
      <c r="A275" s="214"/>
      <c r="C275" s="215"/>
      <c r="D275" s="216"/>
      <c r="E275" s="216"/>
      <c r="F275" s="217"/>
      <c r="G275" s="216"/>
      <c r="H275" s="216"/>
      <c r="I275" s="217"/>
      <c r="J275" s="217"/>
    </row>
    <row r="276" spans="1:10" x14ac:dyDescent="0.25">
      <c r="A276" s="214"/>
      <c r="C276" s="215"/>
      <c r="D276" s="216"/>
      <c r="E276" s="216"/>
      <c r="F276" s="217"/>
      <c r="G276" s="216"/>
      <c r="H276" s="216"/>
      <c r="I276" s="217"/>
      <c r="J276" s="217"/>
    </row>
    <row r="277" spans="1:10" x14ac:dyDescent="0.25">
      <c r="A277" s="214"/>
      <c r="C277" s="215"/>
      <c r="D277" s="216"/>
      <c r="E277" s="216"/>
      <c r="F277" s="217"/>
      <c r="G277" s="216"/>
      <c r="H277" s="216"/>
      <c r="I277" s="217"/>
      <c r="J277" s="217"/>
    </row>
    <row r="278" spans="1:10" x14ac:dyDescent="0.25">
      <c r="A278" s="214"/>
      <c r="C278" s="215"/>
      <c r="D278" s="216"/>
      <c r="E278" s="216"/>
      <c r="F278" s="217"/>
      <c r="G278" s="216"/>
      <c r="H278" s="216"/>
      <c r="I278" s="217"/>
      <c r="J278" s="217"/>
    </row>
    <row r="279" spans="1:10" x14ac:dyDescent="0.25">
      <c r="A279" s="214"/>
      <c r="C279" s="215"/>
      <c r="D279" s="216"/>
      <c r="E279" s="216"/>
      <c r="F279" s="217"/>
      <c r="G279" s="216"/>
      <c r="H279" s="216"/>
      <c r="I279" s="217"/>
      <c r="J279" s="217"/>
    </row>
    <row r="280" spans="1:10" x14ac:dyDescent="0.25">
      <c r="A280" s="214"/>
      <c r="C280" s="215"/>
      <c r="D280" s="216"/>
      <c r="E280" s="216"/>
      <c r="F280" s="217"/>
      <c r="G280" s="216"/>
      <c r="H280" s="216"/>
      <c r="I280" s="217"/>
      <c r="J280" s="217"/>
    </row>
    <row r="281" spans="1:10" x14ac:dyDescent="0.25">
      <c r="A281" s="214"/>
      <c r="C281" s="215"/>
      <c r="D281" s="216"/>
      <c r="E281" s="216"/>
      <c r="F281" s="217"/>
      <c r="G281" s="216"/>
      <c r="H281" s="216"/>
      <c r="I281" s="217"/>
      <c r="J281" s="217"/>
    </row>
    <row r="282" spans="1:10" x14ac:dyDescent="0.25">
      <c r="A282" s="214"/>
      <c r="C282" s="215"/>
      <c r="D282" s="216"/>
      <c r="E282" s="216"/>
      <c r="F282" s="217"/>
      <c r="G282" s="216"/>
      <c r="H282" s="216"/>
      <c r="I282" s="217"/>
      <c r="J282" s="217"/>
    </row>
    <row r="283" spans="1:10" x14ac:dyDescent="0.25">
      <c r="A283" s="214"/>
      <c r="C283" s="215"/>
      <c r="D283" s="216"/>
      <c r="E283" s="216"/>
      <c r="F283" s="217"/>
      <c r="G283" s="216"/>
      <c r="H283" s="216"/>
      <c r="I283" s="217"/>
      <c r="J283" s="217"/>
    </row>
    <row r="284" spans="1:10" x14ac:dyDescent="0.25">
      <c r="A284" s="214"/>
      <c r="C284" s="215"/>
      <c r="D284" s="216"/>
      <c r="E284" s="216"/>
      <c r="F284" s="217"/>
      <c r="G284" s="216"/>
      <c r="H284" s="216"/>
      <c r="I284" s="217"/>
      <c r="J284" s="217"/>
    </row>
    <row r="285" spans="1:10" x14ac:dyDescent="0.25">
      <c r="A285" s="214"/>
      <c r="C285" s="215"/>
      <c r="D285" s="216"/>
      <c r="E285" s="216"/>
      <c r="F285" s="217"/>
      <c r="G285" s="216"/>
      <c r="H285" s="216"/>
      <c r="I285" s="217"/>
      <c r="J285" s="217"/>
    </row>
    <row r="286" spans="1:10" x14ac:dyDescent="0.25">
      <c r="A286" s="214"/>
      <c r="C286" s="215"/>
      <c r="D286" s="216"/>
      <c r="E286" s="216"/>
      <c r="F286" s="217"/>
      <c r="G286" s="216"/>
      <c r="H286" s="216"/>
      <c r="I286" s="217"/>
      <c r="J286" s="217"/>
    </row>
    <row r="287" spans="1:10" x14ac:dyDescent="0.25">
      <c r="A287" s="214"/>
      <c r="C287" s="215"/>
      <c r="D287" s="216"/>
      <c r="E287" s="216"/>
      <c r="F287" s="217"/>
      <c r="G287" s="216"/>
      <c r="H287" s="216"/>
      <c r="I287" s="217"/>
      <c r="J287" s="217"/>
    </row>
    <row r="288" spans="1:10" x14ac:dyDescent="0.25">
      <c r="A288" s="214"/>
      <c r="C288" s="215"/>
      <c r="D288" s="216"/>
      <c r="E288" s="216"/>
      <c r="F288" s="217"/>
      <c r="G288" s="216"/>
      <c r="H288" s="216"/>
      <c r="I288" s="217"/>
      <c r="J288" s="217"/>
    </row>
    <row r="289" spans="1:10" x14ac:dyDescent="0.25">
      <c r="A289" s="214"/>
      <c r="C289" s="215"/>
      <c r="D289" s="216"/>
      <c r="E289" s="216"/>
      <c r="F289" s="217"/>
      <c r="G289" s="216"/>
      <c r="H289" s="216"/>
      <c r="I289" s="217"/>
      <c r="J289" s="217"/>
    </row>
    <row r="290" spans="1:10" x14ac:dyDescent="0.25">
      <c r="A290" s="214"/>
      <c r="C290" s="215"/>
      <c r="D290" s="216"/>
      <c r="E290" s="216"/>
      <c r="F290" s="217"/>
      <c r="G290" s="216"/>
      <c r="H290" s="216"/>
      <c r="I290" s="217"/>
      <c r="J290" s="217"/>
    </row>
    <row r="291" spans="1:10" x14ac:dyDescent="0.25">
      <c r="A291" s="214"/>
      <c r="C291" s="215"/>
      <c r="D291" s="216"/>
      <c r="E291" s="216"/>
      <c r="F291" s="217"/>
      <c r="G291" s="216"/>
      <c r="H291" s="216"/>
      <c r="I291" s="217"/>
      <c r="J291" s="217"/>
    </row>
    <row r="292" spans="1:10" x14ac:dyDescent="0.25">
      <c r="A292" s="214"/>
      <c r="C292" s="215"/>
      <c r="D292" s="216"/>
      <c r="E292" s="216"/>
      <c r="F292" s="217"/>
      <c r="G292" s="216"/>
      <c r="H292" s="216"/>
      <c r="I292" s="217"/>
      <c r="J292" s="217"/>
    </row>
    <row r="293" spans="1:10" x14ac:dyDescent="0.25">
      <c r="A293" s="214"/>
      <c r="C293" s="215"/>
      <c r="D293" s="216"/>
      <c r="E293" s="216"/>
      <c r="F293" s="217"/>
      <c r="G293" s="216"/>
      <c r="H293" s="216"/>
      <c r="I293" s="217"/>
      <c r="J293" s="217"/>
    </row>
    <row r="294" spans="1:10" x14ac:dyDescent="0.25">
      <c r="A294" s="214"/>
      <c r="C294" s="215"/>
      <c r="D294" s="216"/>
      <c r="E294" s="216"/>
      <c r="F294" s="217"/>
      <c r="G294" s="216"/>
      <c r="H294" s="216"/>
      <c r="I294" s="217"/>
      <c r="J294" s="217"/>
    </row>
    <row r="295" spans="1:10" x14ac:dyDescent="0.25">
      <c r="A295" s="214"/>
      <c r="C295" s="215"/>
      <c r="D295" s="216"/>
      <c r="E295" s="216"/>
      <c r="F295" s="217"/>
      <c r="G295" s="216"/>
      <c r="H295" s="216"/>
      <c r="I295" s="217"/>
      <c r="J295" s="217"/>
    </row>
    <row r="296" spans="1:10" x14ac:dyDescent="0.25">
      <c r="A296" s="214"/>
      <c r="C296" s="215"/>
      <c r="D296" s="216"/>
      <c r="E296" s="216"/>
      <c r="F296" s="217"/>
      <c r="G296" s="216"/>
      <c r="H296" s="216"/>
      <c r="I296" s="217"/>
      <c r="J296" s="217"/>
    </row>
    <row r="297" spans="1:10" x14ac:dyDescent="0.25">
      <c r="A297" s="214"/>
      <c r="C297" s="215"/>
      <c r="D297" s="216"/>
      <c r="E297" s="216"/>
      <c r="F297" s="217"/>
      <c r="G297" s="216"/>
      <c r="H297" s="216"/>
      <c r="I297" s="217"/>
      <c r="J297" s="217"/>
    </row>
    <row r="298" spans="1:10" x14ac:dyDescent="0.25">
      <c r="A298" s="214"/>
      <c r="C298" s="215"/>
      <c r="D298" s="216"/>
      <c r="E298" s="216"/>
      <c r="F298" s="217"/>
      <c r="G298" s="216"/>
      <c r="H298" s="216"/>
      <c r="I298" s="217"/>
      <c r="J298" s="217"/>
    </row>
    <row r="299" spans="1:10" x14ac:dyDescent="0.25">
      <c r="A299" s="214"/>
      <c r="C299" s="215"/>
      <c r="D299" s="216"/>
      <c r="E299" s="216"/>
      <c r="F299" s="217"/>
      <c r="G299" s="216"/>
      <c r="H299" s="216"/>
      <c r="I299" s="217"/>
      <c r="J299" s="217"/>
    </row>
    <row r="300" spans="1:10" x14ac:dyDescent="0.25">
      <c r="A300" s="214"/>
      <c r="C300" s="215"/>
      <c r="D300" s="216"/>
      <c r="E300" s="216"/>
      <c r="F300" s="217"/>
      <c r="G300" s="216"/>
      <c r="H300" s="216"/>
      <c r="I300" s="217"/>
      <c r="J300" s="217"/>
    </row>
    <row r="301" spans="1:10" x14ac:dyDescent="0.25">
      <c r="A301" s="214"/>
      <c r="C301" s="215"/>
      <c r="D301" s="216"/>
      <c r="E301" s="216"/>
      <c r="F301" s="217"/>
      <c r="G301" s="216"/>
      <c r="H301" s="216"/>
      <c r="I301" s="217"/>
      <c r="J301" s="217"/>
    </row>
    <row r="302" spans="1:10" x14ac:dyDescent="0.25">
      <c r="A302" s="214"/>
      <c r="C302" s="215"/>
      <c r="D302" s="216"/>
      <c r="E302" s="216"/>
      <c r="F302" s="217"/>
      <c r="G302" s="216"/>
      <c r="H302" s="216"/>
      <c r="I302" s="217"/>
      <c r="J302" s="217"/>
    </row>
    <row r="303" spans="1:10" x14ac:dyDescent="0.25">
      <c r="A303" s="214"/>
      <c r="C303" s="215"/>
      <c r="D303" s="216"/>
      <c r="E303" s="216"/>
      <c r="F303" s="217"/>
      <c r="G303" s="216"/>
      <c r="H303" s="216"/>
      <c r="I303" s="217"/>
      <c r="J303" s="217"/>
    </row>
    <row r="304" spans="1:10" x14ac:dyDescent="0.25">
      <c r="A304" s="214"/>
      <c r="C304" s="215"/>
      <c r="D304" s="216"/>
      <c r="E304" s="216"/>
      <c r="F304" s="217"/>
      <c r="G304" s="216"/>
      <c r="H304" s="216"/>
      <c r="I304" s="217"/>
      <c r="J304" s="217"/>
    </row>
    <row r="305" spans="1:10" x14ac:dyDescent="0.25">
      <c r="A305" s="214"/>
      <c r="C305" s="215"/>
      <c r="D305" s="216"/>
      <c r="E305" s="216"/>
      <c r="F305" s="217"/>
      <c r="G305" s="216"/>
      <c r="H305" s="216"/>
      <c r="I305" s="217"/>
      <c r="J305" s="217"/>
    </row>
    <row r="306" spans="1:10" x14ac:dyDescent="0.25">
      <c r="A306" s="214"/>
      <c r="C306" s="215"/>
      <c r="D306" s="216"/>
      <c r="E306" s="216"/>
      <c r="F306" s="217"/>
      <c r="G306" s="216"/>
      <c r="H306" s="216"/>
      <c r="I306" s="217"/>
      <c r="J306" s="217"/>
    </row>
    <row r="307" spans="1:10" x14ac:dyDescent="0.25">
      <c r="A307" s="214"/>
      <c r="C307" s="215"/>
      <c r="D307" s="216"/>
      <c r="E307" s="216"/>
      <c r="F307" s="217"/>
      <c r="G307" s="216"/>
      <c r="H307" s="216"/>
      <c r="I307" s="217"/>
      <c r="J307" s="217"/>
    </row>
    <row r="308" spans="1:10" x14ac:dyDescent="0.25">
      <c r="A308" s="214"/>
      <c r="C308" s="215"/>
      <c r="D308" s="216"/>
      <c r="E308" s="216"/>
      <c r="F308" s="217"/>
      <c r="G308" s="216"/>
      <c r="H308" s="216"/>
      <c r="I308" s="217"/>
      <c r="J308" s="217"/>
    </row>
    <row r="309" spans="1:10" x14ac:dyDescent="0.25">
      <c r="A309" s="214"/>
      <c r="C309" s="215"/>
      <c r="D309" s="216"/>
      <c r="E309" s="216"/>
      <c r="F309" s="217"/>
      <c r="G309" s="216"/>
      <c r="H309" s="216"/>
      <c r="I309" s="217"/>
      <c r="J309" s="217"/>
    </row>
    <row r="310" spans="1:10" x14ac:dyDescent="0.25">
      <c r="A310" s="214"/>
      <c r="C310" s="215"/>
      <c r="D310" s="216"/>
      <c r="E310" s="216"/>
      <c r="F310" s="217"/>
      <c r="G310" s="216"/>
      <c r="H310" s="216"/>
      <c r="I310" s="217"/>
      <c r="J310" s="217"/>
    </row>
    <row r="311" spans="1:10" x14ac:dyDescent="0.25">
      <c r="A311" s="214"/>
      <c r="C311" s="215"/>
      <c r="D311" s="216"/>
      <c r="E311" s="216"/>
      <c r="F311" s="217"/>
      <c r="G311" s="216"/>
      <c r="H311" s="216"/>
      <c r="I311" s="217"/>
      <c r="J311" s="217"/>
    </row>
    <row r="312" spans="1:10" x14ac:dyDescent="0.25">
      <c r="A312" s="214"/>
      <c r="C312" s="215"/>
      <c r="D312" s="216"/>
      <c r="E312" s="216"/>
      <c r="F312" s="217"/>
      <c r="G312" s="216"/>
      <c r="H312" s="216"/>
      <c r="I312" s="217"/>
      <c r="J312" s="217"/>
    </row>
    <row r="313" spans="1:10" x14ac:dyDescent="0.25">
      <c r="A313" s="214"/>
      <c r="C313" s="215"/>
      <c r="D313" s="216"/>
      <c r="E313" s="216"/>
      <c r="F313" s="217"/>
      <c r="G313" s="216"/>
      <c r="H313" s="216"/>
      <c r="I313" s="217"/>
      <c r="J313" s="217"/>
    </row>
    <row r="314" spans="1:10" x14ac:dyDescent="0.25">
      <c r="A314" s="214"/>
      <c r="C314" s="215"/>
      <c r="D314" s="216"/>
      <c r="E314" s="216"/>
      <c r="F314" s="217"/>
      <c r="G314" s="216"/>
      <c r="H314" s="216"/>
      <c r="I314" s="217"/>
      <c r="J314" s="217"/>
    </row>
    <row r="315" spans="1:10" x14ac:dyDescent="0.25">
      <c r="A315" s="214"/>
      <c r="C315" s="215"/>
      <c r="D315" s="216"/>
      <c r="E315" s="216"/>
      <c r="F315" s="217"/>
      <c r="G315" s="216"/>
      <c r="H315" s="216"/>
      <c r="I315" s="217"/>
      <c r="J315" s="217"/>
    </row>
    <row r="316" spans="1:10" x14ac:dyDescent="0.25">
      <c r="A316" s="214"/>
      <c r="C316" s="215"/>
      <c r="D316" s="216"/>
      <c r="E316" s="216"/>
      <c r="F316" s="217"/>
      <c r="G316" s="216"/>
      <c r="H316" s="216"/>
      <c r="I316" s="217"/>
      <c r="J316" s="217"/>
    </row>
    <row r="317" spans="1:10" x14ac:dyDescent="0.25">
      <c r="A317" s="214"/>
      <c r="C317" s="215"/>
      <c r="D317" s="216"/>
      <c r="E317" s="216"/>
      <c r="F317" s="217"/>
      <c r="G317" s="216"/>
      <c r="H317" s="216"/>
      <c r="I317" s="217"/>
      <c r="J317" s="217"/>
    </row>
    <row r="318" spans="1:10" x14ac:dyDescent="0.25">
      <c r="A318" s="214"/>
      <c r="C318" s="215"/>
      <c r="D318" s="216"/>
      <c r="E318" s="216"/>
      <c r="F318" s="217"/>
      <c r="G318" s="216"/>
      <c r="H318" s="216"/>
      <c r="I318" s="217"/>
      <c r="J318" s="217"/>
    </row>
    <row r="319" spans="1:10" x14ac:dyDescent="0.25">
      <c r="A319" s="214"/>
      <c r="C319" s="215"/>
      <c r="D319" s="216"/>
      <c r="E319" s="216"/>
      <c r="F319" s="217"/>
      <c r="G319" s="216"/>
      <c r="H319" s="216"/>
      <c r="I319" s="217"/>
      <c r="J319" s="217"/>
    </row>
    <row r="320" spans="1:10" x14ac:dyDescent="0.25">
      <c r="A320" s="214"/>
      <c r="C320" s="215"/>
      <c r="D320" s="216"/>
      <c r="E320" s="216"/>
      <c r="F320" s="217"/>
      <c r="G320" s="216"/>
      <c r="H320" s="216"/>
      <c r="I320" s="217"/>
      <c r="J320" s="217"/>
    </row>
    <row r="321" spans="1:10" x14ac:dyDescent="0.25">
      <c r="A321" s="214"/>
      <c r="C321" s="215"/>
      <c r="D321" s="216"/>
      <c r="E321" s="216"/>
      <c r="F321" s="217"/>
      <c r="G321" s="216"/>
      <c r="H321" s="216"/>
      <c r="I321" s="217"/>
      <c r="J321" s="217"/>
    </row>
    <row r="322" spans="1:10" x14ac:dyDescent="0.25">
      <c r="A322" s="214"/>
      <c r="C322" s="215"/>
      <c r="D322" s="216"/>
      <c r="E322" s="216"/>
      <c r="F322" s="217"/>
      <c r="G322" s="216"/>
      <c r="H322" s="216"/>
      <c r="I322" s="217"/>
      <c r="J322" s="217"/>
    </row>
    <row r="323" spans="1:10" x14ac:dyDescent="0.25">
      <c r="A323" s="214"/>
      <c r="C323" s="215"/>
      <c r="D323" s="216"/>
      <c r="E323" s="216"/>
      <c r="F323" s="217"/>
      <c r="G323" s="216"/>
      <c r="H323" s="216"/>
      <c r="I323" s="217"/>
      <c r="J323" s="217"/>
    </row>
    <row r="324" spans="1:10" x14ac:dyDescent="0.25">
      <c r="A324" s="214"/>
      <c r="C324" s="215"/>
      <c r="D324" s="216"/>
      <c r="E324" s="216"/>
      <c r="F324" s="217"/>
      <c r="G324" s="216"/>
      <c r="H324" s="216"/>
      <c r="I324" s="217"/>
      <c r="J324" s="217"/>
    </row>
    <row r="325" spans="1:10" x14ac:dyDescent="0.25">
      <c r="A325" s="214"/>
      <c r="C325" s="215"/>
      <c r="D325" s="216"/>
      <c r="E325" s="216"/>
      <c r="F325" s="217"/>
      <c r="G325" s="216"/>
      <c r="H325" s="216"/>
      <c r="I325" s="217"/>
      <c r="J325" s="217"/>
    </row>
    <row r="326" spans="1:10" x14ac:dyDescent="0.25">
      <c r="A326" s="214"/>
      <c r="C326" s="215"/>
      <c r="D326" s="216"/>
      <c r="E326" s="216"/>
      <c r="F326" s="217"/>
      <c r="G326" s="216"/>
      <c r="H326" s="216"/>
      <c r="I326" s="217"/>
      <c r="J326" s="217"/>
    </row>
    <row r="327" spans="1:10" x14ac:dyDescent="0.25">
      <c r="A327" s="214"/>
      <c r="C327" s="215"/>
      <c r="D327" s="216"/>
      <c r="E327" s="216"/>
      <c r="F327" s="217"/>
      <c r="G327" s="216"/>
      <c r="H327" s="216"/>
      <c r="I327" s="217"/>
      <c r="J327" s="217"/>
    </row>
    <row r="328" spans="1:10" x14ac:dyDescent="0.25">
      <c r="A328" s="214"/>
      <c r="C328" s="215"/>
      <c r="D328" s="216"/>
      <c r="E328" s="216"/>
      <c r="F328" s="217"/>
      <c r="G328" s="216"/>
      <c r="H328" s="216"/>
      <c r="I328" s="217"/>
      <c r="J328" s="217"/>
    </row>
    <row r="329" spans="1:10" x14ac:dyDescent="0.25">
      <c r="A329" s="214"/>
      <c r="C329" s="215"/>
      <c r="D329" s="216"/>
      <c r="E329" s="216"/>
      <c r="F329" s="217"/>
      <c r="G329" s="216"/>
      <c r="H329" s="216"/>
      <c r="I329" s="217"/>
      <c r="J329" s="217"/>
    </row>
    <row r="330" spans="1:10" x14ac:dyDescent="0.25">
      <c r="A330" s="214"/>
      <c r="C330" s="215"/>
      <c r="D330" s="216"/>
      <c r="E330" s="216"/>
      <c r="F330" s="217"/>
      <c r="G330" s="216"/>
      <c r="H330" s="216"/>
      <c r="I330" s="217"/>
      <c r="J330" s="217"/>
    </row>
    <row r="331" spans="1:10" x14ac:dyDescent="0.25">
      <c r="A331" s="214"/>
      <c r="C331" s="215"/>
      <c r="D331" s="216"/>
      <c r="E331" s="216"/>
      <c r="F331" s="217"/>
      <c r="G331" s="216"/>
      <c r="H331" s="216"/>
      <c r="I331" s="217"/>
      <c r="J331" s="217"/>
    </row>
    <row r="332" spans="1:10" x14ac:dyDescent="0.25">
      <c r="A332" s="214"/>
      <c r="C332" s="215"/>
      <c r="D332" s="216"/>
      <c r="E332" s="216"/>
      <c r="F332" s="217"/>
      <c r="G332" s="216"/>
      <c r="H332" s="216"/>
      <c r="I332" s="217"/>
      <c r="J332" s="217"/>
    </row>
    <row r="333" spans="1:10" x14ac:dyDescent="0.25">
      <c r="A333" s="214"/>
      <c r="C333" s="215"/>
      <c r="D333" s="216"/>
      <c r="E333" s="216"/>
      <c r="F333" s="217"/>
      <c r="G333" s="216"/>
      <c r="H333" s="216"/>
      <c r="I333" s="217"/>
      <c r="J333" s="217"/>
    </row>
    <row r="334" spans="1:10" x14ac:dyDescent="0.25">
      <c r="A334" s="214"/>
      <c r="C334" s="215"/>
      <c r="D334" s="216"/>
      <c r="E334" s="216"/>
      <c r="F334" s="217"/>
      <c r="G334" s="216"/>
      <c r="H334" s="216"/>
      <c r="I334" s="217"/>
      <c r="J334" s="217"/>
    </row>
    <row r="335" spans="1:10" x14ac:dyDescent="0.25">
      <c r="A335" s="214"/>
      <c r="C335" s="215"/>
      <c r="D335" s="216"/>
      <c r="E335" s="216"/>
      <c r="F335" s="217"/>
      <c r="G335" s="216"/>
      <c r="H335" s="216"/>
      <c r="I335" s="217"/>
      <c r="J335" s="217"/>
    </row>
    <row r="336" spans="1:10" x14ac:dyDescent="0.25">
      <c r="A336" s="214"/>
      <c r="C336" s="215"/>
      <c r="D336" s="216"/>
      <c r="E336" s="216"/>
      <c r="F336" s="217"/>
      <c r="G336" s="216"/>
      <c r="H336" s="216"/>
      <c r="I336" s="217"/>
      <c r="J336" s="217"/>
    </row>
    <row r="337" spans="1:10" x14ac:dyDescent="0.25">
      <c r="A337" s="214"/>
      <c r="C337" s="215"/>
      <c r="D337" s="216"/>
      <c r="E337" s="216"/>
      <c r="F337" s="217"/>
      <c r="G337" s="216"/>
      <c r="H337" s="216"/>
      <c r="I337" s="217"/>
      <c r="J337" s="217"/>
    </row>
    <row r="338" spans="1:10" x14ac:dyDescent="0.25">
      <c r="A338" s="214"/>
      <c r="C338" s="215"/>
      <c r="D338" s="216"/>
      <c r="E338" s="216"/>
      <c r="F338" s="217"/>
      <c r="G338" s="216"/>
      <c r="H338" s="216"/>
      <c r="I338" s="217"/>
      <c r="J338" s="217"/>
    </row>
    <row r="339" spans="1:10" x14ac:dyDescent="0.25">
      <c r="A339" s="214"/>
      <c r="C339" s="215"/>
      <c r="D339" s="216"/>
      <c r="E339" s="216"/>
      <c r="F339" s="217"/>
      <c r="G339" s="216"/>
      <c r="H339" s="216"/>
      <c r="I339" s="217"/>
      <c r="J339" s="217"/>
    </row>
    <row r="340" spans="1:10" x14ac:dyDescent="0.25">
      <c r="A340" s="214"/>
      <c r="C340" s="215"/>
      <c r="D340" s="216"/>
      <c r="E340" s="216"/>
      <c r="F340" s="217"/>
      <c r="G340" s="216"/>
      <c r="H340" s="216"/>
      <c r="I340" s="217"/>
      <c r="J340" s="217"/>
    </row>
    <row r="341" spans="1:10" x14ac:dyDescent="0.25">
      <c r="A341" s="214"/>
      <c r="C341" s="215"/>
      <c r="D341" s="216"/>
      <c r="E341" s="216"/>
      <c r="F341" s="217"/>
      <c r="G341" s="216"/>
      <c r="H341" s="216"/>
      <c r="I341" s="217"/>
      <c r="J341" s="217"/>
    </row>
    <row r="342" spans="1:10" x14ac:dyDescent="0.25">
      <c r="A342" s="214"/>
      <c r="C342" s="215"/>
      <c r="D342" s="216"/>
      <c r="E342" s="216"/>
      <c r="F342" s="217"/>
      <c r="G342" s="216"/>
      <c r="H342" s="216"/>
      <c r="I342" s="217"/>
      <c r="J342" s="217"/>
    </row>
    <row r="343" spans="1:10" x14ac:dyDescent="0.25">
      <c r="A343" s="214"/>
      <c r="C343" s="215"/>
      <c r="D343" s="216"/>
      <c r="E343" s="216"/>
      <c r="F343" s="217"/>
      <c r="G343" s="216"/>
      <c r="H343" s="216"/>
      <c r="I343" s="217"/>
      <c r="J343" s="217"/>
    </row>
    <row r="344" spans="1:10" x14ac:dyDescent="0.25">
      <c r="A344" s="214"/>
      <c r="C344" s="215"/>
      <c r="D344" s="216"/>
      <c r="E344" s="216"/>
      <c r="F344" s="217"/>
      <c r="G344" s="216"/>
      <c r="H344" s="216"/>
      <c r="I344" s="217"/>
      <c r="J344" s="217"/>
    </row>
    <row r="345" spans="1:10" x14ac:dyDescent="0.25">
      <c r="A345" s="214"/>
      <c r="C345" s="215"/>
      <c r="D345" s="216"/>
      <c r="E345" s="216"/>
      <c r="F345" s="217"/>
      <c r="G345" s="216"/>
      <c r="H345" s="216"/>
      <c r="I345" s="217"/>
      <c r="J345" s="217"/>
    </row>
    <row r="346" spans="1:10" x14ac:dyDescent="0.25">
      <c r="A346" s="214"/>
      <c r="C346" s="215"/>
      <c r="D346" s="216"/>
      <c r="E346" s="216"/>
      <c r="F346" s="217"/>
      <c r="G346" s="216"/>
      <c r="H346" s="216"/>
      <c r="I346" s="217"/>
      <c r="J346" s="217"/>
    </row>
    <row r="347" spans="1:10" x14ac:dyDescent="0.25">
      <c r="A347" s="214"/>
      <c r="C347" s="215"/>
      <c r="D347" s="216"/>
      <c r="E347" s="216"/>
      <c r="F347" s="217"/>
      <c r="G347" s="216"/>
      <c r="H347" s="216"/>
      <c r="I347" s="217"/>
      <c r="J347" s="217"/>
    </row>
    <row r="348" spans="1:10" x14ac:dyDescent="0.25">
      <c r="A348" s="214"/>
      <c r="C348" s="215"/>
      <c r="D348" s="216"/>
      <c r="E348" s="216"/>
      <c r="F348" s="217"/>
      <c r="G348" s="216"/>
      <c r="H348" s="216"/>
      <c r="I348" s="217"/>
      <c r="J348" s="217"/>
    </row>
    <row r="349" spans="1:10" x14ac:dyDescent="0.25">
      <c r="A349" s="214"/>
      <c r="C349" s="215"/>
      <c r="D349" s="216"/>
      <c r="E349" s="216"/>
      <c r="F349" s="217"/>
      <c r="G349" s="216"/>
      <c r="H349" s="216"/>
      <c r="I349" s="217"/>
      <c r="J349" s="217"/>
    </row>
    <row r="350" spans="1:10" x14ac:dyDescent="0.25">
      <c r="A350" s="214"/>
      <c r="C350" s="215"/>
      <c r="D350" s="216"/>
      <c r="E350" s="216"/>
      <c r="F350" s="217"/>
      <c r="G350" s="216"/>
      <c r="H350" s="216"/>
      <c r="I350" s="217"/>
      <c r="J350" s="217"/>
    </row>
    <row r="351" spans="1:10" x14ac:dyDescent="0.25">
      <c r="A351" s="214"/>
      <c r="C351" s="215"/>
      <c r="D351" s="216"/>
      <c r="E351" s="216"/>
      <c r="F351" s="217"/>
      <c r="G351" s="216"/>
      <c r="H351" s="216"/>
      <c r="I351" s="217"/>
      <c r="J351" s="217"/>
    </row>
    <row r="352" spans="1:10" x14ac:dyDescent="0.25">
      <c r="A352" s="214"/>
      <c r="C352" s="215"/>
      <c r="D352" s="216"/>
      <c r="E352" s="216"/>
      <c r="F352" s="217"/>
      <c r="G352" s="216"/>
      <c r="H352" s="216"/>
      <c r="I352" s="217"/>
      <c r="J352" s="217"/>
    </row>
    <row r="353" spans="1:10" x14ac:dyDescent="0.25">
      <c r="A353" s="214"/>
      <c r="C353" s="215"/>
      <c r="D353" s="216"/>
      <c r="E353" s="216"/>
      <c r="F353" s="217"/>
      <c r="G353" s="216"/>
      <c r="H353" s="216"/>
      <c r="I353" s="217"/>
      <c r="J353" s="217"/>
    </row>
    <row r="354" spans="1:10" x14ac:dyDescent="0.25">
      <c r="A354" s="214"/>
      <c r="C354" s="215"/>
      <c r="D354" s="216"/>
      <c r="E354" s="216"/>
      <c r="F354" s="217"/>
      <c r="G354" s="216"/>
      <c r="H354" s="216"/>
      <c r="I354" s="217"/>
      <c r="J354" s="217"/>
    </row>
    <row r="355" spans="1:10" x14ac:dyDescent="0.25">
      <c r="A355" s="214"/>
      <c r="C355" s="215"/>
      <c r="D355" s="216"/>
      <c r="E355" s="216"/>
      <c r="F355" s="217"/>
      <c r="G355" s="216"/>
      <c r="H355" s="216"/>
      <c r="I355" s="217"/>
      <c r="J355" s="217"/>
    </row>
    <row r="356" spans="1:10" x14ac:dyDescent="0.25">
      <c r="A356" s="214"/>
      <c r="C356" s="215"/>
      <c r="D356" s="216"/>
      <c r="E356" s="216"/>
      <c r="F356" s="217"/>
      <c r="G356" s="216"/>
      <c r="H356" s="216"/>
      <c r="I356" s="217"/>
      <c r="J356" s="217"/>
    </row>
    <row r="357" spans="1:10" x14ac:dyDescent="0.25">
      <c r="A357" s="214"/>
      <c r="C357" s="215"/>
      <c r="D357" s="216"/>
      <c r="E357" s="216"/>
      <c r="F357" s="217"/>
      <c r="G357" s="216"/>
      <c r="H357" s="216"/>
      <c r="I357" s="217"/>
      <c r="J357" s="217"/>
    </row>
    <row r="358" spans="1:10" x14ac:dyDescent="0.25">
      <c r="A358" s="214"/>
      <c r="C358" s="215"/>
      <c r="D358" s="216"/>
      <c r="E358" s="216"/>
      <c r="F358" s="217"/>
      <c r="G358" s="216"/>
      <c r="H358" s="216"/>
      <c r="I358" s="217"/>
      <c r="J358" s="217"/>
    </row>
    <row r="359" spans="1:10" x14ac:dyDescent="0.25">
      <c r="A359" s="214"/>
      <c r="C359" s="215"/>
      <c r="D359" s="216"/>
      <c r="E359" s="216"/>
      <c r="F359" s="217"/>
      <c r="G359" s="216"/>
      <c r="H359" s="216"/>
      <c r="I359" s="217"/>
      <c r="J359" s="217"/>
    </row>
    <row r="360" spans="1:10" x14ac:dyDescent="0.25">
      <c r="A360" s="214"/>
      <c r="C360" s="215"/>
      <c r="D360" s="216"/>
      <c r="E360" s="216"/>
      <c r="F360" s="217"/>
      <c r="G360" s="216"/>
      <c r="H360" s="216"/>
      <c r="I360" s="217"/>
      <c r="J360" s="217"/>
    </row>
    <row r="361" spans="1:10" x14ac:dyDescent="0.25">
      <c r="A361" s="214"/>
      <c r="C361" s="215"/>
      <c r="D361" s="216"/>
      <c r="E361" s="216"/>
      <c r="F361" s="217"/>
      <c r="G361" s="216"/>
      <c r="H361" s="216"/>
      <c r="I361" s="217"/>
      <c r="J361" s="217"/>
    </row>
    <row r="362" spans="1:10" x14ac:dyDescent="0.25">
      <c r="A362" s="214"/>
      <c r="C362" s="215"/>
      <c r="D362" s="216"/>
      <c r="E362" s="216"/>
      <c r="F362" s="217"/>
      <c r="G362" s="216"/>
      <c r="H362" s="216"/>
      <c r="I362" s="217"/>
      <c r="J362" s="217"/>
    </row>
    <row r="363" spans="1:10" x14ac:dyDescent="0.25">
      <c r="A363" s="214"/>
      <c r="C363" s="215"/>
      <c r="D363" s="216"/>
      <c r="E363" s="216"/>
      <c r="F363" s="217"/>
      <c r="G363" s="216"/>
      <c r="H363" s="216"/>
      <c r="I363" s="217"/>
      <c r="J363" s="217"/>
    </row>
    <row r="364" spans="1:10" x14ac:dyDescent="0.25">
      <c r="A364" s="214"/>
      <c r="C364" s="215"/>
      <c r="D364" s="216"/>
      <c r="E364" s="216"/>
      <c r="F364" s="217"/>
      <c r="G364" s="216"/>
      <c r="H364" s="216"/>
      <c r="I364" s="217"/>
      <c r="J364" s="217"/>
    </row>
    <row r="365" spans="1:10" x14ac:dyDescent="0.25">
      <c r="A365" s="214"/>
      <c r="C365" s="215"/>
      <c r="D365" s="216"/>
      <c r="E365" s="216"/>
      <c r="F365" s="217"/>
      <c r="G365" s="216"/>
      <c r="H365" s="216"/>
      <c r="I365" s="217"/>
      <c r="J365" s="217"/>
    </row>
    <row r="366" spans="1:10" x14ac:dyDescent="0.25">
      <c r="A366" s="214"/>
      <c r="C366" s="215"/>
      <c r="D366" s="216"/>
      <c r="E366" s="216"/>
      <c r="F366" s="217"/>
      <c r="G366" s="216"/>
      <c r="H366" s="216"/>
      <c r="I366" s="217"/>
      <c r="J366" s="217"/>
    </row>
    <row r="367" spans="1:10" x14ac:dyDescent="0.25">
      <c r="A367" s="214"/>
      <c r="C367" s="215"/>
      <c r="D367" s="216"/>
      <c r="E367" s="216"/>
      <c r="F367" s="217"/>
      <c r="G367" s="216"/>
      <c r="H367" s="216"/>
      <c r="I367" s="217"/>
      <c r="J367" s="217"/>
    </row>
    <row r="368" spans="1:10" x14ac:dyDescent="0.25">
      <c r="A368" s="214"/>
      <c r="C368" s="215"/>
      <c r="D368" s="216"/>
      <c r="E368" s="216"/>
      <c r="F368" s="217"/>
      <c r="G368" s="216"/>
      <c r="H368" s="216"/>
      <c r="I368" s="217"/>
      <c r="J368" s="217"/>
    </row>
    <row r="369" spans="1:11" x14ac:dyDescent="0.25">
      <c r="A369" s="214"/>
      <c r="C369" s="215"/>
      <c r="D369" s="216"/>
      <c r="E369" s="216"/>
      <c r="F369" s="217"/>
      <c r="G369" s="216"/>
      <c r="H369" s="216"/>
      <c r="I369" s="217"/>
      <c r="J369" s="217"/>
    </row>
    <row r="370" spans="1:11" x14ac:dyDescent="0.25">
      <c r="A370" s="214"/>
      <c r="C370" s="215"/>
      <c r="D370" s="216"/>
      <c r="E370" s="216"/>
      <c r="F370" s="217"/>
      <c r="G370" s="216"/>
      <c r="H370" s="216"/>
      <c r="I370" s="217"/>
      <c r="J370" s="217"/>
    </row>
    <row r="371" spans="1:11" x14ac:dyDescent="0.25">
      <c r="A371" s="214"/>
      <c r="C371" s="215"/>
      <c r="D371" s="216"/>
      <c r="E371" s="216"/>
      <c r="F371" s="217"/>
      <c r="G371" s="216"/>
      <c r="H371" s="216"/>
      <c r="I371" s="217"/>
      <c r="J371" s="217"/>
    </row>
    <row r="372" spans="1:11" x14ac:dyDescent="0.25">
      <c r="A372" s="214"/>
      <c r="C372" s="215"/>
      <c r="D372" s="216"/>
      <c r="E372" s="216"/>
      <c r="F372" s="217"/>
      <c r="G372" s="216"/>
      <c r="H372" s="216"/>
      <c r="I372" s="217"/>
      <c r="J372" s="217"/>
    </row>
    <row r="373" spans="1:11" x14ac:dyDescent="0.25">
      <c r="A373" s="214"/>
      <c r="C373" s="215"/>
      <c r="D373" s="216"/>
      <c r="E373" s="216"/>
      <c r="F373" s="217"/>
      <c r="G373" s="216"/>
      <c r="H373" s="216"/>
      <c r="I373" s="217"/>
      <c r="J373" s="217"/>
    </row>
    <row r="374" spans="1:11" x14ac:dyDescent="0.25">
      <c r="A374" s="214"/>
      <c r="C374" s="215"/>
      <c r="D374" s="216"/>
      <c r="E374" s="216"/>
      <c r="F374" s="217"/>
      <c r="G374" s="216"/>
      <c r="H374" s="216"/>
      <c r="I374" s="217"/>
      <c r="J374" s="217"/>
    </row>
    <row r="375" spans="1:11" x14ac:dyDescent="0.25">
      <c r="A375" s="214"/>
      <c r="C375" s="215"/>
      <c r="D375" s="216"/>
      <c r="E375" s="216"/>
      <c r="F375" s="217"/>
      <c r="G375" s="216"/>
      <c r="H375" s="216"/>
      <c r="I375" s="217"/>
      <c r="J375" s="217"/>
    </row>
    <row r="376" spans="1:11" x14ac:dyDescent="0.25">
      <c r="A376" s="214"/>
      <c r="C376" s="215"/>
      <c r="D376" s="216"/>
      <c r="E376" s="216"/>
      <c r="F376" s="217"/>
      <c r="G376" s="216"/>
      <c r="H376" s="216"/>
      <c r="I376" s="217"/>
      <c r="J376" s="217"/>
      <c r="K376" s="191"/>
    </row>
    <row r="377" spans="1:11" x14ac:dyDescent="0.25">
      <c r="A377" s="214"/>
      <c r="C377" s="215"/>
      <c r="D377" s="216"/>
      <c r="E377" s="216"/>
      <c r="F377" s="217"/>
      <c r="G377" s="216"/>
      <c r="H377" s="216"/>
      <c r="I377" s="217"/>
      <c r="J377" s="217"/>
      <c r="K377" s="191"/>
    </row>
    <row r="378" spans="1:11" x14ac:dyDescent="0.25">
      <c r="A378" s="214"/>
      <c r="C378" s="215"/>
      <c r="D378" s="216"/>
      <c r="E378" s="216"/>
      <c r="F378" s="217"/>
      <c r="G378" s="216"/>
      <c r="H378" s="216"/>
      <c r="I378" s="217"/>
      <c r="J378" s="217"/>
      <c r="K378" s="191"/>
    </row>
    <row r="379" spans="1:11" x14ac:dyDescent="0.25">
      <c r="A379" s="214"/>
      <c r="C379" s="215"/>
      <c r="D379" s="216"/>
      <c r="E379" s="216"/>
      <c r="F379" s="217"/>
      <c r="G379" s="216"/>
      <c r="H379" s="216"/>
      <c r="I379" s="217"/>
      <c r="J379" s="217"/>
      <c r="K379" s="191"/>
    </row>
    <row r="380" spans="1:11" x14ac:dyDescent="0.25">
      <c r="A380" s="214"/>
      <c r="C380" s="215"/>
      <c r="D380" s="216"/>
      <c r="E380" s="216"/>
      <c r="F380" s="217"/>
      <c r="G380" s="216"/>
      <c r="H380" s="216"/>
      <c r="I380" s="217"/>
      <c r="J380" s="217"/>
      <c r="K380" s="191"/>
    </row>
    <row r="381" spans="1:11" x14ac:dyDescent="0.25">
      <c r="A381" s="214"/>
      <c r="C381" s="215"/>
      <c r="D381" s="216"/>
      <c r="E381" s="216"/>
      <c r="F381" s="217"/>
      <c r="G381" s="216"/>
      <c r="H381" s="216"/>
      <c r="I381" s="217"/>
      <c r="J381" s="217"/>
      <c r="K381" s="191"/>
    </row>
    <row r="382" spans="1:11" x14ac:dyDescent="0.25">
      <c r="A382" s="214"/>
      <c r="C382" s="215"/>
      <c r="D382" s="216"/>
      <c r="E382" s="216"/>
      <c r="F382" s="217"/>
      <c r="G382" s="216"/>
      <c r="H382" s="216"/>
      <c r="I382" s="217"/>
      <c r="J382" s="217"/>
      <c r="K382" s="191"/>
    </row>
    <row r="383" spans="1:11" x14ac:dyDescent="0.25">
      <c r="A383" s="214"/>
      <c r="C383" s="215"/>
      <c r="D383" s="216"/>
      <c r="E383" s="216"/>
      <c r="F383" s="217"/>
      <c r="G383" s="216"/>
      <c r="H383" s="216"/>
      <c r="I383" s="217"/>
      <c r="J383" s="217"/>
      <c r="K383" s="191"/>
    </row>
    <row r="384" spans="1:11" x14ac:dyDescent="0.25">
      <c r="A384" s="214"/>
      <c r="C384" s="215"/>
      <c r="D384" s="216"/>
      <c r="E384" s="216"/>
      <c r="F384" s="217"/>
      <c r="G384" s="216"/>
      <c r="H384" s="216"/>
      <c r="I384" s="217"/>
      <c r="J384" s="217"/>
      <c r="K384" s="191"/>
    </row>
    <row r="385" spans="1:11" x14ac:dyDescent="0.25">
      <c r="A385" s="214"/>
      <c r="C385" s="215"/>
      <c r="D385" s="216"/>
      <c r="E385" s="216"/>
      <c r="F385" s="217"/>
      <c r="G385" s="216"/>
      <c r="H385" s="216"/>
      <c r="I385" s="217"/>
      <c r="J385" s="217"/>
      <c r="K385" s="191"/>
    </row>
    <row r="386" spans="1:11" x14ac:dyDescent="0.25">
      <c r="A386" s="214"/>
      <c r="C386" s="215"/>
      <c r="D386" s="216"/>
      <c r="E386" s="216"/>
      <c r="F386" s="217"/>
      <c r="G386" s="216"/>
      <c r="H386" s="216"/>
      <c r="I386" s="217"/>
      <c r="J386" s="217"/>
      <c r="K386" s="191"/>
    </row>
    <row r="387" spans="1:11" x14ac:dyDescent="0.25">
      <c r="A387" s="214"/>
      <c r="C387" s="215"/>
      <c r="D387" s="216"/>
      <c r="E387" s="216"/>
      <c r="F387" s="217"/>
      <c r="G387" s="216"/>
      <c r="H387" s="216"/>
      <c r="I387" s="217"/>
      <c r="J387" s="217"/>
      <c r="K387" s="191"/>
    </row>
    <row r="388" spans="1:11" x14ac:dyDescent="0.25">
      <c r="A388" s="214"/>
      <c r="C388" s="215"/>
      <c r="D388" s="216"/>
      <c r="E388" s="216"/>
      <c r="F388" s="217"/>
      <c r="G388" s="216"/>
      <c r="H388" s="216"/>
      <c r="I388" s="217"/>
      <c r="J388" s="217"/>
      <c r="K388" s="191"/>
    </row>
    <row r="389" spans="1:11" x14ac:dyDescent="0.25">
      <c r="A389" s="214"/>
      <c r="C389" s="215"/>
      <c r="D389" s="216"/>
      <c r="E389" s="216"/>
      <c r="F389" s="217"/>
      <c r="G389" s="216"/>
      <c r="H389" s="216"/>
      <c r="I389" s="217"/>
      <c r="J389" s="217"/>
      <c r="K389" s="191"/>
    </row>
    <row r="390" spans="1:11" x14ac:dyDescent="0.25">
      <c r="A390" s="214"/>
      <c r="C390" s="215"/>
      <c r="D390" s="216"/>
      <c r="E390" s="216"/>
      <c r="F390" s="217"/>
      <c r="G390" s="216"/>
      <c r="H390" s="216"/>
      <c r="I390" s="217"/>
      <c r="J390" s="217"/>
      <c r="K390" s="191"/>
    </row>
    <row r="391" spans="1:11" x14ac:dyDescent="0.25">
      <c r="A391" s="214"/>
      <c r="C391" s="215"/>
      <c r="D391" s="216"/>
      <c r="E391" s="216"/>
      <c r="F391" s="217"/>
      <c r="G391" s="216"/>
      <c r="H391" s="216"/>
      <c r="I391" s="217"/>
      <c r="J391" s="217"/>
      <c r="K391" s="191"/>
    </row>
    <row r="392" spans="1:11" x14ac:dyDescent="0.25">
      <c r="A392" s="214"/>
      <c r="C392" s="215"/>
      <c r="D392" s="216"/>
      <c r="E392" s="216"/>
      <c r="F392" s="217"/>
      <c r="G392" s="216"/>
      <c r="H392" s="216"/>
      <c r="I392" s="217"/>
      <c r="J392" s="217"/>
      <c r="K392" s="191"/>
    </row>
    <row r="393" spans="1:11" x14ac:dyDescent="0.25">
      <c r="A393" s="214"/>
      <c r="C393" s="215"/>
      <c r="D393" s="216"/>
      <c r="E393" s="216"/>
      <c r="F393" s="217"/>
      <c r="G393" s="216"/>
      <c r="H393" s="216"/>
      <c r="I393" s="217"/>
      <c r="J393" s="217"/>
      <c r="K393" s="191"/>
    </row>
    <row r="394" spans="1:11" x14ac:dyDescent="0.25">
      <c r="A394" s="214"/>
      <c r="C394" s="215"/>
      <c r="D394" s="216"/>
      <c r="E394" s="216"/>
      <c r="F394" s="217"/>
      <c r="G394" s="216"/>
      <c r="H394" s="216"/>
      <c r="I394" s="217"/>
      <c r="J394" s="217"/>
      <c r="K394" s="191"/>
    </row>
    <row r="395" spans="1:11" x14ac:dyDescent="0.25">
      <c r="A395" s="214"/>
      <c r="C395" s="215"/>
      <c r="D395" s="216"/>
      <c r="E395" s="216"/>
      <c r="F395" s="217"/>
      <c r="G395" s="216"/>
      <c r="H395" s="216"/>
      <c r="I395" s="217"/>
      <c r="J395" s="217"/>
      <c r="K395" s="191"/>
    </row>
    <row r="396" spans="1:11" x14ac:dyDescent="0.25">
      <c r="A396" s="214"/>
      <c r="C396" s="215"/>
      <c r="D396" s="216"/>
      <c r="E396" s="216"/>
      <c r="F396" s="217"/>
      <c r="G396" s="216"/>
      <c r="H396" s="216"/>
      <c r="I396" s="217"/>
      <c r="J396" s="217"/>
      <c r="K396" s="191"/>
    </row>
    <row r="397" spans="1:11" x14ac:dyDescent="0.25">
      <c r="A397" s="214"/>
      <c r="C397" s="215"/>
      <c r="D397" s="216"/>
      <c r="E397" s="216"/>
      <c r="F397" s="217"/>
      <c r="G397" s="216"/>
      <c r="H397" s="216"/>
      <c r="I397" s="217"/>
      <c r="J397" s="217"/>
      <c r="K397" s="191"/>
    </row>
    <row r="398" spans="1:11" x14ac:dyDescent="0.25">
      <c r="A398" s="214"/>
      <c r="C398" s="215"/>
      <c r="D398" s="216"/>
      <c r="E398" s="216"/>
      <c r="F398" s="217"/>
      <c r="G398" s="216"/>
      <c r="H398" s="216"/>
      <c r="I398" s="217"/>
      <c r="J398" s="217"/>
      <c r="K398" s="191"/>
    </row>
    <row r="399" spans="1:11" x14ac:dyDescent="0.25">
      <c r="A399" s="214"/>
      <c r="C399" s="215"/>
      <c r="D399" s="216"/>
      <c r="E399" s="216"/>
      <c r="F399" s="217"/>
      <c r="G399" s="216"/>
      <c r="H399" s="216"/>
      <c r="I399" s="217"/>
      <c r="J399" s="217"/>
      <c r="K399" s="191"/>
    </row>
    <row r="400" spans="1:11" x14ac:dyDescent="0.25">
      <c r="A400" s="214"/>
      <c r="C400" s="215"/>
      <c r="D400" s="216"/>
      <c r="E400" s="216"/>
      <c r="F400" s="217"/>
      <c r="G400" s="216"/>
      <c r="H400" s="216"/>
      <c r="I400" s="217"/>
      <c r="J400" s="217"/>
      <c r="K400" s="191"/>
    </row>
    <row r="401" spans="1:11" x14ac:dyDescent="0.25">
      <c r="A401" s="214"/>
      <c r="C401" s="215"/>
      <c r="D401" s="216"/>
      <c r="E401" s="216"/>
      <c r="F401" s="217"/>
      <c r="G401" s="216"/>
      <c r="H401" s="216"/>
      <c r="I401" s="217"/>
      <c r="J401" s="217"/>
      <c r="K401" s="191"/>
    </row>
    <row r="402" spans="1:11" x14ac:dyDescent="0.25">
      <c r="A402" s="214"/>
      <c r="C402" s="215"/>
      <c r="D402" s="216"/>
      <c r="E402" s="216"/>
      <c r="F402" s="217"/>
      <c r="G402" s="216"/>
      <c r="H402" s="216"/>
      <c r="I402" s="217"/>
      <c r="J402" s="217"/>
      <c r="K402" s="191"/>
    </row>
    <row r="403" spans="1:11" x14ac:dyDescent="0.25">
      <c r="A403" s="214"/>
      <c r="C403" s="215"/>
      <c r="D403" s="216"/>
      <c r="E403" s="216"/>
      <c r="F403" s="217"/>
      <c r="G403" s="216"/>
      <c r="H403" s="216"/>
      <c r="I403" s="217"/>
      <c r="J403" s="217"/>
      <c r="K403" s="191"/>
    </row>
    <row r="404" spans="1:11" x14ac:dyDescent="0.25">
      <c r="A404" s="214"/>
      <c r="C404" s="215"/>
      <c r="D404" s="216"/>
      <c r="E404" s="216"/>
      <c r="F404" s="217"/>
      <c r="G404" s="216"/>
      <c r="H404" s="216"/>
      <c r="I404" s="217"/>
      <c r="J404" s="217"/>
      <c r="K404" s="191"/>
    </row>
    <row r="405" spans="1:11" x14ac:dyDescent="0.25">
      <c r="A405" s="214"/>
      <c r="C405" s="215"/>
      <c r="D405" s="216"/>
      <c r="E405" s="216"/>
      <c r="F405" s="217"/>
      <c r="G405" s="216"/>
      <c r="H405" s="216"/>
      <c r="I405" s="217"/>
      <c r="J405" s="217"/>
      <c r="K405" s="191"/>
    </row>
    <row r="406" spans="1:11" x14ac:dyDescent="0.25">
      <c r="A406" s="214"/>
      <c r="C406" s="215"/>
      <c r="D406" s="216"/>
      <c r="E406" s="216"/>
      <c r="F406" s="217"/>
      <c r="G406" s="216"/>
      <c r="H406" s="216"/>
      <c r="I406" s="217"/>
      <c r="J406" s="217"/>
      <c r="K406" s="191"/>
    </row>
    <row r="407" spans="1:11" x14ac:dyDescent="0.25">
      <c r="A407" s="214"/>
      <c r="C407" s="215"/>
      <c r="D407" s="216"/>
      <c r="E407" s="216"/>
      <c r="F407" s="217"/>
      <c r="G407" s="216"/>
      <c r="H407" s="216"/>
      <c r="I407" s="217"/>
      <c r="J407" s="217"/>
      <c r="K407" s="191"/>
    </row>
    <row r="408" spans="1:11" x14ac:dyDescent="0.25">
      <c r="A408" s="214"/>
      <c r="C408" s="215"/>
      <c r="D408" s="216"/>
      <c r="E408" s="216"/>
      <c r="F408" s="217"/>
      <c r="G408" s="216"/>
      <c r="H408" s="216"/>
      <c r="I408" s="217"/>
      <c r="J408" s="217"/>
      <c r="K408" s="191"/>
    </row>
    <row r="409" spans="1:11" x14ac:dyDescent="0.25">
      <c r="A409" s="214"/>
      <c r="C409" s="215"/>
      <c r="D409" s="216"/>
      <c r="E409" s="216"/>
      <c r="F409" s="217"/>
      <c r="G409" s="216"/>
      <c r="H409" s="216"/>
      <c r="I409" s="217"/>
      <c r="J409" s="217"/>
      <c r="K409" s="191"/>
    </row>
    <row r="410" spans="1:11" x14ac:dyDescent="0.25">
      <c r="A410" s="214"/>
      <c r="C410" s="215"/>
      <c r="D410" s="216"/>
      <c r="E410" s="216"/>
      <c r="F410" s="217"/>
      <c r="G410" s="216"/>
      <c r="H410" s="216"/>
      <c r="I410" s="217"/>
      <c r="J410" s="217"/>
      <c r="K410" s="191"/>
    </row>
    <row r="411" spans="1:11" x14ac:dyDescent="0.25">
      <c r="A411" s="214"/>
      <c r="C411" s="215"/>
      <c r="D411" s="216"/>
      <c r="E411" s="216"/>
      <c r="F411" s="217"/>
      <c r="G411" s="216"/>
      <c r="H411" s="216"/>
      <c r="I411" s="217"/>
      <c r="J411" s="217"/>
      <c r="K411" s="191"/>
    </row>
    <row r="412" spans="1:11" x14ac:dyDescent="0.25">
      <c r="A412" s="214"/>
      <c r="C412" s="215"/>
      <c r="D412" s="216"/>
      <c r="E412" s="216"/>
      <c r="F412" s="217"/>
      <c r="G412" s="216"/>
      <c r="H412" s="216"/>
      <c r="I412" s="217"/>
      <c r="J412" s="217"/>
      <c r="K412" s="191"/>
    </row>
    <row r="413" spans="1:11" x14ac:dyDescent="0.25">
      <c r="A413" s="214"/>
      <c r="C413" s="215"/>
      <c r="D413" s="216"/>
      <c r="E413" s="216"/>
      <c r="F413" s="217"/>
      <c r="G413" s="216"/>
      <c r="H413" s="216"/>
      <c r="I413" s="217"/>
      <c r="J413" s="217"/>
      <c r="K413" s="191"/>
    </row>
    <row r="414" spans="1:11" x14ac:dyDescent="0.25">
      <c r="A414" s="214"/>
      <c r="C414" s="215"/>
      <c r="D414" s="216"/>
      <c r="E414" s="216"/>
      <c r="F414" s="217"/>
      <c r="G414" s="216"/>
      <c r="H414" s="216"/>
      <c r="I414" s="217"/>
      <c r="J414" s="217"/>
      <c r="K414" s="191"/>
    </row>
    <row r="415" spans="1:11" x14ac:dyDescent="0.25">
      <c r="A415" s="214"/>
      <c r="C415" s="215"/>
      <c r="D415" s="216"/>
      <c r="E415" s="216"/>
      <c r="F415" s="217"/>
      <c r="G415" s="216"/>
      <c r="H415" s="216"/>
      <c r="I415" s="217"/>
      <c r="J415" s="217"/>
      <c r="K415" s="191"/>
    </row>
    <row r="416" spans="1:11" x14ac:dyDescent="0.25">
      <c r="A416" s="214"/>
      <c r="C416" s="215"/>
      <c r="D416" s="216"/>
      <c r="E416" s="216"/>
      <c r="F416" s="217"/>
      <c r="G416" s="216"/>
      <c r="H416" s="216"/>
      <c r="I416" s="217"/>
      <c r="J416" s="217"/>
      <c r="K416" s="191"/>
    </row>
    <row r="417" spans="1:11" x14ac:dyDescent="0.25">
      <c r="A417" s="214"/>
      <c r="C417" s="215"/>
      <c r="D417" s="216"/>
      <c r="E417" s="216"/>
      <c r="F417" s="217"/>
      <c r="G417" s="216"/>
      <c r="H417" s="216"/>
      <c r="I417" s="217"/>
      <c r="J417" s="217"/>
      <c r="K417" s="191"/>
    </row>
    <row r="418" spans="1:11" x14ac:dyDescent="0.25">
      <c r="A418" s="214"/>
      <c r="C418" s="215"/>
      <c r="D418" s="216"/>
      <c r="E418" s="216"/>
      <c r="F418" s="217"/>
      <c r="G418" s="216"/>
      <c r="H418" s="216"/>
      <c r="I418" s="217"/>
      <c r="J418" s="217"/>
      <c r="K418" s="191"/>
    </row>
    <row r="419" spans="1:11" x14ac:dyDescent="0.25">
      <c r="A419" s="214"/>
      <c r="C419" s="215"/>
      <c r="D419" s="216"/>
      <c r="E419" s="216"/>
      <c r="F419" s="217"/>
      <c r="G419" s="216"/>
      <c r="H419" s="216"/>
      <c r="I419" s="217"/>
      <c r="J419" s="217"/>
      <c r="K419" s="191"/>
    </row>
    <row r="420" spans="1:11" x14ac:dyDescent="0.25">
      <c r="A420" s="214"/>
      <c r="C420" s="215"/>
      <c r="D420" s="216"/>
      <c r="E420" s="216"/>
      <c r="F420" s="217"/>
      <c r="G420" s="216"/>
      <c r="H420" s="216"/>
      <c r="I420" s="217"/>
      <c r="J420" s="217"/>
      <c r="K420" s="191"/>
    </row>
    <row r="421" spans="1:11" x14ac:dyDescent="0.25">
      <c r="A421" s="214"/>
      <c r="C421" s="215"/>
      <c r="D421" s="216"/>
      <c r="E421" s="216"/>
      <c r="F421" s="217"/>
      <c r="G421" s="216"/>
      <c r="H421" s="216"/>
      <c r="I421" s="217"/>
      <c r="J421" s="217"/>
      <c r="K421" s="191"/>
    </row>
    <row r="422" spans="1:11" x14ac:dyDescent="0.25">
      <c r="A422" s="214"/>
      <c r="C422" s="215"/>
      <c r="D422" s="216"/>
      <c r="E422" s="216"/>
      <c r="F422" s="217"/>
      <c r="G422" s="216"/>
      <c r="H422" s="216"/>
      <c r="I422" s="217"/>
      <c r="J422" s="217"/>
      <c r="K422" s="191"/>
    </row>
    <row r="423" spans="1:11" x14ac:dyDescent="0.25">
      <c r="A423" s="214"/>
      <c r="C423" s="215"/>
      <c r="D423" s="216"/>
      <c r="E423" s="216"/>
      <c r="F423" s="217"/>
      <c r="G423" s="216"/>
      <c r="H423" s="216"/>
      <c r="I423" s="217"/>
      <c r="J423" s="217"/>
      <c r="K423" s="191"/>
    </row>
    <row r="424" spans="1:11" x14ac:dyDescent="0.25">
      <c r="A424" s="214"/>
      <c r="C424" s="215"/>
      <c r="D424" s="216"/>
      <c r="E424" s="216"/>
      <c r="F424" s="217"/>
      <c r="G424" s="216"/>
      <c r="H424" s="216"/>
      <c r="I424" s="217"/>
      <c r="J424" s="217"/>
      <c r="K424" s="191"/>
    </row>
    <row r="425" spans="1:11" x14ac:dyDescent="0.25">
      <c r="A425" s="214"/>
      <c r="C425" s="215"/>
      <c r="D425" s="216"/>
      <c r="E425" s="216"/>
      <c r="F425" s="217"/>
      <c r="G425" s="216"/>
      <c r="H425" s="216"/>
      <c r="I425" s="217"/>
      <c r="J425" s="217"/>
      <c r="K425" s="191"/>
    </row>
    <row r="426" spans="1:11" x14ac:dyDescent="0.25">
      <c r="A426" s="214"/>
      <c r="C426" s="215"/>
      <c r="D426" s="216"/>
      <c r="E426" s="216"/>
      <c r="F426" s="217"/>
      <c r="G426" s="216"/>
      <c r="H426" s="216"/>
      <c r="I426" s="217"/>
      <c r="J426" s="217"/>
      <c r="K426" s="191"/>
    </row>
    <row r="427" spans="1:11" x14ac:dyDescent="0.25">
      <c r="A427" s="214"/>
      <c r="C427" s="215"/>
      <c r="D427" s="216"/>
      <c r="E427" s="216"/>
      <c r="F427" s="217"/>
      <c r="G427" s="216"/>
      <c r="H427" s="216"/>
      <c r="I427" s="217"/>
      <c r="J427" s="217"/>
      <c r="K427" s="191"/>
    </row>
    <row r="428" spans="1:11" x14ac:dyDescent="0.25">
      <c r="A428" s="214"/>
      <c r="C428" s="215"/>
      <c r="D428" s="216"/>
      <c r="E428" s="216"/>
      <c r="F428" s="217"/>
      <c r="G428" s="216"/>
      <c r="H428" s="216"/>
      <c r="I428" s="217"/>
      <c r="J428" s="217"/>
      <c r="K428" s="191"/>
    </row>
    <row r="429" spans="1:11" x14ac:dyDescent="0.25">
      <c r="A429" s="214"/>
      <c r="C429" s="215"/>
      <c r="D429" s="216"/>
      <c r="E429" s="216"/>
      <c r="F429" s="217"/>
      <c r="G429" s="216"/>
      <c r="H429" s="216"/>
      <c r="I429" s="217"/>
      <c r="J429" s="217"/>
      <c r="K429" s="191"/>
    </row>
    <row r="430" spans="1:11" x14ac:dyDescent="0.25">
      <c r="A430" s="214"/>
      <c r="C430" s="215"/>
      <c r="D430" s="216"/>
      <c r="E430" s="216"/>
      <c r="F430" s="217"/>
      <c r="G430" s="216"/>
      <c r="H430" s="216"/>
      <c r="I430" s="217"/>
      <c r="J430" s="217"/>
      <c r="K430" s="191"/>
    </row>
    <row r="431" spans="1:11" x14ac:dyDescent="0.25">
      <c r="A431" s="214"/>
      <c r="C431" s="215"/>
      <c r="D431" s="216"/>
      <c r="E431" s="216"/>
      <c r="F431" s="217"/>
      <c r="G431" s="216"/>
      <c r="H431" s="216"/>
      <c r="I431" s="217"/>
      <c r="J431" s="217"/>
      <c r="K431" s="191"/>
    </row>
    <row r="432" spans="1:11" x14ac:dyDescent="0.25">
      <c r="A432" s="214"/>
      <c r="C432" s="215"/>
      <c r="D432" s="216"/>
      <c r="E432" s="216"/>
      <c r="F432" s="217"/>
      <c r="G432" s="216"/>
      <c r="H432" s="216"/>
      <c r="I432" s="217"/>
      <c r="J432" s="217"/>
      <c r="K432" s="191"/>
    </row>
    <row r="433" spans="1:11" x14ac:dyDescent="0.25">
      <c r="A433" s="214"/>
      <c r="C433" s="215"/>
      <c r="D433" s="216"/>
      <c r="E433" s="216"/>
      <c r="F433" s="217"/>
      <c r="G433" s="216"/>
      <c r="H433" s="216"/>
      <c r="I433" s="217"/>
      <c r="J433" s="217"/>
      <c r="K433" s="191"/>
    </row>
    <row r="434" spans="1:11" x14ac:dyDescent="0.25">
      <c r="A434" s="214"/>
      <c r="C434" s="215"/>
      <c r="D434" s="216"/>
      <c r="E434" s="216"/>
      <c r="F434" s="217"/>
      <c r="G434" s="216"/>
      <c r="H434" s="216"/>
      <c r="I434" s="217"/>
      <c r="J434" s="217"/>
      <c r="K434" s="191"/>
    </row>
    <row r="435" spans="1:11" x14ac:dyDescent="0.25">
      <c r="A435" s="214"/>
      <c r="C435" s="215"/>
      <c r="D435" s="216"/>
      <c r="E435" s="216"/>
      <c r="F435" s="217"/>
      <c r="G435" s="216"/>
      <c r="H435" s="216"/>
      <c r="I435" s="217"/>
      <c r="J435" s="217"/>
      <c r="K435" s="191"/>
    </row>
    <row r="436" spans="1:11" x14ac:dyDescent="0.25">
      <c r="A436" s="214"/>
      <c r="C436" s="215"/>
      <c r="D436" s="216"/>
      <c r="E436" s="216"/>
      <c r="F436" s="217"/>
      <c r="G436" s="216"/>
      <c r="H436" s="216"/>
      <c r="I436" s="217"/>
      <c r="J436" s="217"/>
      <c r="K436" s="191"/>
    </row>
    <row r="437" spans="1:11" x14ac:dyDescent="0.25">
      <c r="A437" s="214"/>
      <c r="C437" s="215"/>
      <c r="D437" s="216"/>
      <c r="E437" s="216"/>
      <c r="F437" s="217"/>
      <c r="G437" s="216"/>
      <c r="H437" s="216"/>
      <c r="I437" s="217"/>
      <c r="J437" s="217"/>
      <c r="K437" s="191"/>
    </row>
    <row r="438" spans="1:11" x14ac:dyDescent="0.25">
      <c r="A438" s="214"/>
      <c r="C438" s="215"/>
      <c r="D438" s="216"/>
      <c r="E438" s="216"/>
      <c r="F438" s="217"/>
      <c r="G438" s="216"/>
      <c r="H438" s="216"/>
      <c r="I438" s="217"/>
      <c r="J438" s="217"/>
      <c r="K438" s="191"/>
    </row>
    <row r="439" spans="1:11" x14ac:dyDescent="0.25">
      <c r="A439" s="214"/>
      <c r="C439" s="215"/>
      <c r="D439" s="216"/>
      <c r="E439" s="216"/>
      <c r="F439" s="217"/>
      <c r="G439" s="216"/>
      <c r="H439" s="216"/>
      <c r="I439" s="217"/>
      <c r="J439" s="217"/>
      <c r="K439" s="191"/>
    </row>
    <row r="440" spans="1:11" x14ac:dyDescent="0.25">
      <c r="A440" s="214"/>
      <c r="C440" s="215"/>
      <c r="D440" s="216"/>
      <c r="E440" s="216"/>
      <c r="F440" s="217"/>
      <c r="G440" s="216"/>
      <c r="H440" s="216"/>
      <c r="I440" s="217"/>
      <c r="J440" s="217"/>
      <c r="K440" s="191"/>
    </row>
    <row r="441" spans="1:11" x14ac:dyDescent="0.25">
      <c r="A441" s="214"/>
      <c r="C441" s="215"/>
      <c r="D441" s="216"/>
      <c r="E441" s="216"/>
      <c r="F441" s="217"/>
      <c r="G441" s="216"/>
      <c r="H441" s="216"/>
      <c r="I441" s="217"/>
      <c r="J441" s="217"/>
      <c r="K441" s="191"/>
    </row>
    <row r="442" spans="1:11" x14ac:dyDescent="0.25">
      <c r="A442" s="214"/>
      <c r="C442" s="215"/>
      <c r="D442" s="216"/>
      <c r="E442" s="216"/>
      <c r="F442" s="217"/>
      <c r="G442" s="216"/>
      <c r="H442" s="216"/>
      <c r="I442" s="217"/>
      <c r="J442" s="217"/>
      <c r="K442" s="191"/>
    </row>
    <row r="443" spans="1:11" x14ac:dyDescent="0.25">
      <c r="A443" s="214"/>
      <c r="C443" s="215"/>
      <c r="D443" s="216"/>
      <c r="E443" s="216"/>
      <c r="F443" s="217"/>
      <c r="G443" s="216"/>
      <c r="H443" s="216"/>
      <c r="I443" s="217"/>
      <c r="J443" s="217"/>
      <c r="K443" s="191"/>
    </row>
    <row r="444" spans="1:11" x14ac:dyDescent="0.25">
      <c r="A444" s="214"/>
      <c r="C444" s="215"/>
      <c r="D444" s="216"/>
      <c r="E444" s="216"/>
      <c r="F444" s="217"/>
      <c r="G444" s="216"/>
      <c r="H444" s="216"/>
      <c r="I444" s="217"/>
      <c r="J444" s="217"/>
      <c r="K444" s="191"/>
    </row>
    <row r="445" spans="1:11" x14ac:dyDescent="0.25">
      <c r="A445" s="214"/>
      <c r="C445" s="215"/>
      <c r="D445" s="216"/>
      <c r="E445" s="216"/>
      <c r="F445" s="217"/>
      <c r="G445" s="216"/>
      <c r="H445" s="216"/>
      <c r="I445" s="217"/>
      <c r="J445" s="217"/>
      <c r="K445" s="191"/>
    </row>
    <row r="446" spans="1:11" x14ac:dyDescent="0.25">
      <c r="A446" s="214"/>
      <c r="C446" s="215"/>
      <c r="D446" s="216"/>
      <c r="E446" s="216"/>
      <c r="F446" s="217"/>
      <c r="G446" s="216"/>
      <c r="H446" s="216"/>
      <c r="I446" s="217"/>
      <c r="J446" s="217"/>
      <c r="K446" s="191"/>
    </row>
    <row r="447" spans="1:11" x14ac:dyDescent="0.25">
      <c r="A447" s="214"/>
      <c r="C447" s="215"/>
      <c r="D447" s="216"/>
      <c r="E447" s="216"/>
      <c r="F447" s="217"/>
      <c r="G447" s="216"/>
      <c r="H447" s="216"/>
      <c r="I447" s="217"/>
      <c r="J447" s="217"/>
      <c r="K447" s="191"/>
    </row>
    <row r="448" spans="1:11" x14ac:dyDescent="0.25">
      <c r="A448" s="214"/>
      <c r="C448" s="215"/>
      <c r="D448" s="216"/>
      <c r="E448" s="216"/>
      <c r="F448" s="217"/>
      <c r="G448" s="216"/>
      <c r="H448" s="216"/>
      <c r="I448" s="217"/>
      <c r="J448" s="217"/>
      <c r="K448" s="191"/>
    </row>
    <row r="449" spans="1:11" x14ac:dyDescent="0.25">
      <c r="A449" s="214"/>
      <c r="C449" s="215"/>
      <c r="D449" s="216"/>
      <c r="E449" s="216"/>
      <c r="F449" s="217"/>
      <c r="G449" s="216"/>
      <c r="H449" s="216"/>
      <c r="I449" s="217"/>
      <c r="J449" s="217"/>
      <c r="K449" s="191"/>
    </row>
    <row r="450" spans="1:11" x14ac:dyDescent="0.25">
      <c r="A450" s="214"/>
      <c r="C450" s="215"/>
      <c r="D450" s="216"/>
      <c r="E450" s="216"/>
      <c r="F450" s="217"/>
      <c r="G450" s="216"/>
      <c r="H450" s="216"/>
      <c r="I450" s="217"/>
      <c r="J450" s="217"/>
      <c r="K450" s="191"/>
    </row>
    <row r="451" spans="1:11" x14ac:dyDescent="0.25">
      <c r="A451" s="214"/>
      <c r="C451" s="215"/>
      <c r="D451" s="216"/>
      <c r="E451" s="216"/>
      <c r="F451" s="217"/>
      <c r="G451" s="216"/>
      <c r="H451" s="216"/>
      <c r="I451" s="217"/>
      <c r="J451" s="217"/>
      <c r="K451" s="191"/>
    </row>
    <row r="452" spans="1:11" x14ac:dyDescent="0.25">
      <c r="A452" s="214"/>
      <c r="C452" s="215"/>
      <c r="D452" s="216"/>
      <c r="E452" s="216"/>
      <c r="F452" s="217"/>
      <c r="G452" s="216"/>
      <c r="H452" s="216"/>
      <c r="I452" s="217"/>
      <c r="J452" s="217"/>
      <c r="K452" s="191"/>
    </row>
    <row r="453" spans="1:11" x14ac:dyDescent="0.25">
      <c r="A453" s="214"/>
      <c r="C453" s="215"/>
      <c r="D453" s="216"/>
      <c r="E453" s="216"/>
      <c r="F453" s="217"/>
      <c r="G453" s="216"/>
      <c r="H453" s="216"/>
      <c r="I453" s="217"/>
      <c r="J453" s="217"/>
      <c r="K453" s="191"/>
    </row>
    <row r="454" spans="1:11" x14ac:dyDescent="0.25">
      <c r="A454" s="214"/>
      <c r="C454" s="215"/>
      <c r="D454" s="216"/>
      <c r="E454" s="216"/>
      <c r="F454" s="217"/>
      <c r="G454" s="216"/>
      <c r="H454" s="216"/>
      <c r="I454" s="217"/>
      <c r="J454" s="217"/>
      <c r="K454" s="191"/>
    </row>
    <row r="455" spans="1:11" x14ac:dyDescent="0.25">
      <c r="A455" s="214"/>
      <c r="C455" s="215"/>
      <c r="D455" s="216"/>
      <c r="E455" s="216"/>
      <c r="F455" s="217"/>
      <c r="G455" s="216"/>
      <c r="H455" s="216"/>
      <c r="I455" s="217"/>
      <c r="J455" s="217"/>
      <c r="K455" s="191"/>
    </row>
    <row r="456" spans="1:11" x14ac:dyDescent="0.25">
      <c r="A456" s="214"/>
      <c r="C456" s="215"/>
      <c r="D456" s="216"/>
      <c r="E456" s="216"/>
      <c r="F456" s="217"/>
      <c r="G456" s="216"/>
      <c r="H456" s="216"/>
      <c r="I456" s="217"/>
      <c r="J456" s="217"/>
      <c r="K456" s="191"/>
    </row>
    <row r="457" spans="1:11" x14ac:dyDescent="0.25">
      <c r="A457" s="214"/>
      <c r="C457" s="215"/>
      <c r="D457" s="216"/>
      <c r="E457" s="216"/>
      <c r="F457" s="217"/>
      <c r="G457" s="216"/>
      <c r="H457" s="216"/>
      <c r="I457" s="217"/>
      <c r="J457" s="217"/>
      <c r="K457" s="191"/>
    </row>
    <row r="458" spans="1:11" x14ac:dyDescent="0.25">
      <c r="A458" s="214"/>
      <c r="C458" s="215"/>
      <c r="D458" s="216"/>
      <c r="E458" s="216"/>
      <c r="F458" s="217"/>
      <c r="G458" s="216"/>
      <c r="H458" s="216"/>
      <c r="I458" s="217"/>
      <c r="J458" s="217"/>
      <c r="K458" s="191"/>
    </row>
    <row r="459" spans="1:11" x14ac:dyDescent="0.25">
      <c r="A459" s="214"/>
      <c r="C459" s="215"/>
      <c r="D459" s="216"/>
      <c r="E459" s="216"/>
      <c r="F459" s="217"/>
      <c r="G459" s="216"/>
      <c r="H459" s="216"/>
      <c r="I459" s="217"/>
      <c r="J459" s="217"/>
      <c r="K459" s="191"/>
    </row>
    <row r="460" spans="1:11" x14ac:dyDescent="0.25">
      <c r="A460" s="214"/>
      <c r="C460" s="215"/>
      <c r="D460" s="216"/>
      <c r="E460" s="216"/>
      <c r="F460" s="217"/>
      <c r="G460" s="216"/>
      <c r="H460" s="216"/>
      <c r="I460" s="217"/>
      <c r="J460" s="217"/>
      <c r="K460" s="191"/>
    </row>
    <row r="461" spans="1:11" x14ac:dyDescent="0.25">
      <c r="A461" s="214"/>
      <c r="C461" s="215"/>
      <c r="D461" s="216"/>
      <c r="E461" s="216"/>
      <c r="F461" s="217"/>
      <c r="G461" s="216"/>
      <c r="H461" s="216"/>
      <c r="I461" s="217"/>
      <c r="J461" s="217"/>
      <c r="K461" s="191"/>
    </row>
    <row r="462" spans="1:11" x14ac:dyDescent="0.25">
      <c r="A462" s="214"/>
      <c r="C462" s="215"/>
      <c r="D462" s="216"/>
      <c r="E462" s="216"/>
      <c r="F462" s="217"/>
      <c r="G462" s="216"/>
      <c r="H462" s="216"/>
      <c r="I462" s="217"/>
      <c r="J462" s="217"/>
      <c r="K462" s="191"/>
    </row>
    <row r="463" spans="1:11" x14ac:dyDescent="0.25">
      <c r="A463" s="214"/>
      <c r="C463" s="215"/>
      <c r="D463" s="216"/>
      <c r="E463" s="216"/>
      <c r="F463" s="217"/>
      <c r="G463" s="216"/>
      <c r="H463" s="216"/>
      <c r="I463" s="217"/>
      <c r="J463" s="217"/>
      <c r="K463" s="191"/>
    </row>
    <row r="464" spans="1:11" x14ac:dyDescent="0.25">
      <c r="A464" s="214"/>
      <c r="C464" s="215"/>
      <c r="D464" s="216"/>
      <c r="E464" s="216"/>
      <c r="F464" s="217"/>
      <c r="G464" s="216"/>
      <c r="H464" s="216"/>
      <c r="I464" s="217"/>
      <c r="J464" s="217"/>
      <c r="K464" s="191"/>
    </row>
    <row r="465" spans="1:11" x14ac:dyDescent="0.25">
      <c r="A465" s="214"/>
      <c r="C465" s="215"/>
      <c r="D465" s="216"/>
      <c r="E465" s="216"/>
      <c r="F465" s="217"/>
      <c r="G465" s="216"/>
      <c r="H465" s="216"/>
      <c r="I465" s="217"/>
      <c r="J465" s="217"/>
      <c r="K465" s="191"/>
    </row>
    <row r="466" spans="1:11" x14ac:dyDescent="0.25">
      <c r="A466" s="214"/>
      <c r="C466" s="215"/>
      <c r="D466" s="216"/>
      <c r="E466" s="216"/>
      <c r="F466" s="217"/>
      <c r="G466" s="216"/>
      <c r="H466" s="216"/>
      <c r="I466" s="217"/>
      <c r="J466" s="217"/>
      <c r="K466" s="191"/>
    </row>
    <row r="467" spans="1:11" x14ac:dyDescent="0.25">
      <c r="A467" s="214"/>
      <c r="C467" s="215"/>
      <c r="D467" s="216"/>
      <c r="E467" s="216"/>
      <c r="F467" s="217"/>
      <c r="G467" s="216"/>
      <c r="H467" s="216"/>
      <c r="I467" s="217"/>
      <c r="J467" s="217"/>
      <c r="K467" s="191"/>
    </row>
    <row r="468" spans="1:11" x14ac:dyDescent="0.25">
      <c r="A468" s="214"/>
      <c r="C468" s="215"/>
      <c r="D468" s="216"/>
      <c r="E468" s="216"/>
      <c r="F468" s="217"/>
      <c r="G468" s="216"/>
      <c r="H468" s="216"/>
      <c r="I468" s="217"/>
      <c r="J468" s="217"/>
      <c r="K468" s="191"/>
    </row>
    <row r="469" spans="1:11" x14ac:dyDescent="0.25">
      <c r="A469" s="214"/>
      <c r="C469" s="215"/>
      <c r="D469" s="216"/>
      <c r="E469" s="216"/>
      <c r="F469" s="217"/>
      <c r="G469" s="216"/>
      <c r="H469" s="216"/>
      <c r="I469" s="217"/>
      <c r="J469" s="217"/>
      <c r="K469" s="191"/>
    </row>
    <row r="470" spans="1:11" x14ac:dyDescent="0.25">
      <c r="A470" s="214"/>
      <c r="C470" s="215"/>
      <c r="D470" s="216"/>
      <c r="E470" s="216"/>
      <c r="F470" s="217"/>
      <c r="G470" s="216"/>
      <c r="H470" s="216"/>
      <c r="I470" s="217"/>
      <c r="J470" s="217"/>
      <c r="K470" s="191"/>
    </row>
    <row r="471" spans="1:11" x14ac:dyDescent="0.25">
      <c r="A471" s="214"/>
      <c r="C471" s="215"/>
      <c r="D471" s="216"/>
      <c r="E471" s="216"/>
      <c r="F471" s="217"/>
      <c r="G471" s="216"/>
      <c r="H471" s="216"/>
      <c r="I471" s="217"/>
      <c r="J471" s="217"/>
      <c r="K471" s="191"/>
    </row>
    <row r="472" spans="1:11" x14ac:dyDescent="0.25">
      <c r="A472" s="214"/>
      <c r="C472" s="215"/>
      <c r="D472" s="216"/>
      <c r="E472" s="216"/>
      <c r="F472" s="217"/>
      <c r="G472" s="216"/>
      <c r="H472" s="216"/>
      <c r="I472" s="217"/>
      <c r="J472" s="217"/>
      <c r="K472" s="191"/>
    </row>
    <row r="473" spans="1:11" x14ac:dyDescent="0.25">
      <c r="A473" s="214"/>
      <c r="C473" s="215"/>
      <c r="D473" s="216"/>
      <c r="E473" s="216"/>
      <c r="F473" s="217"/>
      <c r="G473" s="216"/>
      <c r="H473" s="216"/>
      <c r="I473" s="217"/>
      <c r="J473" s="217"/>
      <c r="K473" s="191"/>
    </row>
    <row r="474" spans="1:11" x14ac:dyDescent="0.25">
      <c r="A474" s="214"/>
      <c r="C474" s="215"/>
      <c r="D474" s="216"/>
      <c r="E474" s="216"/>
      <c r="F474" s="217"/>
      <c r="G474" s="216"/>
      <c r="H474" s="216"/>
      <c r="I474" s="217"/>
      <c r="J474" s="217"/>
      <c r="K474" s="191"/>
    </row>
    <row r="475" spans="1:11" x14ac:dyDescent="0.25">
      <c r="A475" s="214"/>
      <c r="C475" s="215"/>
      <c r="D475" s="216"/>
      <c r="E475" s="216"/>
      <c r="F475" s="217"/>
      <c r="G475" s="216"/>
      <c r="H475" s="216"/>
      <c r="I475" s="217"/>
      <c r="J475" s="217"/>
      <c r="K475" s="191"/>
    </row>
    <row r="476" spans="1:11" x14ac:dyDescent="0.25">
      <c r="A476" s="214"/>
      <c r="C476" s="215"/>
      <c r="D476" s="216"/>
      <c r="E476" s="216"/>
      <c r="F476" s="217"/>
      <c r="G476" s="216"/>
      <c r="H476" s="216"/>
      <c r="I476" s="217"/>
      <c r="J476" s="217"/>
      <c r="K476" s="191"/>
    </row>
    <row r="477" spans="1:11" x14ac:dyDescent="0.25">
      <c r="A477" s="214"/>
      <c r="C477" s="215"/>
      <c r="D477" s="216"/>
      <c r="E477" s="216"/>
      <c r="F477" s="217"/>
      <c r="G477" s="216"/>
      <c r="H477" s="216"/>
      <c r="I477" s="217"/>
      <c r="J477" s="217"/>
      <c r="K477" s="191"/>
    </row>
    <row r="478" spans="1:11" x14ac:dyDescent="0.25">
      <c r="A478" s="214"/>
      <c r="C478" s="215"/>
      <c r="D478" s="216"/>
      <c r="E478" s="216"/>
      <c r="F478" s="217"/>
      <c r="G478" s="216"/>
      <c r="H478" s="216"/>
      <c r="I478" s="217"/>
      <c r="J478" s="217"/>
      <c r="K478" s="191"/>
    </row>
    <row r="479" spans="1:11" x14ac:dyDescent="0.25">
      <c r="A479" s="214"/>
      <c r="C479" s="215"/>
      <c r="D479" s="216"/>
      <c r="E479" s="216"/>
      <c r="F479" s="217"/>
      <c r="G479" s="216"/>
      <c r="H479" s="216"/>
      <c r="I479" s="217"/>
      <c r="J479" s="217"/>
      <c r="K479" s="191"/>
    </row>
    <row r="480" spans="1:11" x14ac:dyDescent="0.25">
      <c r="A480" s="214"/>
      <c r="C480" s="215"/>
      <c r="D480" s="216"/>
      <c r="E480" s="216"/>
      <c r="F480" s="217"/>
      <c r="G480" s="216"/>
      <c r="H480" s="216"/>
      <c r="I480" s="217"/>
      <c r="J480" s="217"/>
      <c r="K480" s="191"/>
    </row>
    <row r="481" spans="1:11" x14ac:dyDescent="0.25">
      <c r="A481" s="214"/>
      <c r="C481" s="215"/>
      <c r="D481" s="216"/>
      <c r="E481" s="216"/>
      <c r="F481" s="217"/>
      <c r="G481" s="216"/>
      <c r="H481" s="216"/>
      <c r="I481" s="217"/>
      <c r="J481" s="217"/>
      <c r="K481" s="191"/>
    </row>
    <row r="482" spans="1:11" x14ac:dyDescent="0.25">
      <c r="A482" s="214"/>
      <c r="C482" s="215"/>
      <c r="D482" s="216"/>
      <c r="E482" s="216"/>
      <c r="F482" s="217"/>
      <c r="G482" s="216"/>
      <c r="H482" s="216"/>
      <c r="I482" s="217"/>
      <c r="J482" s="217"/>
      <c r="K482" s="191"/>
    </row>
    <row r="483" spans="1:11" x14ac:dyDescent="0.25">
      <c r="A483" s="214"/>
      <c r="C483" s="215"/>
      <c r="D483" s="216"/>
      <c r="E483" s="216"/>
      <c r="F483" s="217"/>
      <c r="G483" s="216"/>
      <c r="H483" s="216"/>
      <c r="I483" s="217"/>
      <c r="J483" s="217"/>
      <c r="K483" s="191"/>
    </row>
    <row r="484" spans="1:11" x14ac:dyDescent="0.25">
      <c r="A484" s="214"/>
      <c r="C484" s="215"/>
      <c r="D484" s="216"/>
      <c r="E484" s="216"/>
      <c r="F484" s="217"/>
      <c r="G484" s="216"/>
      <c r="H484" s="216"/>
      <c r="I484" s="217"/>
      <c r="J484" s="217"/>
      <c r="K484" s="191"/>
    </row>
    <row r="485" spans="1:11" x14ac:dyDescent="0.25">
      <c r="A485" s="214"/>
      <c r="C485" s="215"/>
      <c r="D485" s="216"/>
      <c r="E485" s="216"/>
      <c r="F485" s="217"/>
      <c r="G485" s="216"/>
      <c r="H485" s="216"/>
      <c r="I485" s="217"/>
      <c r="J485" s="217"/>
      <c r="K485" s="191"/>
    </row>
    <row r="486" spans="1:11" x14ac:dyDescent="0.25">
      <c r="A486" s="214"/>
      <c r="C486" s="215"/>
      <c r="D486" s="216"/>
      <c r="E486" s="216"/>
      <c r="F486" s="217"/>
      <c r="G486" s="216"/>
      <c r="H486" s="216"/>
      <c r="I486" s="217"/>
      <c r="J486" s="217"/>
      <c r="K486" s="191"/>
    </row>
    <row r="487" spans="1:11" x14ac:dyDescent="0.25">
      <c r="A487" s="214"/>
      <c r="C487" s="215"/>
      <c r="D487" s="216"/>
      <c r="E487" s="216"/>
      <c r="F487" s="217"/>
      <c r="G487" s="216"/>
      <c r="H487" s="216"/>
      <c r="I487" s="217"/>
      <c r="J487" s="217"/>
      <c r="K487" s="191"/>
    </row>
    <row r="488" spans="1:11" x14ac:dyDescent="0.25">
      <c r="A488" s="214"/>
      <c r="C488" s="215"/>
      <c r="D488" s="216"/>
      <c r="E488" s="216"/>
      <c r="F488" s="217"/>
      <c r="G488" s="216"/>
      <c r="H488" s="216"/>
      <c r="I488" s="217"/>
      <c r="J488" s="217"/>
      <c r="K488" s="191"/>
    </row>
    <row r="489" spans="1:11" x14ac:dyDescent="0.25">
      <c r="A489" s="214"/>
      <c r="C489" s="215"/>
      <c r="D489" s="216"/>
      <c r="E489" s="216"/>
      <c r="F489" s="217"/>
      <c r="G489" s="216"/>
      <c r="H489" s="216"/>
      <c r="I489" s="217"/>
      <c r="J489" s="217"/>
      <c r="K489" s="191"/>
    </row>
    <row r="490" spans="1:11" x14ac:dyDescent="0.25">
      <c r="A490" s="214"/>
      <c r="C490" s="215"/>
      <c r="D490" s="216"/>
      <c r="E490" s="216"/>
      <c r="F490" s="217"/>
      <c r="G490" s="216"/>
      <c r="H490" s="216"/>
      <c r="I490" s="217"/>
      <c r="J490" s="217"/>
      <c r="K490" s="191"/>
    </row>
    <row r="491" spans="1:11" x14ac:dyDescent="0.25">
      <c r="A491" s="214"/>
      <c r="C491" s="215"/>
      <c r="D491" s="216"/>
      <c r="E491" s="216"/>
      <c r="F491" s="217"/>
      <c r="G491" s="216"/>
      <c r="H491" s="216"/>
      <c r="I491" s="217"/>
      <c r="J491" s="217"/>
      <c r="K491" s="191"/>
    </row>
    <row r="492" spans="1:11" x14ac:dyDescent="0.25">
      <c r="A492" s="214"/>
      <c r="C492" s="215"/>
      <c r="D492" s="216"/>
      <c r="E492" s="216"/>
      <c r="F492" s="217"/>
      <c r="G492" s="216"/>
      <c r="H492" s="216"/>
      <c r="I492" s="217"/>
      <c r="J492" s="217"/>
      <c r="K492" s="191"/>
    </row>
    <row r="493" spans="1:11" x14ac:dyDescent="0.25">
      <c r="A493" s="214"/>
      <c r="C493" s="215"/>
      <c r="D493" s="216"/>
      <c r="E493" s="216"/>
      <c r="F493" s="217"/>
      <c r="G493" s="216"/>
      <c r="H493" s="216"/>
      <c r="I493" s="217"/>
      <c r="J493" s="217"/>
      <c r="K493" s="191"/>
    </row>
    <row r="494" spans="1:11" x14ac:dyDescent="0.25">
      <c r="A494" s="214"/>
      <c r="C494" s="215"/>
      <c r="D494" s="216"/>
      <c r="E494" s="216"/>
      <c r="F494" s="217"/>
      <c r="G494" s="216"/>
      <c r="H494" s="216"/>
      <c r="I494" s="217"/>
      <c r="J494" s="217"/>
      <c r="K494" s="191"/>
    </row>
    <row r="495" spans="1:11" x14ac:dyDescent="0.25">
      <c r="A495" s="214"/>
      <c r="C495" s="215"/>
      <c r="D495" s="216"/>
      <c r="E495" s="216"/>
      <c r="F495" s="217"/>
      <c r="G495" s="216"/>
      <c r="H495" s="216"/>
      <c r="I495" s="217"/>
      <c r="J495" s="217"/>
      <c r="K495" s="191"/>
    </row>
    <row r="496" spans="1:11" x14ac:dyDescent="0.25">
      <c r="A496" s="214"/>
      <c r="C496" s="215"/>
      <c r="D496" s="216"/>
      <c r="E496" s="216"/>
      <c r="F496" s="217"/>
      <c r="G496" s="216"/>
      <c r="H496" s="216"/>
      <c r="I496" s="217"/>
      <c r="J496" s="217"/>
      <c r="K496" s="191"/>
    </row>
    <row r="497" spans="1:11" x14ac:dyDescent="0.25">
      <c r="A497" s="214"/>
      <c r="C497" s="215"/>
      <c r="D497" s="216"/>
      <c r="E497" s="216"/>
      <c r="F497" s="217"/>
      <c r="G497" s="216"/>
      <c r="H497" s="216"/>
      <c r="I497" s="217"/>
      <c r="J497" s="217"/>
      <c r="K497" s="191"/>
    </row>
    <row r="498" spans="1:11" x14ac:dyDescent="0.25">
      <c r="A498" s="214"/>
      <c r="C498" s="215"/>
      <c r="D498" s="216"/>
      <c r="E498" s="216"/>
      <c r="F498" s="217"/>
      <c r="G498" s="216"/>
      <c r="H498" s="216"/>
      <c r="I498" s="217"/>
      <c r="J498" s="217"/>
      <c r="K498" s="191"/>
    </row>
    <row r="499" spans="1:11" x14ac:dyDescent="0.25">
      <c r="A499" s="214"/>
      <c r="C499" s="215"/>
      <c r="D499" s="216"/>
      <c r="E499" s="216"/>
      <c r="F499" s="217"/>
      <c r="G499" s="216"/>
      <c r="H499" s="216"/>
      <c r="I499" s="217"/>
      <c r="J499" s="217"/>
      <c r="K499" s="191"/>
    </row>
    <row r="500" spans="1:11" x14ac:dyDescent="0.25">
      <c r="A500" s="214"/>
      <c r="C500" s="215"/>
      <c r="D500" s="216"/>
      <c r="E500" s="216"/>
      <c r="F500" s="217"/>
      <c r="G500" s="216"/>
      <c r="H500" s="216"/>
      <c r="I500" s="217"/>
      <c r="J500" s="217"/>
      <c r="K500" s="191"/>
    </row>
    <row r="501" spans="1:11" x14ac:dyDescent="0.25">
      <c r="A501" s="214"/>
      <c r="C501" s="215"/>
      <c r="D501" s="216"/>
      <c r="E501" s="216"/>
      <c r="F501" s="217"/>
      <c r="G501" s="216"/>
      <c r="H501" s="216"/>
      <c r="I501" s="217"/>
      <c r="J501" s="217"/>
      <c r="K501" s="191"/>
    </row>
    <row r="502" spans="1:11" x14ac:dyDescent="0.25">
      <c r="A502" s="214"/>
      <c r="C502" s="215"/>
      <c r="D502" s="216"/>
      <c r="E502" s="216"/>
      <c r="F502" s="217"/>
      <c r="G502" s="216"/>
      <c r="H502" s="216"/>
      <c r="I502" s="217"/>
      <c r="J502" s="217"/>
      <c r="K502" s="191"/>
    </row>
    <row r="503" spans="1:11" x14ac:dyDescent="0.25">
      <c r="A503" s="214"/>
      <c r="C503" s="215"/>
      <c r="D503" s="216"/>
      <c r="E503" s="216"/>
      <c r="F503" s="217"/>
      <c r="G503" s="216"/>
      <c r="H503" s="216"/>
      <c r="I503" s="217"/>
      <c r="J503" s="217"/>
      <c r="K503" s="191"/>
    </row>
    <row r="504" spans="1:11" x14ac:dyDescent="0.25">
      <c r="A504" s="214"/>
      <c r="C504" s="215"/>
      <c r="D504" s="216"/>
      <c r="E504" s="216"/>
      <c r="F504" s="217"/>
      <c r="G504" s="216"/>
      <c r="H504" s="216"/>
      <c r="I504" s="217"/>
      <c r="J504" s="217"/>
      <c r="K504" s="191"/>
    </row>
    <row r="505" spans="1:11" x14ac:dyDescent="0.25">
      <c r="A505" s="214"/>
      <c r="C505" s="215"/>
      <c r="D505" s="216"/>
      <c r="E505" s="216"/>
      <c r="F505" s="217"/>
      <c r="G505" s="216"/>
      <c r="H505" s="216"/>
      <c r="I505" s="217"/>
      <c r="J505" s="217"/>
      <c r="K505" s="191"/>
    </row>
    <row r="506" spans="1:11" x14ac:dyDescent="0.25">
      <c r="A506" s="214"/>
      <c r="C506" s="215"/>
      <c r="D506" s="216"/>
      <c r="E506" s="216"/>
      <c r="F506" s="217"/>
      <c r="G506" s="216"/>
      <c r="H506" s="216"/>
      <c r="I506" s="217"/>
      <c r="J506" s="217"/>
      <c r="K506" s="191"/>
    </row>
    <row r="507" spans="1:11" x14ac:dyDescent="0.25">
      <c r="A507" s="214"/>
      <c r="C507" s="215"/>
      <c r="D507" s="216"/>
      <c r="E507" s="216"/>
      <c r="F507" s="217"/>
      <c r="G507" s="216"/>
      <c r="H507" s="216"/>
      <c r="I507" s="217"/>
      <c r="J507" s="217"/>
      <c r="K507" s="191"/>
    </row>
    <row r="508" spans="1:11" x14ac:dyDescent="0.25">
      <c r="A508" s="214"/>
      <c r="C508" s="215"/>
      <c r="D508" s="216"/>
      <c r="E508" s="216"/>
      <c r="F508" s="217"/>
      <c r="G508" s="216"/>
      <c r="H508" s="216"/>
      <c r="I508" s="217"/>
      <c r="J508" s="217"/>
      <c r="K508" s="191"/>
    </row>
    <row r="509" spans="1:11" x14ac:dyDescent="0.25">
      <c r="A509" s="214"/>
      <c r="C509" s="215"/>
      <c r="D509" s="216"/>
      <c r="E509" s="216"/>
      <c r="F509" s="217"/>
      <c r="G509" s="216"/>
      <c r="H509" s="216"/>
      <c r="I509" s="217"/>
      <c r="J509" s="217"/>
      <c r="K509" s="191"/>
    </row>
    <row r="510" spans="1:11" x14ac:dyDescent="0.25">
      <c r="A510" s="214"/>
      <c r="C510" s="215"/>
      <c r="D510" s="216"/>
      <c r="E510" s="216"/>
      <c r="F510" s="217"/>
      <c r="G510" s="216"/>
      <c r="H510" s="216"/>
      <c r="I510" s="217"/>
      <c r="J510" s="217"/>
      <c r="K510" s="191"/>
    </row>
    <row r="511" spans="1:11" x14ac:dyDescent="0.25">
      <c r="A511" s="214"/>
      <c r="C511" s="215"/>
      <c r="D511" s="216"/>
      <c r="E511" s="216"/>
      <c r="F511" s="217"/>
      <c r="G511" s="216"/>
      <c r="H511" s="216"/>
      <c r="I511" s="217"/>
      <c r="J511" s="217"/>
      <c r="K511" s="191"/>
    </row>
    <row r="512" spans="1:11" x14ac:dyDescent="0.25">
      <c r="A512" s="214"/>
      <c r="C512" s="215"/>
      <c r="D512" s="216"/>
      <c r="E512" s="216"/>
      <c r="F512" s="217"/>
      <c r="G512" s="216"/>
      <c r="H512" s="216"/>
      <c r="I512" s="217"/>
      <c r="J512" s="217"/>
      <c r="K512" s="191"/>
    </row>
    <row r="513" spans="1:11" x14ac:dyDescent="0.25">
      <c r="A513" s="214"/>
      <c r="C513" s="215"/>
      <c r="D513" s="216"/>
      <c r="E513" s="216"/>
      <c r="F513" s="217"/>
      <c r="G513" s="216"/>
      <c r="H513" s="216"/>
      <c r="I513" s="217"/>
      <c r="J513" s="217"/>
      <c r="K513" s="191"/>
    </row>
    <row r="514" spans="1:11" x14ac:dyDescent="0.25">
      <c r="A514" s="214"/>
      <c r="C514" s="215"/>
      <c r="D514" s="216"/>
      <c r="E514" s="216"/>
      <c r="F514" s="217"/>
      <c r="G514" s="216"/>
      <c r="H514" s="216"/>
      <c r="I514" s="217"/>
      <c r="J514" s="217"/>
      <c r="K514" s="191"/>
    </row>
    <row r="515" spans="1:11" x14ac:dyDescent="0.25">
      <c r="A515" s="214"/>
      <c r="C515" s="215"/>
      <c r="D515" s="216"/>
      <c r="E515" s="216"/>
      <c r="F515" s="217"/>
      <c r="G515" s="216"/>
      <c r="H515" s="216"/>
      <c r="I515" s="217"/>
      <c r="J515" s="217"/>
      <c r="K515" s="191"/>
    </row>
    <row r="516" spans="1:11" x14ac:dyDescent="0.25">
      <c r="A516" s="214"/>
      <c r="C516" s="215"/>
      <c r="D516" s="216"/>
      <c r="E516" s="216"/>
      <c r="F516" s="217"/>
      <c r="G516" s="216"/>
      <c r="H516" s="216"/>
      <c r="I516" s="217"/>
      <c r="J516" s="217"/>
      <c r="K516" s="191"/>
    </row>
  </sheetData>
  <sheetProtection password="D0DA"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M118"/>
  <sheetViews>
    <sheetView tabSelected="1" topLeftCell="A85" zoomScaleNormal="100" workbookViewId="0"/>
  </sheetViews>
  <sheetFormatPr defaultRowHeight="15" x14ac:dyDescent="0.25"/>
  <cols>
    <col min="1" max="2" width="8.42578125" style="176" customWidth="1"/>
    <col min="3" max="3" width="11.7109375" style="176" customWidth="1"/>
    <col min="4" max="5" width="8.42578125" style="176" customWidth="1"/>
    <col min="6" max="6" width="11.7109375" style="176" customWidth="1"/>
    <col min="7" max="8" width="8.42578125" style="176" customWidth="1"/>
    <col min="9" max="13" width="11.7109375" style="176" customWidth="1"/>
    <col min="14" max="14" width="9.140625" style="176" customWidth="1"/>
    <col min="15" max="16384" width="9.140625" style="176"/>
  </cols>
  <sheetData>
    <row r="2" spans="1:13" ht="33.75" x14ac:dyDescent="0.5">
      <c r="A2" s="175" t="s">
        <v>176</v>
      </c>
      <c r="B2" s="175"/>
      <c r="C2" s="175"/>
    </row>
    <row r="3" spans="1:13" ht="15" customHeight="1" x14ac:dyDescent="0.25"/>
    <row r="4" spans="1:13" ht="15" customHeight="1" x14ac:dyDescent="0.25">
      <c r="B4" s="177" t="s">
        <v>169</v>
      </c>
      <c r="H4" s="178" t="s">
        <v>170</v>
      </c>
    </row>
    <row r="5" spans="1:13" ht="15" customHeight="1" x14ac:dyDescent="0.25">
      <c r="H5" s="177"/>
      <c r="I5" s="177"/>
      <c r="J5" s="177"/>
      <c r="K5" s="177"/>
      <c r="L5" s="177"/>
      <c r="M5" s="179"/>
    </row>
    <row r="6" spans="1:13" ht="15" customHeight="1" x14ac:dyDescent="0.25"/>
    <row r="7" spans="1:13" ht="15" customHeight="1" x14ac:dyDescent="0.35">
      <c r="C7" s="179" t="s">
        <v>197</v>
      </c>
      <c r="F7" s="179" t="s">
        <v>188</v>
      </c>
      <c r="H7" s="177" t="s">
        <v>26</v>
      </c>
      <c r="I7" s="179" t="s">
        <v>147</v>
      </c>
      <c r="J7" s="179" t="s">
        <v>25</v>
      </c>
      <c r="K7" s="179" t="s">
        <v>23</v>
      </c>
      <c r="L7" s="179" t="s">
        <v>24</v>
      </c>
      <c r="M7" s="179" t="s">
        <v>186</v>
      </c>
    </row>
    <row r="8" spans="1:13" ht="15" customHeight="1" x14ac:dyDescent="0.35">
      <c r="C8" s="180" t="s">
        <v>163</v>
      </c>
      <c r="F8" s="180" t="s">
        <v>136</v>
      </c>
      <c r="H8" s="176" t="s">
        <v>99</v>
      </c>
      <c r="I8" s="181" t="s">
        <v>189</v>
      </c>
      <c r="J8" s="181" t="s">
        <v>190</v>
      </c>
      <c r="K8" s="181" t="s">
        <v>191</v>
      </c>
      <c r="L8" s="181" t="s">
        <v>192</v>
      </c>
      <c r="M8" s="181" t="s">
        <v>94</v>
      </c>
    </row>
    <row r="9" spans="1:13" ht="15" customHeight="1" x14ac:dyDescent="0.35">
      <c r="C9" s="180" t="s">
        <v>164</v>
      </c>
      <c r="F9" s="180" t="s">
        <v>137</v>
      </c>
      <c r="H9" s="176" t="s">
        <v>134</v>
      </c>
      <c r="I9" s="182">
        <f>Spectra!$L$17*SUM($M$22:$M$118)*5</f>
        <v>72983.404467041968</v>
      </c>
      <c r="J9" s="182">
        <f>Spectra!$L$17*SUM($M$22:$M$118)*5</f>
        <v>72983.404467041968</v>
      </c>
      <c r="K9" s="182">
        <f>Spectra!$L$17*SUM($M$22:$M$118)*5</f>
        <v>72983.404467041968</v>
      </c>
      <c r="L9" s="182">
        <f>Spectra!$L$17*SUM($M$22:$M$118)*5</f>
        <v>72983.404467041968</v>
      </c>
      <c r="M9" s="182">
        <f>Spectra!$L$17</f>
        <v>683.00154779022682</v>
      </c>
    </row>
    <row r="10" spans="1:13" ht="15" customHeight="1" x14ac:dyDescent="0.25">
      <c r="C10" s="180" t="s">
        <v>180</v>
      </c>
      <c r="F10" s="180" t="s">
        <v>162</v>
      </c>
    </row>
    <row r="11" spans="1:13" ht="15" customHeight="1" x14ac:dyDescent="0.25">
      <c r="C11" s="183">
        <f>Spectra!L6</f>
        <v>112.97088783688204</v>
      </c>
      <c r="F11" s="184" t="s">
        <v>179</v>
      </c>
      <c r="H11" s="177" t="s">
        <v>193</v>
      </c>
    </row>
    <row r="12" spans="1:13" ht="15" customHeight="1" x14ac:dyDescent="0.25">
      <c r="F12" s="185"/>
      <c r="H12" s="186" t="s">
        <v>199</v>
      </c>
      <c r="I12" s="183">
        <f>($C$11*I$9/100)*SUMPRODUCT($C$22:$C$118,I$22:I$118)</f>
        <v>170</v>
      </c>
      <c r="J12" s="183">
        <f>($C$11*J$9/100)*SUMPRODUCT($C$22:$C$118,J$22:J$118)</f>
        <v>169.99999999999986</v>
      </c>
      <c r="K12" s="183">
        <f>($C$11*K$9/100)*SUMPRODUCT($C$22:$C$118,K$22:K$118)</f>
        <v>169.99999999999989</v>
      </c>
      <c r="L12" s="183">
        <f>($C$11*L$9/100)*SUMPRODUCT($C$22:$C$118,L$22:L$118)</f>
        <v>169.99999999999991</v>
      </c>
      <c r="M12" s="183">
        <f>($C$11*M$9/100)*SUMPRODUCT($C$22:$C$118,M$22:M$118)</f>
        <v>169.9999999999998</v>
      </c>
    </row>
    <row r="13" spans="1:13" ht="15" customHeight="1" x14ac:dyDescent="0.35">
      <c r="B13" s="180"/>
      <c r="C13" s="179" t="s">
        <v>59</v>
      </c>
      <c r="F13" s="185" t="s">
        <v>185</v>
      </c>
      <c r="H13" s="187" t="s">
        <v>200</v>
      </c>
      <c r="I13" s="183">
        <f>($C$11/I$16)*SUMPRODUCT($C$22:$C$118,I$22:I$118)</f>
        <v>14.22154781183796</v>
      </c>
      <c r="J13" s="183">
        <f>($C$11/J$16)*SUMPRODUCT($C$22:$C$118,J$22:J$118)</f>
        <v>25.089969578809367</v>
      </c>
      <c r="K13" s="183">
        <f>($C$11/K$16)*SUMPRODUCT($C$22:$C$118,K$22:K$118)</f>
        <v>26.268621134002391</v>
      </c>
      <c r="L13" s="183">
        <f>($C$11/L$16)*SUMPRODUCT($C$22:$C$118,L$22:L$118)</f>
        <v>26.924334370736073</v>
      </c>
      <c r="M13" s="183">
        <f>($C$11/M$16)*SUMPRODUCT($C$22:$C$118,M$22:M$118)</f>
        <v>24.890133931616305</v>
      </c>
    </row>
    <row r="14" spans="1:13" ht="15" customHeight="1" x14ac:dyDescent="0.25">
      <c r="B14" s="180"/>
      <c r="C14" s="180" t="str">
        <f>Toolbox!E12</f>
        <v xml:space="preserve">  equal energy illuminant</v>
      </c>
      <c r="E14" s="176" t="str">
        <f>Toolbox!D27</f>
        <v>S cone</v>
      </c>
      <c r="F14" s="176">
        <f>Toolbox!E27</f>
        <v>360</v>
      </c>
    </row>
    <row r="15" spans="1:13" ht="15" customHeight="1" x14ac:dyDescent="0.35">
      <c r="B15" s="180"/>
      <c r="C15" s="180" t="str">
        <f>Toolbox!E13</f>
        <v xml:space="preserve">  illuminance</v>
      </c>
      <c r="E15" s="176" t="str">
        <f>Toolbox!D28</f>
        <v>Melanopsin</v>
      </c>
      <c r="F15" s="176">
        <f>Toolbox!E28</f>
        <v>480</v>
      </c>
      <c r="H15" s="178" t="s">
        <v>195</v>
      </c>
    </row>
    <row r="16" spans="1:13" ht="15" customHeight="1" x14ac:dyDescent="0.35">
      <c r="B16" s="180">
        <f>IF(C16="  n/a","  n/a",Toolbox!D14)</f>
        <v>170</v>
      </c>
      <c r="C16" s="180" t="str">
        <f>Toolbox!E14</f>
        <v xml:space="preserve">  lux</v>
      </c>
      <c r="E16" s="176" t="str">
        <f>Toolbox!D29</f>
        <v>Rod</v>
      </c>
      <c r="F16" s="176">
        <f>Toolbox!E29</f>
        <v>498</v>
      </c>
      <c r="H16" s="176" t="s">
        <v>196</v>
      </c>
      <c r="I16" s="188">
        <f>MAX(I$22:I$118)</f>
        <v>1.6378643782300979E-2</v>
      </c>
      <c r="J16" s="188">
        <f t="shared" ref="J16:M16" si="0">MAX(J$22:J$118)</f>
        <v>9.2837763278830285E-3</v>
      </c>
      <c r="K16" s="188">
        <f t="shared" si="0"/>
        <v>8.867220873711907E-3</v>
      </c>
      <c r="L16" s="188">
        <f t="shared" si="0"/>
        <v>8.651269236064232E-3</v>
      </c>
      <c r="M16" s="188">
        <f t="shared" si="0"/>
        <v>1</v>
      </c>
    </row>
    <row r="17" spans="2:13" ht="15" customHeight="1" x14ac:dyDescent="0.35">
      <c r="C17" s="180" t="str">
        <f>IF(Toolbox!$D$6&lt;&gt;"approximate mode","Custom spd","peaking at "&amp;Toolbox!I19&amp;" nm")</f>
        <v>peaking at n/a nm</v>
      </c>
      <c r="E17" s="176" t="str">
        <f>Toolbox!D30</f>
        <v>M cone</v>
      </c>
      <c r="F17" s="176">
        <f>Toolbox!E30</f>
        <v>508</v>
      </c>
      <c r="H17" s="189" t="s">
        <v>194</v>
      </c>
      <c r="I17" s="176">
        <f ca="1">OFFSET($H$21,MATCH(I$16,I$22:I$118,0),0)</f>
        <v>365</v>
      </c>
      <c r="J17" s="176">
        <f ca="1">OFFSET($H$21,MATCH(J$16,J$22:J$118,0),0)</f>
        <v>485</v>
      </c>
      <c r="K17" s="176">
        <f ca="1">OFFSET($H$21,MATCH(K$16,K$22:K$118,0),0)</f>
        <v>505</v>
      </c>
      <c r="L17" s="176">
        <f ca="1">OFFSET($H$21,MATCH(L$16,L$22:L$118,0),0)</f>
        <v>515</v>
      </c>
      <c r="M17" s="176">
        <f ca="1">OFFSET($H$21,MATCH(M$16,M$22:M$118,0),0)</f>
        <v>555</v>
      </c>
    </row>
    <row r="18" spans="2:13" ht="15" customHeight="1" x14ac:dyDescent="0.25"/>
    <row r="19" spans="2:13" ht="15" customHeight="1" x14ac:dyDescent="0.25"/>
    <row r="20" spans="2:13" ht="15" customHeight="1" x14ac:dyDescent="0.25"/>
    <row r="21" spans="2:13" ht="18" x14ac:dyDescent="0.35">
      <c r="B21" s="177" t="s">
        <v>1</v>
      </c>
      <c r="C21" s="180" t="s">
        <v>198</v>
      </c>
      <c r="D21" s="180"/>
      <c r="E21" s="179"/>
      <c r="F21" s="180" t="s">
        <v>187</v>
      </c>
      <c r="G21" s="180"/>
      <c r="H21" s="179"/>
      <c r="I21" s="180" t="s">
        <v>147</v>
      </c>
      <c r="J21" s="180" t="s">
        <v>25</v>
      </c>
      <c r="K21" s="180" t="s">
        <v>23</v>
      </c>
      <c r="L21" s="180" t="s">
        <v>24</v>
      </c>
      <c r="M21" s="180" t="s">
        <v>167</v>
      </c>
    </row>
    <row r="22" spans="2:13" x14ac:dyDescent="0.25">
      <c r="B22" s="177">
        <v>300</v>
      </c>
      <c r="C22" s="190">
        <f>Spectra!N22</f>
        <v>1.0309278350515464E-2</v>
      </c>
      <c r="E22" s="177">
        <v>300</v>
      </c>
      <c r="F22" s="183">
        <v>6.9999999999999993E-3</v>
      </c>
      <c r="H22" s="177">
        <v>300</v>
      </c>
      <c r="I22" s="188">
        <f>'S cone'!Q12/5</f>
        <v>6.7295793733108237E-5</v>
      </c>
      <c r="J22" s="188">
        <f>ipRGC!Q12/5</f>
        <v>6.6280378484766271E-6</v>
      </c>
      <c r="K22" s="188">
        <f>Rod!Q12/5</f>
        <v>5.5019122199468094E-6</v>
      </c>
      <c r="L22" s="188">
        <f>'M cone'!Q12/5</f>
        <v>4.9913151343537506E-6</v>
      </c>
      <c r="M22" s="188">
        <v>0</v>
      </c>
    </row>
    <row r="23" spans="2:13" x14ac:dyDescent="0.25">
      <c r="B23" s="177">
        <v>305</v>
      </c>
      <c r="C23" s="190">
        <f>Spectra!N23</f>
        <v>1.0309278350515464E-2</v>
      </c>
      <c r="E23" s="177">
        <v>305</v>
      </c>
      <c r="F23" s="183">
        <v>3.548133892335753E-2</v>
      </c>
      <c r="H23" s="177">
        <v>305</v>
      </c>
      <c r="I23" s="188">
        <f>'S cone'!Q13/5</f>
        <v>3.8964108708619419E-4</v>
      </c>
      <c r="J23" s="188">
        <f>ipRGC!Q13/5</f>
        <v>3.9090061290117045E-5</v>
      </c>
      <c r="K23" s="188">
        <f>Rod!Q13/5</f>
        <v>3.2480295066085918E-5</v>
      </c>
      <c r="L23" s="188">
        <f>'M cone'!Q13/5</f>
        <v>2.9469678836400126E-5</v>
      </c>
      <c r="M23" s="188">
        <v>0</v>
      </c>
    </row>
    <row r="24" spans="2:13" x14ac:dyDescent="0.25">
      <c r="B24" s="177">
        <v>310</v>
      </c>
      <c r="C24" s="190">
        <f>Spectra!N24</f>
        <v>1.0309278350515464E-2</v>
      </c>
      <c r="E24" s="177">
        <v>310</v>
      </c>
      <c r="F24" s="183">
        <v>0.10300000000000001</v>
      </c>
      <c r="H24" s="177">
        <v>310</v>
      </c>
      <c r="I24" s="188">
        <f>'S cone'!Q14/5</f>
        <v>1.2656081255380178E-3</v>
      </c>
      <c r="J24" s="188">
        <f>ipRGC!Q14/5</f>
        <v>1.2972850062796512E-4</v>
      </c>
      <c r="K24" s="188">
        <f>Rod!Q14/5</f>
        <v>1.0810607462639439E-4</v>
      </c>
      <c r="L24" s="188">
        <f>'M cone'!Q14/5</f>
        <v>9.8192015232371595E-5</v>
      </c>
      <c r="M24" s="188">
        <v>0</v>
      </c>
    </row>
    <row r="25" spans="2:13" x14ac:dyDescent="0.25">
      <c r="B25" s="177">
        <v>315</v>
      </c>
      <c r="C25" s="190">
        <f>Spectra!N25</f>
        <v>1.0309278350515464E-2</v>
      </c>
      <c r="E25" s="177">
        <v>315</v>
      </c>
      <c r="F25" s="183">
        <v>0.23384259378835601</v>
      </c>
      <c r="H25" s="177">
        <v>315</v>
      </c>
      <c r="I25" s="188">
        <f>'S cone'!Q15/5</f>
        <v>3.1706161987220516E-3</v>
      </c>
      <c r="J25" s="188">
        <f>ipRGC!Q15/5</f>
        <v>3.3087997141125901E-4</v>
      </c>
      <c r="K25" s="188">
        <f>Rod!Q15/5</f>
        <v>2.7704479544616006E-4</v>
      </c>
      <c r="L25" s="188">
        <f>'M cone'!Q15/5</f>
        <v>2.5214688970191508E-4</v>
      </c>
      <c r="M25" s="188">
        <v>0</v>
      </c>
    </row>
    <row r="26" spans="2:13" x14ac:dyDescent="0.25">
      <c r="B26" s="177">
        <v>320</v>
      </c>
      <c r="C26" s="190">
        <f>Spectra!N26</f>
        <v>1.0309278350515464E-2</v>
      </c>
      <c r="E26" s="177">
        <v>320</v>
      </c>
      <c r="F26" s="183">
        <v>0.33</v>
      </c>
      <c r="H26" s="177">
        <v>320</v>
      </c>
      <c r="I26" s="188">
        <f>'S cone'!Q16/5</f>
        <v>4.8983251896983172E-3</v>
      </c>
      <c r="J26" s="188">
        <f>ipRGC!Q16/5</f>
        <v>5.1560163129242814E-4</v>
      </c>
      <c r="K26" s="188">
        <f>Rod!Q16/5</f>
        <v>4.3452719251130359E-4</v>
      </c>
      <c r="L26" s="188">
        <f>'M cone'!Q16/5</f>
        <v>3.9663556341957629E-4</v>
      </c>
      <c r="M26" s="188">
        <v>0</v>
      </c>
    </row>
    <row r="27" spans="2:13" x14ac:dyDescent="0.25">
      <c r="B27" s="177">
        <v>325</v>
      </c>
      <c r="C27" s="190">
        <f>Spectra!N27</f>
        <v>1.0309278350515464E-2</v>
      </c>
      <c r="E27" s="177">
        <v>325</v>
      </c>
      <c r="F27" s="183">
        <v>0.39915740621164403</v>
      </c>
      <c r="H27" s="177">
        <v>325</v>
      </c>
      <c r="I27" s="188">
        <f>'S cone'!Q17/5</f>
        <v>6.4621753538743566E-3</v>
      </c>
      <c r="J27" s="188">
        <f>ipRGC!Q17/5</f>
        <v>6.7705514739223023E-4</v>
      </c>
      <c r="K27" s="188">
        <f>Rod!Q17/5</f>
        <v>5.7523376655875416E-4</v>
      </c>
      <c r="L27" s="188">
        <f>'M cone'!Q17/5</f>
        <v>5.2706596689770433E-4</v>
      </c>
      <c r="M27" s="188">
        <v>0</v>
      </c>
    </row>
    <row r="28" spans="2:13" x14ac:dyDescent="0.25">
      <c r="B28" s="177">
        <v>330</v>
      </c>
      <c r="C28" s="190">
        <f>Spectra!N28</f>
        <v>1.0309278350515464E-2</v>
      </c>
      <c r="E28" s="177">
        <v>330</v>
      </c>
      <c r="F28" s="183">
        <v>0.44900000000000001</v>
      </c>
      <c r="H28" s="177">
        <v>330</v>
      </c>
      <c r="I28" s="188">
        <f>'S cone'!Q18/5</f>
        <v>7.9135380450880595E-3</v>
      </c>
      <c r="J28" s="188">
        <f>ipRGC!Q18/5</f>
        <v>8.1320534083236342E-4</v>
      </c>
      <c r="K28" s="188">
        <f>Rod!Q18/5</f>
        <v>6.9749731851297407E-4</v>
      </c>
      <c r="L28" s="188">
        <f>'M cone'!Q18/5</f>
        <v>6.4203345218596074E-4</v>
      </c>
      <c r="M28" s="188">
        <v>0</v>
      </c>
    </row>
    <row r="29" spans="2:13" x14ac:dyDescent="0.25">
      <c r="B29" s="177">
        <v>335</v>
      </c>
      <c r="C29" s="190">
        <f>Spectra!N29</f>
        <v>1.0309278350515464E-2</v>
      </c>
      <c r="E29" s="177">
        <v>335</v>
      </c>
      <c r="F29" s="183">
        <v>0.48690278136506698</v>
      </c>
      <c r="H29" s="177">
        <v>335</v>
      </c>
      <c r="I29" s="188">
        <f>'S cone'!Q19/5</f>
        <v>9.3199926098063695E-3</v>
      </c>
      <c r="J29" s="188">
        <f>ipRGC!Q19/5</f>
        <v>9.2661688906860011E-4</v>
      </c>
      <c r="K29" s="188">
        <f>Rod!Q19/5</f>
        <v>8.0323270102926315E-4</v>
      </c>
      <c r="L29" s="188">
        <f>'M cone'!Q19/5</f>
        <v>7.4329742932920887E-4</v>
      </c>
      <c r="M29" s="188">
        <v>0</v>
      </c>
    </row>
    <row r="30" spans="2:13" x14ac:dyDescent="0.25">
      <c r="B30" s="177">
        <v>340</v>
      </c>
      <c r="C30" s="190">
        <f>Spectra!N30</f>
        <v>1.0309278350515464E-2</v>
      </c>
      <c r="E30" s="177">
        <v>340</v>
      </c>
      <c r="F30" s="183">
        <v>0.51900000000000002</v>
      </c>
      <c r="H30" s="177">
        <v>340</v>
      </c>
      <c r="I30" s="188">
        <f>'S cone'!Q20/5</f>
        <v>1.0737955167064052E-2</v>
      </c>
      <c r="J30" s="188">
        <f>ipRGC!Q20/5</f>
        <v>1.0220912966764305E-3</v>
      </c>
      <c r="K30" s="188">
        <f>Rod!Q20/5</f>
        <v>8.9603801100684424E-4</v>
      </c>
      <c r="L30" s="188">
        <f>'M cone'!Q20/5</f>
        <v>8.3409053054794911E-4</v>
      </c>
      <c r="M30" s="188">
        <v>0</v>
      </c>
    </row>
    <row r="31" spans="2:13" x14ac:dyDescent="0.25">
      <c r="B31" s="177">
        <v>345</v>
      </c>
      <c r="C31" s="190">
        <f>Spectra!N31</f>
        <v>1.0309278350515464E-2</v>
      </c>
      <c r="E31" s="177">
        <v>345</v>
      </c>
      <c r="F31" s="183">
        <v>0.54955621464828197</v>
      </c>
      <c r="H31" s="177">
        <v>345</v>
      </c>
      <c r="I31" s="188">
        <f>'S cone'!Q21/5</f>
        <v>1.2189230289433374E-2</v>
      </c>
      <c r="J31" s="188">
        <f>ipRGC!Q21/5</f>
        <v>1.1041350324334875E-3</v>
      </c>
      <c r="K31" s="188">
        <f>Rod!Q21/5</f>
        <v>9.7903423037456008E-4</v>
      </c>
      <c r="L31" s="188">
        <f>'M cone'!Q21/5</f>
        <v>9.1713997198439681E-4</v>
      </c>
      <c r="M31" s="188">
        <v>0</v>
      </c>
    </row>
    <row r="32" spans="2:13" x14ac:dyDescent="0.25">
      <c r="B32" s="177">
        <v>350</v>
      </c>
      <c r="C32" s="190">
        <f>Spectra!N32</f>
        <v>1.0309278350515464E-2</v>
      </c>
      <c r="E32" s="177">
        <v>350</v>
      </c>
      <c r="F32" s="183">
        <v>0.58099999999999996</v>
      </c>
      <c r="H32" s="177">
        <v>350</v>
      </c>
      <c r="I32" s="188">
        <f>'S cone'!Q22/5</f>
        <v>1.3647548852025718E-2</v>
      </c>
      <c r="J32" s="188">
        <f>ipRGC!Q22/5</f>
        <v>1.1758281622425643E-3</v>
      </c>
      <c r="K32" s="188">
        <f>Rod!Q22/5</f>
        <v>1.0537778143226487E-3</v>
      </c>
      <c r="L32" s="188">
        <f>'M cone'!Q22/5</f>
        <v>9.9361688055389598E-4</v>
      </c>
      <c r="M32" s="188">
        <v>0</v>
      </c>
    </row>
    <row r="33" spans="2:13" x14ac:dyDescent="0.25">
      <c r="B33" s="177">
        <v>355</v>
      </c>
      <c r="C33" s="190">
        <f>Spectra!N33</f>
        <v>1.0309278350515464E-2</v>
      </c>
      <c r="E33" s="177">
        <v>355</v>
      </c>
      <c r="F33" s="183">
        <v>0.61119378535171798</v>
      </c>
      <c r="H33" s="177">
        <v>355</v>
      </c>
      <c r="I33" s="188">
        <f>'S cone'!Q23/5</f>
        <v>1.49568244550785E-2</v>
      </c>
      <c r="J33" s="188">
        <f>ipRGC!Q23/5</f>
        <v>1.2327310596231371E-3</v>
      </c>
      <c r="K33" s="188">
        <f>Rod!Q23/5</f>
        <v>1.1145793404969003E-3</v>
      </c>
      <c r="L33" s="188">
        <f>'M cone'!Q23/5</f>
        <v>1.0576642719986509E-3</v>
      </c>
      <c r="M33" s="188">
        <v>0</v>
      </c>
    </row>
    <row r="34" spans="2:13" x14ac:dyDescent="0.25">
      <c r="B34" s="177">
        <v>360</v>
      </c>
      <c r="C34" s="190">
        <f>Spectra!N34</f>
        <v>1.0309278350515464E-2</v>
      </c>
      <c r="E34" s="177">
        <v>360</v>
      </c>
      <c r="F34" s="183">
        <v>0.63800000000000001</v>
      </c>
      <c r="H34" s="177">
        <v>360</v>
      </c>
      <c r="I34" s="188">
        <f>'S cone'!Q24/5</f>
        <v>1.5927576433835817E-2</v>
      </c>
      <c r="J34" s="188">
        <f>ipRGC!Q24/5</f>
        <v>1.272362742905602E-3</v>
      </c>
      <c r="K34" s="188">
        <f>Rod!Q24/5</f>
        <v>1.1567994668492448E-3</v>
      </c>
      <c r="L34" s="188">
        <f>'M cone'!Q24/5</f>
        <v>1.1040618293720449E-3</v>
      </c>
      <c r="M34" s="188">
        <v>3.9169999999999999E-6</v>
      </c>
    </row>
    <row r="35" spans="2:13" x14ac:dyDescent="0.25">
      <c r="B35" s="177">
        <v>365</v>
      </c>
      <c r="C35" s="190">
        <f>Spectra!N35</f>
        <v>1.0309278350515464E-2</v>
      </c>
      <c r="E35" s="177">
        <v>365</v>
      </c>
      <c r="F35" s="183">
        <v>0.66016864394484598</v>
      </c>
      <c r="H35" s="177">
        <v>365</v>
      </c>
      <c r="I35" s="188">
        <f>'S cone'!Q25/5</f>
        <v>1.6378643782300979E-2</v>
      </c>
      <c r="J35" s="188">
        <f>ipRGC!Q25/5</f>
        <v>1.2963763381408551E-3</v>
      </c>
      <c r="K35" s="188">
        <f>Rod!Q25/5</f>
        <v>1.1790662196382461E-3</v>
      </c>
      <c r="L35" s="188">
        <f>'M cone'!Q25/5</f>
        <v>1.130385953161749E-3</v>
      </c>
      <c r="M35" s="188">
        <v>6.9650000000000002E-6</v>
      </c>
    </row>
    <row r="36" spans="2:13" x14ac:dyDescent="0.25">
      <c r="B36" s="177">
        <v>370</v>
      </c>
      <c r="C36" s="190">
        <f>Spectra!N36</f>
        <v>1.0309278350515464E-2</v>
      </c>
      <c r="E36" s="177">
        <v>370</v>
      </c>
      <c r="F36" s="183">
        <v>0.68</v>
      </c>
      <c r="H36" s="177">
        <v>370</v>
      </c>
      <c r="I36" s="188">
        <f>'S cone'!Q26/5</f>
        <v>1.62291429381748E-2</v>
      </c>
      <c r="J36" s="188">
        <f>ipRGC!Q26/5</f>
        <v>1.3154956208686183E-3</v>
      </c>
      <c r="K36" s="188">
        <f>Rod!Q26/5</f>
        <v>1.1881208374101922E-3</v>
      </c>
      <c r="L36" s="188">
        <f>'M cone'!Q26/5</f>
        <v>1.1418048353949903E-3</v>
      </c>
      <c r="M36" s="188">
        <v>1.239E-5</v>
      </c>
    </row>
    <row r="37" spans="2:13" x14ac:dyDescent="0.25">
      <c r="B37" s="177">
        <v>375</v>
      </c>
      <c r="C37" s="190">
        <f>Spectra!N37</f>
        <v>1.0309278350515464E-2</v>
      </c>
      <c r="E37" s="177">
        <v>375</v>
      </c>
      <c r="F37" s="183">
        <v>0.69988163886889698</v>
      </c>
      <c r="H37" s="177">
        <v>375</v>
      </c>
      <c r="I37" s="188">
        <f>'S cone'!Q27/5</f>
        <v>1.5428040841656027E-2</v>
      </c>
      <c r="J37" s="188">
        <f>ipRGC!Q27/5</f>
        <v>1.3419704641672229E-3</v>
      </c>
      <c r="K37" s="188">
        <f>Rod!Q27/5</f>
        <v>1.1920772472057614E-3</v>
      </c>
      <c r="L37" s="188">
        <f>'M cone'!Q27/5</f>
        <v>1.1447462941738672E-3</v>
      </c>
      <c r="M37" s="188">
        <v>2.2019999999999999E-5</v>
      </c>
    </row>
    <row r="38" spans="2:13" x14ac:dyDescent="0.25">
      <c r="B38" s="177">
        <v>380</v>
      </c>
      <c r="C38" s="190">
        <f>Spectra!N38</f>
        <v>1.0309278350515464E-2</v>
      </c>
      <c r="E38" s="177">
        <v>380</v>
      </c>
      <c r="F38" s="183">
        <v>0.71900000000000008</v>
      </c>
      <c r="H38" s="177">
        <v>380</v>
      </c>
      <c r="I38" s="188">
        <f>'S cone'!Q28/5</f>
        <v>1.3907531505615628E-2</v>
      </c>
      <c r="J38" s="188">
        <f>ipRGC!Q28/5</f>
        <v>1.3830246322871374E-3</v>
      </c>
      <c r="K38" s="188">
        <f>Rod!Q28/5</f>
        <v>1.1946318561463765E-3</v>
      </c>
      <c r="L38" s="188">
        <f>'M cone'!Q28/5</f>
        <v>1.1413337321310626E-3</v>
      </c>
      <c r="M38" s="188">
        <v>3.8999999999999999E-5</v>
      </c>
    </row>
    <row r="39" spans="2:13" x14ac:dyDescent="0.25">
      <c r="B39" s="177">
        <v>385</v>
      </c>
      <c r="C39" s="190">
        <f>Spectra!N39</f>
        <v>1.0309278350515464E-2</v>
      </c>
      <c r="E39" s="177">
        <v>385</v>
      </c>
      <c r="F39" s="183">
        <v>0.736179800579567</v>
      </c>
      <c r="H39" s="177">
        <v>385</v>
      </c>
      <c r="I39" s="188">
        <f>'S cone'!Q29/5</f>
        <v>1.1716098202847813E-2</v>
      </c>
      <c r="J39" s="188">
        <f>ipRGC!Q29/5</f>
        <v>1.4459780383233739E-3</v>
      </c>
      <c r="K39" s="188">
        <f>Rod!Q29/5</f>
        <v>1.2001399812706043E-3</v>
      </c>
      <c r="L39" s="188">
        <f>'M cone'!Q29/5</f>
        <v>1.1343596816046028E-3</v>
      </c>
      <c r="M39" s="188">
        <v>6.3999999999999997E-5</v>
      </c>
    </row>
    <row r="40" spans="2:13" x14ac:dyDescent="0.25">
      <c r="B40" s="177">
        <v>390</v>
      </c>
      <c r="C40" s="190">
        <f>Spectra!N40</f>
        <v>1.0309278350515464E-2</v>
      </c>
      <c r="E40" s="177">
        <v>390</v>
      </c>
      <c r="F40" s="183">
        <v>0.752</v>
      </c>
      <c r="H40" s="177">
        <v>390</v>
      </c>
      <c r="I40" s="188">
        <f>'S cone'!Q30/5</f>
        <v>9.1064790649724447E-3</v>
      </c>
      <c r="J40" s="188">
        <f>ipRGC!Q30/5</f>
        <v>1.5416179938092314E-3</v>
      </c>
      <c r="K40" s="188">
        <f>Rod!Q30/5</f>
        <v>1.2167309647978155E-3</v>
      </c>
      <c r="L40" s="188">
        <f>'M cone'!Q30/5</f>
        <v>1.1303705228338759E-3</v>
      </c>
      <c r="M40" s="188">
        <v>1.2E-4</v>
      </c>
    </row>
    <row r="41" spans="2:13" x14ac:dyDescent="0.25">
      <c r="B41" s="177">
        <v>395</v>
      </c>
      <c r="C41" s="190">
        <f>Spectra!N41</f>
        <v>1.0309278350515464E-2</v>
      </c>
      <c r="E41" s="177">
        <v>395</v>
      </c>
      <c r="F41" s="183">
        <v>0.76714915881283607</v>
      </c>
      <c r="H41" s="177">
        <v>395</v>
      </c>
      <c r="I41" s="188">
        <f>'S cone'!Q31/5</f>
        <v>6.4736594214959784E-3</v>
      </c>
      <c r="J41" s="188">
        <f>ipRGC!Q31/5</f>
        <v>1.6805967418603753E-3</v>
      </c>
      <c r="K41" s="188">
        <f>Rod!Q31/5</f>
        <v>1.2531341362650367E-3</v>
      </c>
      <c r="L41" s="188">
        <f>'M cone'!Q31/5</f>
        <v>1.1366549707005967E-3</v>
      </c>
      <c r="M41" s="188">
        <v>2.1699999999999999E-4</v>
      </c>
    </row>
    <row r="42" spans="2:13" x14ac:dyDescent="0.25">
      <c r="B42" s="177">
        <v>400</v>
      </c>
      <c r="C42" s="190">
        <f>Spectra!N42</f>
        <v>1.0309278350515464E-2</v>
      </c>
      <c r="E42" s="177">
        <v>400</v>
      </c>
      <c r="F42" s="183">
        <v>0.78099999999999992</v>
      </c>
      <c r="H42" s="177">
        <v>400</v>
      </c>
      <c r="I42" s="188">
        <f>'S cone'!Q32/5</f>
        <v>4.2054783635340331E-3</v>
      </c>
      <c r="J42" s="188">
        <f>ipRGC!Q32/5</f>
        <v>1.8697790951377809E-3</v>
      </c>
      <c r="K42" s="188">
        <f>Rod!Q32/5</f>
        <v>1.3160761014110233E-3</v>
      </c>
      <c r="L42" s="188">
        <f>'M cone'!Q32/5</f>
        <v>1.1589461514859398E-3</v>
      </c>
      <c r="M42" s="188">
        <v>3.9599999999999998E-4</v>
      </c>
    </row>
    <row r="43" spans="2:13" x14ac:dyDescent="0.25">
      <c r="B43" s="177">
        <v>405</v>
      </c>
      <c r="C43" s="190">
        <f>Spectra!N43</f>
        <v>1.0309278350515464E-2</v>
      </c>
      <c r="E43" s="177">
        <v>405</v>
      </c>
      <c r="F43" s="183">
        <v>0.792848564169089</v>
      </c>
      <c r="H43" s="177">
        <v>405</v>
      </c>
      <c r="I43" s="188">
        <f>'S cone'!Q33/5</f>
        <v>2.5236477510869213E-3</v>
      </c>
      <c r="J43" s="188">
        <f>ipRGC!Q33/5</f>
        <v>2.113582371863593E-3</v>
      </c>
      <c r="K43" s="188">
        <f>Rod!Q33/5</f>
        <v>1.4117461033297959E-3</v>
      </c>
      <c r="L43" s="188">
        <f>'M cone'!Q33/5</f>
        <v>1.2029913576809888E-3</v>
      </c>
      <c r="M43" s="188">
        <v>6.4000000000000005E-4</v>
      </c>
    </row>
    <row r="44" spans="2:13" x14ac:dyDescent="0.25">
      <c r="B44" s="177">
        <v>410</v>
      </c>
      <c r="C44" s="190">
        <f>Spectra!N44</f>
        <v>1.0309278350515464E-2</v>
      </c>
      <c r="E44" s="177">
        <v>410</v>
      </c>
      <c r="F44" s="183">
        <v>0.80299999999999994</v>
      </c>
      <c r="H44" s="177">
        <v>410</v>
      </c>
      <c r="I44" s="188">
        <f>'S cone'!Q34/5</f>
        <v>1.4268108166640083E-3</v>
      </c>
      <c r="J44" s="188">
        <f>ipRGC!Q34/5</f>
        <v>2.4160976113701623E-3</v>
      </c>
      <c r="K44" s="188">
        <f>Rod!Q34/5</f>
        <v>1.5471315244624201E-3</v>
      </c>
      <c r="L44" s="188">
        <f>'M cone'!Q34/5</f>
        <v>1.2757354481104347E-3</v>
      </c>
      <c r="M44" s="188">
        <v>1.2099999999999999E-3</v>
      </c>
    </row>
    <row r="45" spans="2:13" x14ac:dyDescent="0.25">
      <c r="B45" s="177">
        <v>415</v>
      </c>
      <c r="C45" s="190">
        <f>Spectra!N45</f>
        <v>1.0309278350515464E-2</v>
      </c>
      <c r="E45" s="177">
        <v>415</v>
      </c>
      <c r="F45" s="183">
        <v>0.81195658451080899</v>
      </c>
      <c r="H45" s="177">
        <v>415</v>
      </c>
      <c r="I45" s="188">
        <f>'S cone'!Q35/5</f>
        <v>7.7623092035604651E-4</v>
      </c>
      <c r="J45" s="188">
        <f>ipRGC!Q35/5</f>
        <v>2.7794086571344347E-3</v>
      </c>
      <c r="K45" s="188">
        <f>Rod!Q35/5</f>
        <v>1.728481420730648E-3</v>
      </c>
      <c r="L45" s="188">
        <f>'M cone'!Q35/5</f>
        <v>1.3838746258003868E-3</v>
      </c>
      <c r="M45" s="188">
        <v>2.1800000000000001E-3</v>
      </c>
    </row>
    <row r="46" spans="2:13" x14ac:dyDescent="0.25">
      <c r="B46" s="177">
        <v>420</v>
      </c>
      <c r="C46" s="190">
        <f>Spectra!N46</f>
        <v>1.0309278350515464E-2</v>
      </c>
      <c r="E46" s="177">
        <v>420</v>
      </c>
      <c r="F46" s="183">
        <v>0.82</v>
      </c>
      <c r="H46" s="177">
        <v>420</v>
      </c>
      <c r="I46" s="188">
        <f>'S cone'!Q36/5</f>
        <v>4.1349159118475457E-4</v>
      </c>
      <c r="J46" s="188">
        <f>ipRGC!Q36/5</f>
        <v>3.2023323023390058E-3</v>
      </c>
      <c r="K46" s="188">
        <f>Rod!Q36/5</f>
        <v>1.9602995852305337E-3</v>
      </c>
      <c r="L46" s="188">
        <f>'M cone'!Q36/5</f>
        <v>1.5330088159000378E-3</v>
      </c>
      <c r="M46" s="188">
        <v>4.0000000000000001E-3</v>
      </c>
    </row>
    <row r="47" spans="2:13" x14ac:dyDescent="0.25">
      <c r="B47" s="177">
        <v>425</v>
      </c>
      <c r="C47" s="190">
        <f>Spectra!N47</f>
        <v>1.0309278350515464E-2</v>
      </c>
      <c r="E47" s="177">
        <v>425</v>
      </c>
      <c r="F47" s="183">
        <v>0.82745009778767498</v>
      </c>
      <c r="H47" s="177">
        <v>425</v>
      </c>
      <c r="I47" s="188">
        <f>'S cone'!Q37/5</f>
        <v>2.1843376631753932E-4</v>
      </c>
      <c r="J47" s="188">
        <f>ipRGC!Q37/5</f>
        <v>3.6811828632936049E-3</v>
      </c>
      <c r="K47" s="188">
        <f>Rod!Q37/5</f>
        <v>2.2456112974326157E-3</v>
      </c>
      <c r="L47" s="188">
        <f>'M cone'!Q37/5</f>
        <v>1.7278528165880548E-3</v>
      </c>
      <c r="M47" s="188">
        <v>7.3000000000000001E-3</v>
      </c>
    </row>
    <row r="48" spans="2:13" x14ac:dyDescent="0.25">
      <c r="B48" s="177">
        <v>430</v>
      </c>
      <c r="C48" s="190">
        <f>Spectra!N48</f>
        <v>1.0309278350515464E-2</v>
      </c>
      <c r="E48" s="177">
        <v>430</v>
      </c>
      <c r="F48" s="183">
        <v>0.83499999999999996</v>
      </c>
      <c r="H48" s="177">
        <v>430</v>
      </c>
      <c r="I48" s="188">
        <f>'S cone'!Q38/5</f>
        <v>1.1546650185268262E-4</v>
      </c>
      <c r="J48" s="188">
        <f>ipRGC!Q38/5</f>
        <v>4.2118212313296535E-3</v>
      </c>
      <c r="K48" s="188">
        <f>Rod!Q38/5</f>
        <v>2.5869380655465604E-3</v>
      </c>
      <c r="L48" s="188">
        <f>'M cone'!Q38/5</f>
        <v>1.9729163286190251E-3</v>
      </c>
      <c r="M48" s="188">
        <v>1.1599999999999999E-2</v>
      </c>
    </row>
    <row r="49" spans="2:13" x14ac:dyDescent="0.25">
      <c r="B49" s="177">
        <v>435</v>
      </c>
      <c r="C49" s="190">
        <f>Spectra!N49</f>
        <v>1.0309278350515464E-2</v>
      </c>
      <c r="E49" s="177">
        <v>435</v>
      </c>
      <c r="F49" s="183">
        <v>0.84311802433849192</v>
      </c>
      <c r="H49" s="177">
        <v>435</v>
      </c>
      <c r="I49" s="188">
        <f>'S cone'!Q39/5</f>
        <v>6.1422690123754309E-5</v>
      </c>
      <c r="J49" s="188">
        <f>ipRGC!Q39/5</f>
        <v>4.7878414648929802E-3</v>
      </c>
      <c r="K49" s="188">
        <f>Rod!Q39/5</f>
        <v>2.9849769442635839E-3</v>
      </c>
      <c r="L49" s="188">
        <f>'M cone'!Q39/5</f>
        <v>2.2714057767687489E-3</v>
      </c>
      <c r="M49" s="188">
        <v>1.6840000000000001E-2</v>
      </c>
    </row>
    <row r="50" spans="2:13" x14ac:dyDescent="0.25">
      <c r="B50" s="177">
        <v>440</v>
      </c>
      <c r="C50" s="190">
        <f>Spectra!N50</f>
        <v>1.0309278350515464E-2</v>
      </c>
      <c r="E50" s="177">
        <v>440</v>
      </c>
      <c r="F50" s="183">
        <v>0.85099999999999998</v>
      </c>
      <c r="H50" s="177">
        <v>440</v>
      </c>
      <c r="I50" s="188">
        <f>'S cone'!Q40/5</f>
        <v>3.2949512122739743E-5</v>
      </c>
      <c r="J50" s="188">
        <f>ipRGC!Q40/5</f>
        <v>5.3937338427700347E-3</v>
      </c>
      <c r="K50" s="188">
        <f>Rod!Q40/5</f>
        <v>3.4340759669752806E-3</v>
      </c>
      <c r="L50" s="188">
        <f>'M cone'!Q40/5</f>
        <v>2.6217095496782793E-3</v>
      </c>
      <c r="M50" s="188">
        <v>2.3E-2</v>
      </c>
    </row>
    <row r="51" spans="2:13" x14ac:dyDescent="0.25">
      <c r="B51" s="177">
        <v>445</v>
      </c>
      <c r="C51" s="190">
        <f>Spectra!N51</f>
        <v>1.0309278350515464E-2</v>
      </c>
      <c r="E51" s="177">
        <v>445</v>
      </c>
      <c r="F51" s="183">
        <v>0.85782780485835697</v>
      </c>
      <c r="H51" s="177">
        <v>445</v>
      </c>
      <c r="I51" s="188">
        <f>'S cone'!Q41/5</f>
        <v>1.783901483325013E-5</v>
      </c>
      <c r="J51" s="188">
        <f>ipRGC!Q41/5</f>
        <v>6.009811558030596E-3</v>
      </c>
      <c r="K51" s="188">
        <f>Rod!Q41/5</f>
        <v>3.9247441194331083E-3</v>
      </c>
      <c r="L51" s="188">
        <f>'M cone'!Q41/5</f>
        <v>3.0190952507469777E-3</v>
      </c>
      <c r="M51" s="188">
        <v>2.98E-2</v>
      </c>
    </row>
    <row r="52" spans="2:13" x14ac:dyDescent="0.25">
      <c r="B52" s="177">
        <v>450</v>
      </c>
      <c r="C52" s="190">
        <f>Spectra!N52</f>
        <v>1.0309278350515464E-2</v>
      </c>
      <c r="E52" s="177">
        <v>450</v>
      </c>
      <c r="F52" s="183">
        <v>0.8640000000000001</v>
      </c>
      <c r="H52" s="177">
        <v>450</v>
      </c>
      <c r="I52" s="188">
        <f>'S cone'!Q42/5</f>
        <v>9.7615826545548259E-6</v>
      </c>
      <c r="J52" s="188">
        <f>ipRGC!Q42/5</f>
        <v>6.6218669060010785E-3</v>
      </c>
      <c r="K52" s="188">
        <f>Rod!Q42/5</f>
        <v>4.4497103621631926E-3</v>
      </c>
      <c r="L52" s="188">
        <f>'M cone'!Q42/5</f>
        <v>3.4601001731318455E-3</v>
      </c>
      <c r="M52" s="188">
        <v>3.7999999999999999E-2</v>
      </c>
    </row>
    <row r="53" spans="2:13" x14ac:dyDescent="0.25">
      <c r="B53" s="177">
        <v>455</v>
      </c>
      <c r="C53" s="190">
        <f>Spectra!N53</f>
        <v>1.0309278350515464E-2</v>
      </c>
      <c r="E53" s="177">
        <v>455</v>
      </c>
      <c r="F53" s="183">
        <v>0.87007075622808105</v>
      </c>
      <c r="H53" s="177">
        <v>455</v>
      </c>
      <c r="I53" s="188">
        <f>'S cone'!Q43/5</f>
        <v>5.4047523600834093E-6</v>
      </c>
      <c r="J53" s="188">
        <f>ipRGC!Q43/5</f>
        <v>7.2166681236926124E-3</v>
      </c>
      <c r="K53" s="188">
        <f>Rod!Q43/5</f>
        <v>5.0014877181861197E-3</v>
      </c>
      <c r="L53" s="188">
        <f>'M cone'!Q43/5</f>
        <v>3.9406091908541618E-3</v>
      </c>
      <c r="M53" s="188">
        <v>4.8000000000000001E-2</v>
      </c>
    </row>
    <row r="54" spans="2:13" x14ac:dyDescent="0.25">
      <c r="B54" s="177">
        <v>460</v>
      </c>
      <c r="C54" s="190">
        <f>Spectra!N54</f>
        <v>1.0309278350515464E-2</v>
      </c>
      <c r="E54" s="177">
        <v>460</v>
      </c>
      <c r="F54" s="183">
        <v>0.87599999999999989</v>
      </c>
      <c r="H54" s="177">
        <v>460</v>
      </c>
      <c r="I54" s="188">
        <f>'S cone'!Q44/5</f>
        <v>3.0281686795590981E-6</v>
      </c>
      <c r="J54" s="188">
        <f>ipRGC!Q44/5</f>
        <v>7.7758417354189448E-3</v>
      </c>
      <c r="K54" s="188">
        <f>Rod!Q44/5</f>
        <v>5.5684972705509154E-3</v>
      </c>
      <c r="L54" s="188">
        <f>'M cone'!Q44/5</f>
        <v>4.4527874342477555E-3</v>
      </c>
      <c r="M54" s="188">
        <v>0.06</v>
      </c>
    </row>
    <row r="55" spans="2:13" x14ac:dyDescent="0.25">
      <c r="B55" s="177">
        <v>465</v>
      </c>
      <c r="C55" s="190">
        <f>Spectra!N55</f>
        <v>1.0309278350515464E-2</v>
      </c>
      <c r="E55" s="177">
        <v>465</v>
      </c>
      <c r="F55" s="183">
        <v>0.88163917022932092</v>
      </c>
      <c r="H55" s="177">
        <v>465</v>
      </c>
      <c r="I55" s="188">
        <f>'S cone'!Q45/5</f>
        <v>1.7164889928177134E-6</v>
      </c>
      <c r="J55" s="188">
        <f>ipRGC!Q45/5</f>
        <v>8.2786656531648305E-3</v>
      </c>
      <c r="K55" s="188">
        <f>Rod!Q45/5</f>
        <v>6.1369588526190514E-3</v>
      </c>
      <c r="L55" s="188">
        <f>'M cone'!Q45/5</f>
        <v>4.9864809557320965E-3</v>
      </c>
      <c r="M55" s="188">
        <v>7.3899999999999993E-2</v>
      </c>
    </row>
    <row r="56" spans="2:13" x14ac:dyDescent="0.25">
      <c r="B56" s="177">
        <v>470</v>
      </c>
      <c r="C56" s="190">
        <f>Spectra!N56</f>
        <v>1.0309278350515464E-2</v>
      </c>
      <c r="E56" s="177">
        <v>470</v>
      </c>
      <c r="F56" s="183">
        <v>0.88700000000000001</v>
      </c>
      <c r="H56" s="177">
        <v>470</v>
      </c>
      <c r="I56" s="188">
        <f>'S cone'!Q46/5</f>
        <v>9.8423223161265974E-7</v>
      </c>
      <c r="J56" s="188">
        <f>ipRGC!Q46/5</f>
        <v>8.7046059601604032E-3</v>
      </c>
      <c r="K56" s="188">
        <f>Rod!Q46/5</f>
        <v>6.6927973281180903E-3</v>
      </c>
      <c r="L56" s="188">
        <f>'M cone'!Q46/5</f>
        <v>5.5308031903285714E-3</v>
      </c>
      <c r="M56" s="188">
        <v>9.0980000000000005E-2</v>
      </c>
    </row>
    <row r="57" spans="2:13" x14ac:dyDescent="0.25">
      <c r="B57" s="177">
        <v>475</v>
      </c>
      <c r="C57" s="190">
        <f>Spectra!N57</f>
        <v>1.0309278350515464E-2</v>
      </c>
      <c r="E57" s="177">
        <v>475</v>
      </c>
      <c r="F57" s="183">
        <v>0.89199756285463494</v>
      </c>
      <c r="H57" s="177">
        <v>475</v>
      </c>
      <c r="I57" s="188">
        <f>'S cone'!Q47/5</f>
        <v>5.7070544622311626E-7</v>
      </c>
      <c r="J57" s="188">
        <f>ipRGC!Q47/5</f>
        <v>9.0315129325561488E-3</v>
      </c>
      <c r="K57" s="188">
        <f>Rod!Q47/5</f>
        <v>7.2201591312194124E-3</v>
      </c>
      <c r="L57" s="188">
        <f>'M cone'!Q47/5</f>
        <v>6.0730692937078787E-3</v>
      </c>
      <c r="M57" s="188">
        <v>0.11260000000000001</v>
      </c>
    </row>
    <row r="58" spans="2:13" x14ac:dyDescent="0.25">
      <c r="B58" s="177">
        <v>480</v>
      </c>
      <c r="C58" s="190">
        <f>Spectra!N58</f>
        <v>1.0309278350515464E-2</v>
      </c>
      <c r="E58" s="177">
        <v>480</v>
      </c>
      <c r="F58" s="183">
        <v>0.89599999999999991</v>
      </c>
      <c r="H58" s="177">
        <v>480</v>
      </c>
      <c r="I58" s="188">
        <f>'S cone'!Q48/5</f>
        <v>3.3432246777696992E-7</v>
      </c>
      <c r="J58" s="188">
        <f>ipRGC!Q48/5</f>
        <v>9.2318254486775438E-3</v>
      </c>
      <c r="K58" s="188">
        <f>Rod!Q48/5</f>
        <v>7.6973556637123935E-3</v>
      </c>
      <c r="L58" s="188">
        <f>'M cone'!Q48/5</f>
        <v>6.5953882944145194E-3</v>
      </c>
      <c r="M58" s="188">
        <v>0.13902</v>
      </c>
    </row>
    <row r="59" spans="2:13" x14ac:dyDescent="0.25">
      <c r="B59" s="177">
        <v>485</v>
      </c>
      <c r="C59" s="190">
        <f>Spectra!N59</f>
        <v>1.0309278350515464E-2</v>
      </c>
      <c r="E59" s="177">
        <v>485</v>
      </c>
      <c r="F59" s="183">
        <v>0.89874557835213809</v>
      </c>
      <c r="H59" s="177">
        <v>485</v>
      </c>
      <c r="I59" s="188">
        <f>'S cone'!Q49/5</f>
        <v>1.9774876472611783E-7</v>
      </c>
      <c r="J59" s="188">
        <f>ipRGC!Q49/5</f>
        <v>9.2837763278830285E-3</v>
      </c>
      <c r="K59" s="188">
        <f>Rod!Q49/5</f>
        <v>8.1040893169179208E-3</v>
      </c>
      <c r="L59" s="188">
        <f>'M cone'!Q49/5</f>
        <v>7.080601816015171E-3</v>
      </c>
      <c r="M59" s="188">
        <v>0.16930000000000001</v>
      </c>
    </row>
    <row r="60" spans="2:13" x14ac:dyDescent="0.25">
      <c r="B60" s="177">
        <v>490</v>
      </c>
      <c r="C60" s="190">
        <f>Spectra!N60</f>
        <v>1.0309278350515464E-2</v>
      </c>
      <c r="E60" s="177">
        <v>490</v>
      </c>
      <c r="F60" s="183">
        <v>0.90200000000000002</v>
      </c>
      <c r="H60" s="177">
        <v>490</v>
      </c>
      <c r="I60" s="188">
        <f>'S cone'!Q50/5</f>
        <v>1.1830002332913584E-7</v>
      </c>
      <c r="J60" s="188">
        <f>ipRGC!Q50/5</f>
        <v>9.1915078896547785E-3</v>
      </c>
      <c r="K60" s="188">
        <f>Rod!Q50/5</f>
        <v>8.438362355695856E-3</v>
      </c>
      <c r="L60" s="188">
        <f>'M cone'!Q50/5</f>
        <v>7.5273566304305244E-3</v>
      </c>
      <c r="M60" s="188">
        <v>0.20802000000000001</v>
      </c>
    </row>
    <row r="61" spans="2:13" x14ac:dyDescent="0.25">
      <c r="B61" s="177">
        <v>495</v>
      </c>
      <c r="C61" s="190">
        <f>Spectra!N61</f>
        <v>1.0309278350515464E-2</v>
      </c>
      <c r="E61" s="177">
        <v>495</v>
      </c>
      <c r="F61" s="183">
        <v>0.90727012373681504</v>
      </c>
      <c r="H61" s="177">
        <v>495</v>
      </c>
      <c r="I61" s="188">
        <f>'S cone'!Q51/5</f>
        <v>7.1675184256950241E-8</v>
      </c>
      <c r="J61" s="188">
        <f>ipRGC!Q51/5</f>
        <v>8.962687761813623E-3</v>
      </c>
      <c r="K61" s="188">
        <f>Rod!Q51/5</f>
        <v>8.6978412888006791E-3</v>
      </c>
      <c r="L61" s="188">
        <f>'M cone'!Q51/5</f>
        <v>7.9345211973887112E-3</v>
      </c>
      <c r="M61" s="188">
        <v>0.2586</v>
      </c>
    </row>
    <row r="62" spans="2:13" x14ac:dyDescent="0.25">
      <c r="B62" s="177">
        <v>500</v>
      </c>
      <c r="C62" s="190">
        <f>Spectra!N62</f>
        <v>1.0309278350515464E-2</v>
      </c>
      <c r="E62" s="177">
        <v>500</v>
      </c>
      <c r="F62" s="183">
        <v>0.91299999999999992</v>
      </c>
      <c r="H62" s="177">
        <v>500</v>
      </c>
      <c r="I62" s="188">
        <f>'S cone'!Q52/5</f>
        <v>4.3891612616945429E-8</v>
      </c>
      <c r="J62" s="188">
        <f>ipRGC!Q52/5</f>
        <v>8.5823534545477909E-3</v>
      </c>
      <c r="K62" s="188">
        <f>Rod!Q52/5</f>
        <v>8.8515352693888938E-3</v>
      </c>
      <c r="L62" s="188">
        <f>'M cone'!Q52/5</f>
        <v>8.2742612308724633E-3</v>
      </c>
      <c r="M62" s="188">
        <v>0.32300000000000001</v>
      </c>
    </row>
    <row r="63" spans="2:13" x14ac:dyDescent="0.25">
      <c r="B63" s="177">
        <v>505</v>
      </c>
      <c r="C63" s="190">
        <f>Spectra!N63</f>
        <v>1.0309278350515464E-2</v>
      </c>
      <c r="E63" s="177">
        <v>505</v>
      </c>
      <c r="F63" s="183">
        <v>0.91742392670060402</v>
      </c>
      <c r="H63" s="177">
        <v>505</v>
      </c>
      <c r="I63" s="188">
        <f>'S cone'!Q53/5</f>
        <v>2.7105560717407766E-8</v>
      </c>
      <c r="J63" s="188">
        <f>ipRGC!Q53/5</f>
        <v>8.0467753468769845E-3</v>
      </c>
      <c r="K63" s="188">
        <f>Rod!Q53/5</f>
        <v>8.867220873711907E-3</v>
      </c>
      <c r="L63" s="188">
        <f>'M cone'!Q53/5</f>
        <v>8.5140431936748147E-3</v>
      </c>
      <c r="M63" s="188">
        <v>0.4073</v>
      </c>
    </row>
    <row r="64" spans="2:13" x14ac:dyDescent="0.25">
      <c r="B64" s="177">
        <v>510</v>
      </c>
      <c r="C64" s="190">
        <f>Spectra!N64</f>
        <v>1.0309278350515464E-2</v>
      </c>
      <c r="E64" s="177">
        <v>510</v>
      </c>
      <c r="F64" s="183">
        <v>0.92099999999999993</v>
      </c>
      <c r="H64" s="177">
        <v>510</v>
      </c>
      <c r="I64" s="188">
        <f>'S cone'!Q54/5</f>
        <v>1.6885038094656561E-8</v>
      </c>
      <c r="J64" s="188">
        <f>ipRGC!Q54/5</f>
        <v>7.38574546403282E-3</v>
      </c>
      <c r="K64" s="188">
        <f>Rod!Q54/5</f>
        <v>8.7388789575835076E-3</v>
      </c>
      <c r="L64" s="188">
        <f>'M cone'!Q54/5</f>
        <v>8.6417128907929491E-3</v>
      </c>
      <c r="M64" s="188">
        <v>0.503</v>
      </c>
    </row>
    <row r="65" spans="2:13" x14ac:dyDescent="0.25">
      <c r="B65" s="177">
        <v>515</v>
      </c>
      <c r="C65" s="190">
        <f>Spectra!N65</f>
        <v>1.0309278350515464E-2</v>
      </c>
      <c r="E65" s="177">
        <v>515</v>
      </c>
      <c r="F65" s="183">
        <v>0.92453416946076994</v>
      </c>
      <c r="H65" s="177">
        <v>515</v>
      </c>
      <c r="I65" s="188">
        <f>'S cone'!Q55/5</f>
        <v>1.0616392503643734E-8</v>
      </c>
      <c r="J65" s="188">
        <f>ipRGC!Q55/5</f>
        <v>6.6389896666064763E-3</v>
      </c>
      <c r="K65" s="188">
        <f>Rod!Q55/5</f>
        <v>8.4708130386025749E-3</v>
      </c>
      <c r="L65" s="188">
        <f>'M cone'!Q55/5</f>
        <v>8.651269236064232E-3</v>
      </c>
      <c r="M65" s="188">
        <v>0.60819999999999996</v>
      </c>
    </row>
    <row r="66" spans="2:13" x14ac:dyDescent="0.25">
      <c r="B66" s="177">
        <v>520</v>
      </c>
      <c r="C66" s="190">
        <f>Spectra!N66</f>
        <v>1.0309278350515464E-2</v>
      </c>
      <c r="E66" s="177">
        <v>520</v>
      </c>
      <c r="F66" s="183">
        <v>0.92799999999999994</v>
      </c>
      <c r="H66" s="177">
        <v>520</v>
      </c>
      <c r="I66" s="188">
        <f>'S cone'!Q56/5</f>
        <v>6.735281921429956E-9</v>
      </c>
      <c r="J66" s="188">
        <f>ipRGC!Q56/5</f>
        <v>5.8424554547682681E-3</v>
      </c>
      <c r="K66" s="188">
        <f>Rod!Q56/5</f>
        <v>8.0677660220100037E-3</v>
      </c>
      <c r="L66" s="188">
        <f>'M cone'!Q56/5</f>
        <v>8.5330996151684445E-3</v>
      </c>
      <c r="M66" s="188">
        <v>0.71</v>
      </c>
    </row>
    <row r="67" spans="2:13" x14ac:dyDescent="0.25">
      <c r="B67" s="177">
        <v>525</v>
      </c>
      <c r="C67" s="190">
        <f>Spectra!N67</f>
        <v>1.0309278350515464E-2</v>
      </c>
      <c r="E67" s="177">
        <v>525</v>
      </c>
      <c r="F67" s="183">
        <v>0.93118939545631607</v>
      </c>
      <c r="H67" s="177">
        <v>525</v>
      </c>
      <c r="I67" s="188">
        <f>'S cone'!Q57/5</f>
        <v>4.3095344222274009E-9</v>
      </c>
      <c r="J67" s="188">
        <f>ipRGC!Q57/5</f>
        <v>5.0307931972794024E-3</v>
      </c>
      <c r="K67" s="188">
        <f>Rod!Q57/5</f>
        <v>7.5422934852985247E-3</v>
      </c>
      <c r="L67" s="188">
        <f>'M cone'!Q57/5</f>
        <v>8.28194734606277E-3</v>
      </c>
      <c r="M67" s="188">
        <v>0.79320000000000002</v>
      </c>
    </row>
    <row r="68" spans="2:13" x14ac:dyDescent="0.25">
      <c r="B68" s="177">
        <v>530</v>
      </c>
      <c r="C68" s="190">
        <f>Spectra!N68</f>
        <v>1.0309278350515464E-2</v>
      </c>
      <c r="E68" s="177">
        <v>530</v>
      </c>
      <c r="F68" s="183">
        <v>0.93400000000000005</v>
      </c>
      <c r="H68" s="177">
        <v>530</v>
      </c>
      <c r="I68" s="188">
        <f>'S cone'!Q58/5</f>
        <v>2.7800126232937255E-9</v>
      </c>
      <c r="J68" s="188">
        <f>ipRGC!Q58/5</f>
        <v>4.2359683853476875E-3</v>
      </c>
      <c r="K68" s="188">
        <f>Rod!Q58/5</f>
        <v>6.9166960054853344E-3</v>
      </c>
      <c r="L68" s="188">
        <f>'M cone'!Q58/5</f>
        <v>7.901430074091274E-3</v>
      </c>
      <c r="M68" s="188">
        <v>0.86199999999999999</v>
      </c>
    </row>
    <row r="69" spans="2:13" x14ac:dyDescent="0.25">
      <c r="B69" s="177">
        <v>535</v>
      </c>
      <c r="C69" s="190">
        <f>Spectra!N69</f>
        <v>1.0309278350515464E-2</v>
      </c>
      <c r="E69" s="177">
        <v>535</v>
      </c>
      <c r="F69" s="183">
        <v>0.93645824871396799</v>
      </c>
      <c r="H69" s="177">
        <v>535</v>
      </c>
      <c r="I69" s="188">
        <f>'S cone'!Q59/5</f>
        <v>1.8076524672885432E-9</v>
      </c>
      <c r="J69" s="188">
        <f>ipRGC!Q59/5</f>
        <v>3.4848829210275454E-3</v>
      </c>
      <c r="K69" s="188">
        <f>Rod!Q59/5</f>
        <v>6.2204694184741201E-3</v>
      </c>
      <c r="L69" s="188">
        <f>'M cone'!Q59/5</f>
        <v>7.4048930083574519E-3</v>
      </c>
      <c r="M69" s="188">
        <v>0.9148501</v>
      </c>
    </row>
    <row r="70" spans="2:13" x14ac:dyDescent="0.25">
      <c r="B70" s="177">
        <v>540</v>
      </c>
      <c r="C70" s="190">
        <f>Spectra!N70</f>
        <v>1.0309278350515464E-2</v>
      </c>
      <c r="E70" s="177">
        <v>540</v>
      </c>
      <c r="F70" s="183">
        <v>0.93900000000000006</v>
      </c>
      <c r="H70" s="177">
        <v>540</v>
      </c>
      <c r="I70" s="188">
        <f>'S cone'!Q60/5</f>
        <v>1.1850522283774318E-9</v>
      </c>
      <c r="J70" s="188">
        <f>ipRGC!Q60/5</f>
        <v>2.7991560906022997E-3</v>
      </c>
      <c r="K70" s="188">
        <f>Rod!Q60/5</f>
        <v>5.4879609325491196E-3</v>
      </c>
      <c r="L70" s="188">
        <f>'M cone'!Q60/5</f>
        <v>6.8164229915917626E-3</v>
      </c>
      <c r="M70" s="188">
        <v>0.95399999999999996</v>
      </c>
    </row>
    <row r="71" spans="2:13" x14ac:dyDescent="0.25">
      <c r="B71" s="177">
        <v>545</v>
      </c>
      <c r="C71" s="190">
        <f>Spectra!N71</f>
        <v>1.0309278350515464E-2</v>
      </c>
      <c r="E71" s="177">
        <v>545</v>
      </c>
      <c r="F71" s="183">
        <v>0.94197760968781497</v>
      </c>
      <c r="H71" s="177">
        <v>545</v>
      </c>
      <c r="I71" s="188">
        <f>'S cone'!Q61/5</f>
        <v>7.8339326806285727E-10</v>
      </c>
      <c r="J71" s="188">
        <f>ipRGC!Q61/5</f>
        <v>2.1929837569617202E-3</v>
      </c>
      <c r="K71" s="188">
        <f>Rod!Q61/5</f>
        <v>4.750654758919122E-3</v>
      </c>
      <c r="L71" s="188">
        <f>'M cone'!Q61/5</f>
        <v>6.1639880318103604E-3</v>
      </c>
      <c r="M71" s="188">
        <v>0.98029999999999995</v>
      </c>
    </row>
    <row r="72" spans="2:13" x14ac:dyDescent="0.25">
      <c r="B72" s="177">
        <v>550</v>
      </c>
      <c r="C72" s="190">
        <f>Spectra!N72</f>
        <v>1.0309278350515464E-2</v>
      </c>
      <c r="E72" s="177">
        <v>550</v>
      </c>
      <c r="F72" s="183">
        <v>0.94499999999999995</v>
      </c>
      <c r="H72" s="177">
        <v>550</v>
      </c>
      <c r="I72" s="188">
        <f>'S cone'!Q62/5</f>
        <v>5.2187565392157511E-10</v>
      </c>
      <c r="J72" s="188">
        <f>ipRGC!Q62/5</f>
        <v>1.6730425417387518E-3</v>
      </c>
      <c r="K72" s="188">
        <f>Rod!Q62/5</f>
        <v>4.0320482244345767E-3</v>
      </c>
      <c r="L72" s="188">
        <f>'M cone'!Q62/5</f>
        <v>5.472678210247584E-3</v>
      </c>
      <c r="M72" s="188">
        <v>0.99495009999999995</v>
      </c>
    </row>
    <row r="73" spans="2:13" x14ac:dyDescent="0.25">
      <c r="B73" s="177">
        <v>555</v>
      </c>
      <c r="C73" s="190">
        <f>Spectra!N73</f>
        <v>1.0309278350515464E-2</v>
      </c>
      <c r="E73" s="177">
        <v>555</v>
      </c>
      <c r="F73" s="183">
        <v>0.94763131253477395</v>
      </c>
      <c r="H73" s="177">
        <v>555</v>
      </c>
      <c r="I73" s="188">
        <f>'S cone'!Q63/5</f>
        <v>3.5011374045268933E-10</v>
      </c>
      <c r="J73" s="188">
        <f>ipRGC!Q63/5</f>
        <v>1.2416078262698577E-3</v>
      </c>
      <c r="K73" s="188">
        <f>Rod!Q63/5</f>
        <v>3.3516443542930237E-3</v>
      </c>
      <c r="L73" s="188">
        <f>'M cone'!Q63/5</f>
        <v>4.767921187757553E-3</v>
      </c>
      <c r="M73" s="188">
        <v>1</v>
      </c>
    </row>
    <row r="74" spans="2:13" x14ac:dyDescent="0.25">
      <c r="B74" s="177">
        <v>560</v>
      </c>
      <c r="C74" s="190">
        <f>Spectra!N74</f>
        <v>1.0309278350515464E-2</v>
      </c>
      <c r="E74" s="177">
        <v>560</v>
      </c>
      <c r="F74" s="183">
        <v>0.95</v>
      </c>
      <c r="H74" s="177">
        <v>560</v>
      </c>
      <c r="I74" s="188">
        <f>'S cone'!Q64/5</f>
        <v>2.3652635170791681E-10</v>
      </c>
      <c r="J74" s="188">
        <f>ipRGC!Q64/5</f>
        <v>8.9684229248953337E-4</v>
      </c>
      <c r="K74" s="188">
        <f>Rod!Q64/5</f>
        <v>2.7264571102364908E-3</v>
      </c>
      <c r="L74" s="188">
        <f>'M cone'!Q64/5</f>
        <v>4.0758101608434601E-3</v>
      </c>
      <c r="M74" s="188">
        <v>0.995</v>
      </c>
    </row>
    <row r="75" spans="2:13" x14ac:dyDescent="0.25">
      <c r="B75" s="177">
        <v>565</v>
      </c>
      <c r="C75" s="190">
        <f>Spectra!N75</f>
        <v>1.0309278350515464E-2</v>
      </c>
      <c r="E75" s="177">
        <v>565</v>
      </c>
      <c r="F75" s="183">
        <v>0.95237214017309002</v>
      </c>
      <c r="H75" s="177">
        <v>565</v>
      </c>
      <c r="I75" s="188">
        <f>'S cone'!Q65/5</f>
        <v>1.6092242832869873E-10</v>
      </c>
      <c r="J75" s="188">
        <f>ipRGC!Q65/5</f>
        <v>6.3175683833192648E-4</v>
      </c>
      <c r="K75" s="188">
        <f>Rod!Q65/5</f>
        <v>2.168501203137494E-3</v>
      </c>
      <c r="L75" s="188">
        <f>'M cone'!Q65/5</f>
        <v>3.4180009836323965E-3</v>
      </c>
      <c r="M75" s="188">
        <v>0.97860000000000003</v>
      </c>
    </row>
    <row r="76" spans="2:13" x14ac:dyDescent="0.25">
      <c r="B76" s="177">
        <v>570</v>
      </c>
      <c r="C76" s="190">
        <f>Spectra!N76</f>
        <v>1.0309278350515464E-2</v>
      </c>
      <c r="E76" s="177">
        <v>570</v>
      </c>
      <c r="F76" s="183">
        <v>0.95499999999999996</v>
      </c>
      <c r="H76" s="177">
        <v>570</v>
      </c>
      <c r="I76" s="188">
        <f>'S cone'!Q66/5</f>
        <v>1.1026916470500294E-10</v>
      </c>
      <c r="J76" s="188">
        <f>ipRGC!Q66/5</f>
        <v>4.3534253292977639E-4</v>
      </c>
      <c r="K76" s="188">
        <f>Rod!Q66/5</f>
        <v>1.6848145449296693E-3</v>
      </c>
      <c r="L76" s="188">
        <f>'M cone'!Q66/5</f>
        <v>2.810470020468068E-3</v>
      </c>
      <c r="M76" s="188">
        <v>0.95199999999999996</v>
      </c>
    </row>
    <row r="77" spans="2:13" x14ac:dyDescent="0.25">
      <c r="B77" s="177">
        <v>575</v>
      </c>
      <c r="C77" s="190">
        <f>Spectra!N77</f>
        <v>1.0309278350515464E-2</v>
      </c>
      <c r="E77" s="177">
        <v>575</v>
      </c>
      <c r="F77" s="183">
        <v>0.95800512677286409</v>
      </c>
      <c r="H77" s="177">
        <v>575</v>
      </c>
      <c r="I77" s="188">
        <f>'S cone'!Q67/5</f>
        <v>7.6097094138547922E-11</v>
      </c>
      <c r="J77" s="188">
        <f>ipRGC!Q67/5</f>
        <v>2.9458091397549177E-4</v>
      </c>
      <c r="K77" s="188">
        <f>Rod!Q67/5</f>
        <v>1.2778675431974001E-3</v>
      </c>
      <c r="L77" s="188">
        <f>'M cone'!Q67/5</f>
        <v>2.2637860296259743E-3</v>
      </c>
      <c r="M77" s="188">
        <v>0.91539999999999999</v>
      </c>
    </row>
    <row r="78" spans="2:13" x14ac:dyDescent="0.25">
      <c r="B78" s="177">
        <v>580</v>
      </c>
      <c r="C78" s="190">
        <f>Spectra!N78</f>
        <v>1.0309278350515464E-2</v>
      </c>
      <c r="E78" s="177">
        <v>580</v>
      </c>
      <c r="F78" s="183">
        <v>0.96099999999999997</v>
      </c>
      <c r="H78" s="177">
        <v>580</v>
      </c>
      <c r="I78" s="188">
        <f>'S cone'!Q68/5</f>
        <v>5.285747380971896E-11</v>
      </c>
      <c r="J78" s="188">
        <f>ipRGC!Q68/5</f>
        <v>1.9644809931968827E-4</v>
      </c>
      <c r="K78" s="188">
        <f>Rod!Q68/5</f>
        <v>9.4570882250649365E-4</v>
      </c>
      <c r="L78" s="188">
        <f>'M cone'!Q68/5</f>
        <v>1.7835095134989842E-3</v>
      </c>
      <c r="M78" s="188">
        <v>0.87</v>
      </c>
    </row>
    <row r="79" spans="2:13" x14ac:dyDescent="0.25">
      <c r="B79" s="177">
        <v>585</v>
      </c>
      <c r="C79" s="190">
        <f>Spectra!N79</f>
        <v>1.0309278350515464E-2</v>
      </c>
      <c r="E79" s="177">
        <v>585</v>
      </c>
      <c r="F79" s="183">
        <v>0.96360735273545206</v>
      </c>
      <c r="H79" s="177">
        <v>585</v>
      </c>
      <c r="I79" s="188">
        <f>'S cone'!Q69/5</f>
        <v>3.693399271399533E-11</v>
      </c>
      <c r="J79" s="188">
        <f>ipRGC!Q69/5</f>
        <v>1.295750170144901E-4</v>
      </c>
      <c r="K79" s="188">
        <f>Rod!Q69/5</f>
        <v>6.8328041547315184E-4</v>
      </c>
      <c r="L79" s="188">
        <f>'M cone'!Q69/5</f>
        <v>1.3725528516001892E-3</v>
      </c>
      <c r="M79" s="188">
        <v>0.81630000000000003</v>
      </c>
    </row>
    <row r="80" spans="2:13" x14ac:dyDescent="0.25">
      <c r="B80" s="177">
        <v>590</v>
      </c>
      <c r="C80" s="190">
        <f>Spectra!N80</f>
        <v>1.0309278350515464E-2</v>
      </c>
      <c r="E80" s="177">
        <v>590</v>
      </c>
      <c r="F80" s="183">
        <v>0.96599999999999997</v>
      </c>
      <c r="H80" s="177">
        <v>590</v>
      </c>
      <c r="I80" s="188">
        <f>'S cone'!Q70/5</f>
        <v>2.5961893326511563E-11</v>
      </c>
      <c r="J80" s="188">
        <f>ipRGC!Q70/5</f>
        <v>8.4854786252833441E-5</v>
      </c>
      <c r="K80" s="188">
        <f>Rod!Q70/5</f>
        <v>4.8299499941316409E-4</v>
      </c>
      <c r="L80" s="188">
        <f>'M cone'!Q70/5</f>
        <v>1.0315979041435812E-3</v>
      </c>
      <c r="M80" s="188">
        <v>0.75700000000000001</v>
      </c>
    </row>
    <row r="81" spans="2:13" x14ac:dyDescent="0.25">
      <c r="B81" s="177">
        <v>595</v>
      </c>
      <c r="C81" s="190">
        <f>Spectra!N81</f>
        <v>1.0309278350515464E-2</v>
      </c>
      <c r="E81" s="177">
        <v>595</v>
      </c>
      <c r="F81" s="183">
        <v>0.96844046228532799</v>
      </c>
      <c r="H81" s="177">
        <v>595</v>
      </c>
      <c r="I81" s="188">
        <f>'S cone'!Q71/5</f>
        <v>1.8360610971935784E-11</v>
      </c>
      <c r="J81" s="188">
        <f>ipRGC!Q71/5</f>
        <v>5.5357174505016481E-5</v>
      </c>
      <c r="K81" s="188">
        <f>Rod!Q71/5</f>
        <v>3.3507067180308872E-4</v>
      </c>
      <c r="L81" s="188">
        <f>'M cone'!Q71/5</f>
        <v>7.5775877257356348E-4</v>
      </c>
      <c r="M81" s="188">
        <v>0.69489999999999996</v>
      </c>
    </row>
    <row r="82" spans="2:13" x14ac:dyDescent="0.25">
      <c r="B82" s="177">
        <v>600</v>
      </c>
      <c r="C82" s="190">
        <f>Spectra!N82</f>
        <v>1.0309278350515464E-2</v>
      </c>
      <c r="E82" s="177">
        <v>600</v>
      </c>
      <c r="F82" s="183">
        <v>0.97099999999999997</v>
      </c>
      <c r="H82" s="177">
        <v>600</v>
      </c>
      <c r="I82" s="188">
        <f>'S cone'!Q72/5</f>
        <v>1.306304730341289E-11</v>
      </c>
      <c r="J82" s="188">
        <f>ipRGC!Q72/5</f>
        <v>3.606938212437628E-5</v>
      </c>
      <c r="K82" s="188">
        <f>Rod!Q72/5</f>
        <v>2.2891588903882869E-4</v>
      </c>
      <c r="L82" s="188">
        <f>'M cone'!Q72/5</f>
        <v>5.4479160169188076E-4</v>
      </c>
      <c r="M82" s="188">
        <v>0.63100000000000001</v>
      </c>
    </row>
    <row r="83" spans="2:13" x14ac:dyDescent="0.25">
      <c r="B83" s="177">
        <v>605</v>
      </c>
      <c r="C83" s="190">
        <f>Spectra!N83</f>
        <v>1.0309278350515464E-2</v>
      </c>
      <c r="E83" s="177">
        <v>605</v>
      </c>
      <c r="F83" s="183">
        <v>0.97363079812323805</v>
      </c>
      <c r="H83" s="177">
        <v>605</v>
      </c>
      <c r="I83" s="188">
        <f>'S cone'!Q73/5</f>
        <v>9.3480952093010751E-12</v>
      </c>
      <c r="J83" s="188">
        <f>ipRGC!Q73/5</f>
        <v>2.3518347106653479E-5</v>
      </c>
      <c r="K83" s="188">
        <f>Rod!Q73/5</f>
        <v>1.5455275412356797E-4</v>
      </c>
      <c r="L83" s="188">
        <f>'M cone'!Q73/5</f>
        <v>3.8422076676422682E-4</v>
      </c>
      <c r="M83" s="188">
        <v>0.56679999999999997</v>
      </c>
    </row>
    <row r="84" spans="2:13" x14ac:dyDescent="0.25">
      <c r="B84" s="177">
        <v>610</v>
      </c>
      <c r="C84" s="190">
        <f>Spectra!N84</f>
        <v>1.0309278350515464E-2</v>
      </c>
      <c r="E84" s="177">
        <v>610</v>
      </c>
      <c r="F84" s="183">
        <v>0.97599999999999998</v>
      </c>
      <c r="H84" s="177">
        <v>610</v>
      </c>
      <c r="I84" s="188">
        <f>'S cone'!Q74/5</f>
        <v>6.7253231563877751E-12</v>
      </c>
      <c r="J84" s="188">
        <f>ipRGC!Q74/5</f>
        <v>1.5363271515468019E-5</v>
      </c>
      <c r="K84" s="188">
        <f>Rod!Q74/5</f>
        <v>1.0343414651528166E-4</v>
      </c>
      <c r="L84" s="188">
        <f>'M cone'!Q74/5</f>
        <v>2.6650771206258503E-4</v>
      </c>
      <c r="M84" s="188">
        <v>0.503</v>
      </c>
    </row>
    <row r="85" spans="2:13" x14ac:dyDescent="0.25">
      <c r="B85" s="177">
        <v>615</v>
      </c>
      <c r="C85" s="190">
        <f>Spectra!N85</f>
        <v>1.0309278350515464E-2</v>
      </c>
      <c r="E85" s="177">
        <v>615</v>
      </c>
      <c r="F85" s="183">
        <v>0.97778634522172103</v>
      </c>
      <c r="H85" s="177">
        <v>615</v>
      </c>
      <c r="I85" s="188">
        <f>'S cone'!Q75/5</f>
        <v>4.8619810541640511E-12</v>
      </c>
      <c r="J85" s="188">
        <f>ipRGC!Q75/5</f>
        <v>1.0062684017426826E-5</v>
      </c>
      <c r="K85" s="188">
        <f>Rod!Q75/5</f>
        <v>6.8803999795410346E-5</v>
      </c>
      <c r="L85" s="188">
        <f>'M cone'!Q75/5</f>
        <v>1.8234419142057199E-4</v>
      </c>
      <c r="M85" s="188">
        <v>0.44119999999999998</v>
      </c>
    </row>
    <row r="86" spans="2:13" x14ac:dyDescent="0.25">
      <c r="B86" s="177">
        <v>620</v>
      </c>
      <c r="C86" s="190">
        <f>Spectra!N86</f>
        <v>1.0309278350515464E-2</v>
      </c>
      <c r="E86" s="177">
        <v>620</v>
      </c>
      <c r="F86" s="183">
        <v>0.97900000000000009</v>
      </c>
      <c r="H86" s="177">
        <v>620</v>
      </c>
      <c r="I86" s="188">
        <f>'S cone'!Q76/5</f>
        <v>3.5316021974728474E-12</v>
      </c>
      <c r="J86" s="188">
        <f>ipRGC!Q76/5</f>
        <v>6.6138826388859222E-6</v>
      </c>
      <c r="K86" s="188">
        <f>Rod!Q76/5</f>
        <v>4.5608954318452591E-5</v>
      </c>
      <c r="L86" s="188">
        <f>'M cone'!Q76/5</f>
        <v>1.2346757337329775E-4</v>
      </c>
      <c r="M86" s="188">
        <v>0.38100000000000001</v>
      </c>
    </row>
    <row r="87" spans="2:13" x14ac:dyDescent="0.25">
      <c r="B87" s="177">
        <v>625</v>
      </c>
      <c r="C87" s="190">
        <f>Spectra!N87</f>
        <v>1.0309278350515464E-2</v>
      </c>
      <c r="E87" s="177">
        <v>625</v>
      </c>
      <c r="F87" s="183">
        <v>0.97984882098987991</v>
      </c>
      <c r="H87" s="177">
        <v>625</v>
      </c>
      <c r="I87" s="188">
        <f>'S cone'!Q77/5</f>
        <v>2.5776623985281285E-12</v>
      </c>
      <c r="J87" s="188">
        <f>ipRGC!Q77/5</f>
        <v>4.3657153348702056E-6</v>
      </c>
      <c r="K87" s="188">
        <f>Rod!Q77/5</f>
        <v>3.0197910129024519E-5</v>
      </c>
      <c r="L87" s="188">
        <f>'M cone'!Q77/5</f>
        <v>8.300490398848664E-5</v>
      </c>
      <c r="M87" s="188">
        <v>0.32100000000000001</v>
      </c>
    </row>
    <row r="88" spans="2:13" x14ac:dyDescent="0.25">
      <c r="B88" s="177">
        <v>630</v>
      </c>
      <c r="C88" s="190">
        <f>Spectra!N88</f>
        <v>1.0309278350515464E-2</v>
      </c>
      <c r="E88" s="177">
        <v>630</v>
      </c>
      <c r="F88" s="183">
        <v>0.98099999999999998</v>
      </c>
      <c r="H88" s="177">
        <v>630</v>
      </c>
      <c r="I88" s="188">
        <f>'S cone'!Q78/5</f>
        <v>1.8915505208033859E-12</v>
      </c>
      <c r="J88" s="188">
        <f>ipRGC!Q78/5</f>
        <v>2.8972047145737207E-6</v>
      </c>
      <c r="K88" s="188">
        <f>Rod!Q78/5</f>
        <v>2.0017412185318214E-5</v>
      </c>
      <c r="L88" s="188">
        <f>'M cone'!Q78/5</f>
        <v>5.5589670716305147E-5</v>
      </c>
      <c r="M88" s="188">
        <v>0.26500000000000001</v>
      </c>
    </row>
    <row r="89" spans="2:13" x14ac:dyDescent="0.25">
      <c r="B89" s="177">
        <v>635</v>
      </c>
      <c r="C89" s="190">
        <f>Spectra!N89</f>
        <v>1.0309278350515464E-2</v>
      </c>
      <c r="E89" s="177">
        <v>635</v>
      </c>
      <c r="F89" s="183">
        <v>0.98294337081876093</v>
      </c>
      <c r="H89" s="177">
        <v>635</v>
      </c>
      <c r="I89" s="188">
        <f>'S cone'!Q79/5</f>
        <v>1.3960829807803437E-12</v>
      </c>
      <c r="J89" s="188">
        <f>ipRGC!Q79/5</f>
        <v>1.9344518358978106E-6</v>
      </c>
      <c r="K89" s="188">
        <f>Rod!Q79/5</f>
        <v>1.3307940920342676E-5</v>
      </c>
      <c r="L89" s="188">
        <f>'M cone'!Q79/5</f>
        <v>3.7188198676303318E-5</v>
      </c>
      <c r="M89" s="188">
        <v>0.217</v>
      </c>
    </row>
    <row r="90" spans="2:13" x14ac:dyDescent="0.25">
      <c r="B90" s="177">
        <v>640</v>
      </c>
      <c r="C90" s="190">
        <f>Spectra!N90</f>
        <v>1.0309278350515464E-2</v>
      </c>
      <c r="E90" s="177">
        <v>640</v>
      </c>
      <c r="F90" s="183">
        <v>0.98499999999999999</v>
      </c>
      <c r="H90" s="177">
        <v>640</v>
      </c>
      <c r="I90" s="188">
        <f>'S cone'!Q80/5</f>
        <v>1.0355091485660142E-12</v>
      </c>
      <c r="J90" s="188">
        <f>ipRGC!Q80/5</f>
        <v>1.2988556562253591E-6</v>
      </c>
      <c r="K90" s="188">
        <f>Rod!Q80/5</f>
        <v>8.8756202798530737E-6</v>
      </c>
      <c r="L90" s="188">
        <f>'M cone'!Q80/5</f>
        <v>2.4877961714748998E-5</v>
      </c>
      <c r="M90" s="188">
        <v>0.17499999999999999</v>
      </c>
    </row>
    <row r="91" spans="2:13" x14ac:dyDescent="0.25">
      <c r="B91" s="177">
        <v>645</v>
      </c>
      <c r="C91" s="190">
        <f>Spectra!N91</f>
        <v>1.0309278350515464E-2</v>
      </c>
      <c r="E91" s="177">
        <v>645</v>
      </c>
      <c r="F91" s="183">
        <v>0.98650269573507798</v>
      </c>
      <c r="H91" s="177">
        <v>645</v>
      </c>
      <c r="I91" s="188">
        <f>'S cone'!Q81/5</f>
        <v>7.7126401555775632E-13</v>
      </c>
      <c r="J91" s="188">
        <f>ipRGC!Q81/5</f>
        <v>8.7646095641225234E-7</v>
      </c>
      <c r="K91" s="188">
        <f>Rod!Q81/5</f>
        <v>5.9385752282808115E-6</v>
      </c>
      <c r="L91" s="188">
        <f>'M cone'!Q81/5</f>
        <v>1.665484806981976E-5</v>
      </c>
      <c r="M91" s="188">
        <v>0.13819999999999999</v>
      </c>
    </row>
    <row r="92" spans="2:13" x14ac:dyDescent="0.25">
      <c r="B92" s="177">
        <v>650</v>
      </c>
      <c r="C92" s="190">
        <f>Spectra!N92</f>
        <v>1.0309278350515464E-2</v>
      </c>
      <c r="E92" s="177">
        <v>650</v>
      </c>
      <c r="F92" s="183">
        <v>0.98799999999999999</v>
      </c>
      <c r="H92" s="177">
        <v>650</v>
      </c>
      <c r="I92" s="188">
        <f>'S cone'!Q82/5</f>
        <v>5.771030527705028E-13</v>
      </c>
      <c r="J92" s="188">
        <f>ipRGC!Q82/5</f>
        <v>5.9474401249411729E-7</v>
      </c>
      <c r="K92" s="188">
        <f>Rod!Q82/5</f>
        <v>3.9904594851606199E-6</v>
      </c>
      <c r="L92" s="188">
        <f>'M cone'!Q82/5</f>
        <v>1.1176192619302967E-5</v>
      </c>
      <c r="M92" s="188">
        <v>0.107</v>
      </c>
    </row>
    <row r="93" spans="2:13" x14ac:dyDescent="0.25">
      <c r="B93" s="177">
        <v>655</v>
      </c>
      <c r="C93" s="190">
        <f>Spectra!N93</f>
        <v>1.0309278350515464E-2</v>
      </c>
      <c r="E93" s="177">
        <v>655</v>
      </c>
      <c r="F93" s="183">
        <v>0.99004584624092695</v>
      </c>
      <c r="H93" s="177">
        <v>655</v>
      </c>
      <c r="I93" s="188">
        <f>'S cone'!Q83/5</f>
        <v>4.3401207857047177E-13</v>
      </c>
      <c r="J93" s="188">
        <f>ipRGC!Q83/5</f>
        <v>4.0606357094630775E-7</v>
      </c>
      <c r="K93" s="188">
        <f>Rod!Q83/5</f>
        <v>2.6953612713270592E-6</v>
      </c>
      <c r="L93" s="188">
        <f>'M cone'!Q83/5</f>
        <v>7.527823087971306E-6</v>
      </c>
      <c r="M93" s="188">
        <v>8.1600000000000006E-2</v>
      </c>
    </row>
    <row r="94" spans="2:13" x14ac:dyDescent="0.25">
      <c r="B94" s="177">
        <v>660</v>
      </c>
      <c r="C94" s="190">
        <f>Spectra!N94</f>
        <v>1.0309278350515464E-2</v>
      </c>
      <c r="E94" s="177">
        <v>660</v>
      </c>
      <c r="F94" s="183">
        <v>0.99199999999999999</v>
      </c>
      <c r="H94" s="177">
        <v>660</v>
      </c>
      <c r="I94" s="188">
        <f>'S cone'!Q84/5</f>
        <v>3.2780985947729202E-13</v>
      </c>
      <c r="J94" s="188">
        <f>ipRGC!Q84/5</f>
        <v>2.7875829463104441E-7</v>
      </c>
      <c r="K94" s="188">
        <f>Rod!Q84/5</f>
        <v>1.8293047220415757E-6</v>
      </c>
      <c r="L94" s="188">
        <f>'M cone'!Q84/5</f>
        <v>5.089140230505199E-6</v>
      </c>
      <c r="M94" s="188">
        <v>6.0999999999999999E-2</v>
      </c>
    </row>
    <row r="95" spans="2:13" x14ac:dyDescent="0.25">
      <c r="B95" s="177">
        <v>665</v>
      </c>
      <c r="C95" s="190">
        <f>Spectra!N95</f>
        <v>1.0309278350515464E-2</v>
      </c>
      <c r="E95" s="177">
        <v>665</v>
      </c>
      <c r="F95" s="183">
        <v>0.993188919301215</v>
      </c>
      <c r="H95" s="177">
        <v>665</v>
      </c>
      <c r="I95" s="188">
        <f>'S cone'!Q85/5</f>
        <v>2.4847141060914399E-13</v>
      </c>
      <c r="J95" s="188">
        <f>ipRGC!Q85/5</f>
        <v>1.9227078138206786E-7</v>
      </c>
      <c r="K95" s="188">
        <f>Rod!Q85/5</f>
        <v>1.2468134904687066E-6</v>
      </c>
      <c r="L95" s="188">
        <f>'M cone'!Q85/5</f>
        <v>3.4523186721193367E-6</v>
      </c>
      <c r="M95" s="188">
        <v>4.4580000000000002E-2</v>
      </c>
    </row>
    <row r="96" spans="2:13" x14ac:dyDescent="0.25">
      <c r="B96" s="177">
        <v>670</v>
      </c>
      <c r="C96" s="190">
        <f>Spectra!N96</f>
        <v>1.0309278350515464E-2</v>
      </c>
      <c r="E96" s="177">
        <v>670</v>
      </c>
      <c r="F96" s="183">
        <v>0.99400000000000011</v>
      </c>
      <c r="H96" s="177">
        <v>670</v>
      </c>
      <c r="I96" s="188">
        <f>'S cone'!Q86/5</f>
        <v>1.8905732009030787E-13</v>
      </c>
      <c r="J96" s="188">
        <f>ipRGC!Q86/5</f>
        <v>1.332878965824875E-7</v>
      </c>
      <c r="K96" s="188">
        <f>Rod!Q86/5</f>
        <v>8.5382942691894287E-7</v>
      </c>
      <c r="L96" s="188">
        <f>'M cone'!Q86/5</f>
        <v>2.3516321056395247E-6</v>
      </c>
      <c r="M96" s="188">
        <v>3.2000000000000001E-2</v>
      </c>
    </row>
    <row r="97" spans="2:13" x14ac:dyDescent="0.25">
      <c r="B97" s="177">
        <v>675</v>
      </c>
      <c r="C97" s="190">
        <f>Spectra!N97</f>
        <v>1.0309278350515464E-2</v>
      </c>
      <c r="E97" s="177">
        <v>675</v>
      </c>
      <c r="F97" s="183">
        <v>0.99494847655421392</v>
      </c>
      <c r="H97" s="177">
        <v>675</v>
      </c>
      <c r="I97" s="188">
        <f>'S cone'!Q87/5</f>
        <v>1.444633829005985E-13</v>
      </c>
      <c r="J97" s="188">
        <f>ipRGC!Q87/5</f>
        <v>9.2907484109072719E-8</v>
      </c>
      <c r="K97" s="188">
        <f>Rod!Q87/5</f>
        <v>5.8780950958625457E-7</v>
      </c>
      <c r="L97" s="188">
        <f>'M cone'!Q87/5</f>
        <v>1.6096544191752617E-6</v>
      </c>
      <c r="M97" s="188">
        <v>2.3199999999999998E-2</v>
      </c>
    </row>
    <row r="98" spans="2:13" x14ac:dyDescent="0.25">
      <c r="B98" s="177">
        <v>680</v>
      </c>
      <c r="C98" s="190">
        <f>Spectra!N98</f>
        <v>1.0309278350515464E-2</v>
      </c>
      <c r="E98" s="177">
        <v>680</v>
      </c>
      <c r="F98" s="183">
        <v>0.996</v>
      </c>
      <c r="H98" s="177">
        <v>680</v>
      </c>
      <c r="I98" s="188">
        <f>'S cone'!Q88/5</f>
        <v>1.1084459474971941E-13</v>
      </c>
      <c r="J98" s="188">
        <f>ipRGC!Q88/5</f>
        <v>6.5108899542673067E-8</v>
      </c>
      <c r="K98" s="188">
        <f>Rod!Q88/5</f>
        <v>4.068024558650833E-7</v>
      </c>
      <c r="L98" s="188">
        <f>'M cone'!Q88/5</f>
        <v>1.1072368113072811E-6</v>
      </c>
      <c r="M98" s="188">
        <v>1.7000000000000001E-2</v>
      </c>
    </row>
    <row r="99" spans="2:13" x14ac:dyDescent="0.25">
      <c r="B99" s="177">
        <v>685</v>
      </c>
      <c r="C99" s="190">
        <f>Spectra!N99</f>
        <v>1.0309278350515464E-2</v>
      </c>
      <c r="E99" s="177">
        <v>685</v>
      </c>
      <c r="F99" s="183">
        <v>0.99701717448192895</v>
      </c>
      <c r="H99" s="177">
        <v>685</v>
      </c>
      <c r="I99" s="188">
        <f>'S cone'!Q89/5</f>
        <v>8.5381795172669721E-14</v>
      </c>
      <c r="J99" s="188">
        <f>ipRGC!Q89/5</f>
        <v>4.5862739746723968E-8</v>
      </c>
      <c r="K99" s="188">
        <f>Rod!Q89/5</f>
        <v>2.8297059770453881E-7</v>
      </c>
      <c r="L99" s="188">
        <f>'M cone'!Q89/5</f>
        <v>7.6535625887704401E-7</v>
      </c>
      <c r="M99" s="188">
        <v>1.192E-2</v>
      </c>
    </row>
    <row r="100" spans="2:13" x14ac:dyDescent="0.25">
      <c r="B100" s="177">
        <v>690</v>
      </c>
      <c r="C100" s="190">
        <f>Spectra!N100</f>
        <v>1.0309278350515464E-2</v>
      </c>
      <c r="E100" s="177">
        <v>690</v>
      </c>
      <c r="F100" s="183">
        <v>0.998</v>
      </c>
      <c r="H100" s="177">
        <v>690</v>
      </c>
      <c r="I100" s="188">
        <f>'S cone'!Q90/5</f>
        <v>6.6019583721521894E-14</v>
      </c>
      <c r="J100" s="188">
        <f>ipRGC!Q90/5</f>
        <v>3.2468991096591579E-8</v>
      </c>
      <c r="K100" s="188">
        <f>Rod!Q90/5</f>
        <v>1.9782940154863128E-7</v>
      </c>
      <c r="L100" s="188">
        <f>'M cone'!Q90/5</f>
        <v>5.3163609789930726E-7</v>
      </c>
      <c r="M100" s="188">
        <v>8.2100000000000003E-3</v>
      </c>
    </row>
    <row r="101" spans="2:13" x14ac:dyDescent="0.25">
      <c r="B101" s="177">
        <v>695</v>
      </c>
      <c r="C101" s="190">
        <f>Spectra!N101</f>
        <v>1.0309278350515464E-2</v>
      </c>
      <c r="E101" s="177">
        <v>695</v>
      </c>
      <c r="F101" s="183">
        <v>0.99898282551807105</v>
      </c>
      <c r="H101" s="177">
        <v>695</v>
      </c>
      <c r="I101" s="188">
        <f>'S cone'!Q91/5</f>
        <v>5.1240781331439293E-14</v>
      </c>
      <c r="J101" s="188">
        <f>ipRGC!Q91/5</f>
        <v>2.3101504365498487E-8</v>
      </c>
      <c r="K101" s="188">
        <f>Rod!Q91/5</f>
        <v>1.3900231127188474E-7</v>
      </c>
      <c r="L101" s="188">
        <f>'M cone'!Q91/5</f>
        <v>3.7111353348101847E-7</v>
      </c>
      <c r="M101" s="188">
        <v>5.7229999999999998E-3</v>
      </c>
    </row>
    <row r="102" spans="2:13" x14ac:dyDescent="0.25">
      <c r="B102" s="177">
        <v>700</v>
      </c>
      <c r="C102" s="190">
        <f>Spectra!N102</f>
        <v>1.0309278350515464E-2</v>
      </c>
      <c r="E102" s="177">
        <v>700</v>
      </c>
      <c r="F102" s="183">
        <v>1</v>
      </c>
      <c r="H102" s="177">
        <v>700</v>
      </c>
      <c r="I102" s="188">
        <f>'S cone'!Q92/5</f>
        <v>3.991846835853653E-14</v>
      </c>
      <c r="J102" s="188">
        <f>ipRGC!Q92/5</f>
        <v>1.6517627906037477E-8</v>
      </c>
      <c r="K102" s="188">
        <f>Rod!Q92/5</f>
        <v>9.8156797929138274E-8</v>
      </c>
      <c r="L102" s="188">
        <f>'M cone'!Q92/5</f>
        <v>2.6034205538882195E-7</v>
      </c>
      <c r="M102" s="188">
        <v>4.1019999999999997E-3</v>
      </c>
    </row>
    <row r="103" spans="2:13" x14ac:dyDescent="0.25">
      <c r="B103" s="177">
        <v>705</v>
      </c>
      <c r="C103" s="190">
        <f>Spectra!N103</f>
        <v>1.0309278350515464E-2</v>
      </c>
      <c r="E103" s="177">
        <v>705</v>
      </c>
      <c r="F103" s="183">
        <v>1</v>
      </c>
      <c r="H103" s="177">
        <v>705</v>
      </c>
      <c r="I103" s="188">
        <f>'S cone'!Q93/5</f>
        <v>3.1178589874075725E-14</v>
      </c>
      <c r="J103" s="188">
        <f>ipRGC!Q93/5</f>
        <v>1.1854768303458154E-8</v>
      </c>
      <c r="K103" s="188">
        <f>Rod!Q93/5</f>
        <v>6.9582021621839673E-8</v>
      </c>
      <c r="L103" s="188">
        <f>'M cone'!Q93/5</f>
        <v>1.8333779374642411E-7</v>
      </c>
      <c r="M103" s="188">
        <v>2.9290000000000002E-3</v>
      </c>
    </row>
    <row r="104" spans="2:13" x14ac:dyDescent="0.25">
      <c r="B104" s="177">
        <v>710</v>
      </c>
      <c r="C104" s="190">
        <f>Spectra!N104</f>
        <v>1.0309278350515464E-2</v>
      </c>
      <c r="E104" s="177">
        <v>710</v>
      </c>
      <c r="F104" s="183">
        <v>1</v>
      </c>
      <c r="H104" s="177">
        <v>710</v>
      </c>
      <c r="I104" s="188">
        <f>'S cone'!Q94/5</f>
        <v>2.4438372054057086E-14</v>
      </c>
      <c r="J104" s="188">
        <f>ipRGC!Q94/5</f>
        <v>8.5482513989447199E-9</v>
      </c>
      <c r="K104" s="188">
        <f>Rod!Q94/5</f>
        <v>4.9563224743005235E-8</v>
      </c>
      <c r="L104" s="188">
        <f>'M cone'!Q94/5</f>
        <v>1.2973221272352306E-7</v>
      </c>
      <c r="M104" s="188">
        <v>2.091E-3</v>
      </c>
    </row>
    <row r="105" spans="2:13" x14ac:dyDescent="0.25">
      <c r="B105" s="177">
        <v>715</v>
      </c>
      <c r="C105" s="190">
        <f>Spectra!N105</f>
        <v>1.0309278350515464E-2</v>
      </c>
      <c r="E105" s="177">
        <v>715</v>
      </c>
      <c r="F105" s="183">
        <v>1</v>
      </c>
      <c r="H105" s="177">
        <v>715</v>
      </c>
      <c r="I105" s="188">
        <f>'S cone'!Q95/5</f>
        <v>1.9221574609291128E-14</v>
      </c>
      <c r="J105" s="188">
        <f>ipRGC!Q95/5</f>
        <v>6.1924103607680464E-9</v>
      </c>
      <c r="K105" s="188">
        <f>Rod!Q95/5</f>
        <v>3.5470899723693361E-8</v>
      </c>
      <c r="L105" s="188">
        <f>'M cone'!Q95/5</f>
        <v>9.2236752132205612E-8</v>
      </c>
      <c r="M105" s="188">
        <v>1.4840000000000001E-3</v>
      </c>
    </row>
    <row r="106" spans="2:13" x14ac:dyDescent="0.25">
      <c r="B106" s="177">
        <v>720</v>
      </c>
      <c r="C106" s="190">
        <f>Spectra!N106</f>
        <v>1.0309278350515464E-2</v>
      </c>
      <c r="E106" s="177">
        <v>720</v>
      </c>
      <c r="F106" s="183">
        <v>1</v>
      </c>
      <c r="H106" s="177">
        <v>720</v>
      </c>
      <c r="I106" s="188">
        <f>'S cone'!Q96/5</f>
        <v>1.5169634627140191E-14</v>
      </c>
      <c r="J106" s="188">
        <f>ipRGC!Q96/5</f>
        <v>4.5060961045826103E-9</v>
      </c>
      <c r="K106" s="188">
        <f>Rod!Q96/5</f>
        <v>2.550342632690067E-8</v>
      </c>
      <c r="L106" s="188">
        <f>'M cone'!Q96/5</f>
        <v>6.5885528618588777E-8</v>
      </c>
      <c r="M106" s="188">
        <v>1.047E-3</v>
      </c>
    </row>
    <row r="107" spans="2:13" x14ac:dyDescent="0.25">
      <c r="B107" s="177">
        <v>725</v>
      </c>
      <c r="C107" s="190">
        <f>Spectra!N107</f>
        <v>1.0309278350515464E-2</v>
      </c>
      <c r="E107" s="177">
        <v>725</v>
      </c>
      <c r="F107" s="183">
        <v>1</v>
      </c>
      <c r="H107" s="177">
        <v>725</v>
      </c>
      <c r="I107" s="188">
        <f>'S cone'!Q97/5</f>
        <v>1.2011581731648629E-14</v>
      </c>
      <c r="J107" s="188">
        <f>ipRGC!Q97/5</f>
        <v>3.2935194485710933E-9</v>
      </c>
      <c r="K107" s="188">
        <f>Rod!Q97/5</f>
        <v>1.8420513804153192E-8</v>
      </c>
      <c r="L107" s="188">
        <f>'M cone'!Q97/5</f>
        <v>4.7279578812462014E-8</v>
      </c>
      <c r="M107" s="188">
        <v>7.3999999999999999E-4</v>
      </c>
    </row>
    <row r="108" spans="2:13" x14ac:dyDescent="0.25">
      <c r="B108" s="177">
        <v>730</v>
      </c>
      <c r="C108" s="190">
        <f>Spectra!N108</f>
        <v>1.0309278350515464E-2</v>
      </c>
      <c r="E108" s="177">
        <v>730</v>
      </c>
      <c r="F108" s="183">
        <v>1</v>
      </c>
      <c r="H108" s="177">
        <v>730</v>
      </c>
      <c r="I108" s="188">
        <f>'S cone'!Q98/5</f>
        <v>9.5418919172240377E-15</v>
      </c>
      <c r="J108" s="188">
        <f>ipRGC!Q98/5</f>
        <v>2.4176901591982954E-9</v>
      </c>
      <c r="K108" s="188">
        <f>Rod!Q98/5</f>
        <v>1.3364262804435204E-8</v>
      </c>
      <c r="L108" s="188">
        <f>'M cone'!Q98/5</f>
        <v>3.408169562470577E-8</v>
      </c>
      <c r="M108" s="188">
        <v>5.1999999999999995E-4</v>
      </c>
    </row>
    <row r="109" spans="2:13" x14ac:dyDescent="0.25">
      <c r="B109" s="177">
        <v>735</v>
      </c>
      <c r="C109" s="190">
        <f>Spectra!N109</f>
        <v>1.0309278350515464E-2</v>
      </c>
      <c r="E109" s="177">
        <v>735</v>
      </c>
      <c r="F109" s="183">
        <v>1</v>
      </c>
      <c r="H109" s="177">
        <v>735</v>
      </c>
      <c r="I109" s="188">
        <f>'S cone'!Q99/5</f>
        <v>7.6041223869887899E-15</v>
      </c>
      <c r="J109" s="188">
        <f>ipRGC!Q99/5</f>
        <v>1.7823133826252363E-9</v>
      </c>
      <c r="K109" s="188">
        <f>Rod!Q99/5</f>
        <v>9.7384918447446665E-9</v>
      </c>
      <c r="L109" s="188">
        <f>'M cone'!Q99/5</f>
        <v>2.4677356310033078E-8</v>
      </c>
      <c r="M109" s="188">
        <v>3.611E-4</v>
      </c>
    </row>
    <row r="110" spans="2:13" x14ac:dyDescent="0.25">
      <c r="B110" s="177">
        <v>740</v>
      </c>
      <c r="C110" s="190">
        <f>Spectra!N110</f>
        <v>1.0309278350515464E-2</v>
      </c>
      <c r="E110" s="177">
        <v>740</v>
      </c>
      <c r="F110" s="183">
        <v>1</v>
      </c>
      <c r="H110" s="177">
        <v>740</v>
      </c>
      <c r="I110" s="188">
        <f>'S cone'!Q100/5</f>
        <v>6.0787726446729007E-15</v>
      </c>
      <c r="J110" s="188">
        <f>ipRGC!Q100/5</f>
        <v>1.3193916595986535E-9</v>
      </c>
      <c r="K110" s="188">
        <f>Rod!Q100/5</f>
        <v>7.1269804276761814E-9</v>
      </c>
      <c r="L110" s="188">
        <f>'M cone'!Q100/5</f>
        <v>1.794615485944872E-8</v>
      </c>
      <c r="M110" s="188">
        <v>2.4919999999999999E-4</v>
      </c>
    </row>
    <row r="111" spans="2:13" x14ac:dyDescent="0.25">
      <c r="B111" s="177">
        <v>745</v>
      </c>
      <c r="C111" s="190">
        <f>Spectra!N111</f>
        <v>1.0309278350515464E-2</v>
      </c>
      <c r="E111" s="177">
        <v>745</v>
      </c>
      <c r="F111" s="183">
        <v>1</v>
      </c>
      <c r="H111" s="177">
        <v>745</v>
      </c>
      <c r="I111" s="188">
        <f>'S cone'!Q101/5</f>
        <v>4.8742470818202228E-15</v>
      </c>
      <c r="J111" s="188">
        <f>ipRGC!Q101/5</f>
        <v>9.8069444737650262E-10</v>
      </c>
      <c r="K111" s="188">
        <f>Rod!Q101/5</f>
        <v>5.2378228711116064E-9</v>
      </c>
      <c r="L111" s="188">
        <f>'M cone'!Q101/5</f>
        <v>1.310705099262465E-8</v>
      </c>
      <c r="M111" s="188">
        <v>1.719E-4</v>
      </c>
    </row>
    <row r="112" spans="2:13" x14ac:dyDescent="0.25">
      <c r="B112" s="177">
        <v>750</v>
      </c>
      <c r="C112" s="190">
        <f>Spectra!N112</f>
        <v>1.0309278350515464E-2</v>
      </c>
      <c r="E112" s="177">
        <v>750</v>
      </c>
      <c r="F112" s="183">
        <v>1</v>
      </c>
      <c r="H112" s="177">
        <v>750</v>
      </c>
      <c r="I112" s="188">
        <f>'S cone'!Q102/5</f>
        <v>3.9201022033560702E-15</v>
      </c>
      <c r="J112" s="188">
        <f>ipRGC!Q102/5</f>
        <v>7.3186156003206712E-10</v>
      </c>
      <c r="K112" s="188">
        <f>Rod!Q102/5</f>
        <v>3.8653801880098754E-9</v>
      </c>
      <c r="L112" s="188">
        <f>'M cone'!Q102/5</f>
        <v>9.6131338851594528E-9</v>
      </c>
      <c r="M112" s="188">
        <v>1.2E-4</v>
      </c>
    </row>
    <row r="113" spans="2:13" x14ac:dyDescent="0.25">
      <c r="B113" s="177">
        <v>755</v>
      </c>
      <c r="C113" s="190">
        <f>Spectra!N113</f>
        <v>1.0309278350515464E-2</v>
      </c>
      <c r="E113" s="177">
        <v>755</v>
      </c>
      <c r="F113" s="183">
        <v>1</v>
      </c>
      <c r="H113" s="177">
        <v>755</v>
      </c>
      <c r="I113" s="188">
        <f>'S cone'!Q103/5</f>
        <v>3.1619829821613381E-15</v>
      </c>
      <c r="J113" s="188">
        <f>ipRGC!Q103/5</f>
        <v>5.4830873253878715E-10</v>
      </c>
      <c r="K113" s="188">
        <f>Rod!Q103/5</f>
        <v>2.8641463802545564E-9</v>
      </c>
      <c r="L113" s="188">
        <f>'M cone'!Q103/5</f>
        <v>7.0797408664726952E-9</v>
      </c>
      <c r="M113" s="188">
        <v>8.4800000000000001E-5</v>
      </c>
    </row>
    <row r="114" spans="2:13" x14ac:dyDescent="0.25">
      <c r="B114" s="177">
        <v>760</v>
      </c>
      <c r="C114" s="190">
        <f>Spectra!N114</f>
        <v>1.0309278350515464E-2</v>
      </c>
      <c r="E114" s="177">
        <v>760</v>
      </c>
      <c r="F114" s="183">
        <v>1</v>
      </c>
      <c r="H114" s="177">
        <v>760</v>
      </c>
      <c r="I114" s="188">
        <f>'S cone'!Q104/5</f>
        <v>2.5578125749960935E-15</v>
      </c>
      <c r="J114" s="188">
        <f>ipRGC!Q104/5</f>
        <v>4.1237183186708817E-10</v>
      </c>
      <c r="K114" s="188">
        <f>Rod!Q104/5</f>
        <v>2.1307175314207615E-9</v>
      </c>
      <c r="L114" s="188">
        <f>'M cone'!Q104/5</f>
        <v>5.2351421666394436E-9</v>
      </c>
      <c r="M114" s="188">
        <v>6.0000000000000002E-5</v>
      </c>
    </row>
    <row r="115" spans="2:13" x14ac:dyDescent="0.25">
      <c r="B115" s="177">
        <v>765</v>
      </c>
      <c r="C115" s="190">
        <f>Spectra!N115</f>
        <v>1.0309278350515464E-2</v>
      </c>
      <c r="E115" s="177">
        <v>765</v>
      </c>
      <c r="F115" s="183">
        <v>1</v>
      </c>
      <c r="H115" s="177">
        <v>765</v>
      </c>
      <c r="I115" s="188">
        <f>'S cone'!Q105/5</f>
        <v>2.0749153524913867E-15</v>
      </c>
      <c r="J115" s="188">
        <f>ipRGC!Q105/5</f>
        <v>3.1130625243930127E-10</v>
      </c>
      <c r="K115" s="188">
        <f>Rod!Q105/5</f>
        <v>1.5912961553035608E-9</v>
      </c>
      <c r="L115" s="188">
        <f>'M cone'!Q105/5</f>
        <v>3.8865587539971579E-9</v>
      </c>
      <c r="M115" s="188">
        <v>4.2400000000000001E-5</v>
      </c>
    </row>
    <row r="116" spans="2:13" x14ac:dyDescent="0.25">
      <c r="B116" s="177">
        <v>770</v>
      </c>
      <c r="C116" s="190">
        <f>Spectra!N116</f>
        <v>1.0309278350515464E-2</v>
      </c>
      <c r="E116" s="177">
        <v>770</v>
      </c>
      <c r="F116" s="183">
        <v>1</v>
      </c>
      <c r="H116" s="177">
        <v>770</v>
      </c>
      <c r="I116" s="188">
        <f>'S cone'!Q106/5</f>
        <v>1.6878373389600225E-15</v>
      </c>
      <c r="J116" s="188">
        <f>ipRGC!Q106/5</f>
        <v>2.3587935878523648E-10</v>
      </c>
      <c r="K116" s="188">
        <f>Rod!Q106/5</f>
        <v>1.1929936077040884E-9</v>
      </c>
      <c r="L116" s="188">
        <f>'M cone'!Q106/5</f>
        <v>2.8966438349514228E-9</v>
      </c>
      <c r="M116" s="188">
        <v>3.0000000000000001E-5</v>
      </c>
    </row>
    <row r="117" spans="2:13" x14ac:dyDescent="0.25">
      <c r="B117" s="177">
        <v>775</v>
      </c>
      <c r="C117" s="190">
        <f>Spectra!N117</f>
        <v>1.0309278350515464E-2</v>
      </c>
      <c r="E117" s="177">
        <v>775</v>
      </c>
      <c r="F117" s="183">
        <v>1</v>
      </c>
      <c r="H117" s="177">
        <v>775</v>
      </c>
      <c r="I117" s="188">
        <f>'S cone'!Q107/5</f>
        <v>1.3766895640628896E-15</v>
      </c>
      <c r="J117" s="188">
        <f>ipRGC!Q107/5</f>
        <v>1.7937597943144098E-10</v>
      </c>
      <c r="K117" s="188">
        <f>Rod!Q107/5</f>
        <v>8.9774999951032679E-10</v>
      </c>
      <c r="L117" s="188">
        <f>'M cone'!Q107/5</f>
        <v>2.167135865784138E-9</v>
      </c>
      <c r="M117" s="188">
        <v>2.12E-5</v>
      </c>
    </row>
    <row r="118" spans="2:13" x14ac:dyDescent="0.25">
      <c r="B118" s="177">
        <v>780</v>
      </c>
      <c r="C118" s="190">
        <f>Spectra!N118</f>
        <v>1.0309278350515464E-2</v>
      </c>
      <c r="E118" s="177">
        <v>780</v>
      </c>
      <c r="F118" s="183">
        <v>1</v>
      </c>
      <c r="H118" s="177">
        <v>780</v>
      </c>
      <c r="I118" s="188">
        <f>'S cone'!Q108/5</f>
        <v>1.1258848026395724E-15</v>
      </c>
      <c r="J118" s="188">
        <f>ipRGC!Q108/5</f>
        <v>1.3689281675952861E-10</v>
      </c>
      <c r="K118" s="188">
        <f>Rod!Q108/5</f>
        <v>6.78065816007875E-10</v>
      </c>
      <c r="L118" s="188">
        <f>'M cone'!Q108/5</f>
        <v>1.6274478280278137E-9</v>
      </c>
      <c r="M118" s="188">
        <v>1.499E-5</v>
      </c>
    </row>
  </sheetData>
  <sheetProtection password="D0DA" sheet="1" objects="1" scenarios="1"/>
  <pageMargins left="0.70866141732283472" right="0.70866141732283472" top="0.74803149606299213" bottom="0.74803149606299213" header="0.31496062992125984" footer="0.31496062992125984"/>
  <pageSetup paperSize="9" scale="4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pageSetUpPr fitToPage="1"/>
  </sheetPr>
  <dimension ref="A1:O118"/>
  <sheetViews>
    <sheetView zoomScale="80" zoomScaleNormal="80" workbookViewId="0">
      <selection activeCell="F10" sqref="F10"/>
    </sheetView>
  </sheetViews>
  <sheetFormatPr defaultRowHeight="15.75" x14ac:dyDescent="0.25"/>
  <cols>
    <col min="1" max="6" width="10.7109375" style="13" customWidth="1"/>
    <col min="7" max="13" width="10.7109375" style="22" customWidth="1"/>
    <col min="14" max="14" width="10.7109375" style="13" customWidth="1"/>
    <col min="15" max="15" width="1.7109375" style="13" customWidth="1"/>
    <col min="16" max="16384" width="9.140625" style="13"/>
  </cols>
  <sheetData>
    <row r="1" spans="1:15" x14ac:dyDescent="0.25">
      <c r="M1" s="94"/>
    </row>
    <row r="2" spans="1:15" ht="33.75" x14ac:dyDescent="0.5">
      <c r="A2" s="95" t="s">
        <v>175</v>
      </c>
      <c r="B2" s="22"/>
      <c r="D2" s="96"/>
      <c r="G2" s="13"/>
      <c r="H2" s="13"/>
      <c r="I2" s="13"/>
      <c r="J2" s="13"/>
      <c r="K2" s="13"/>
      <c r="L2" s="13"/>
      <c r="M2" s="13"/>
    </row>
    <row r="3" spans="1:15" ht="15" customHeight="1" x14ac:dyDescent="0.25">
      <c r="F3" s="22"/>
      <c r="I3" s="13"/>
      <c r="J3" s="13"/>
      <c r="K3" s="13"/>
      <c r="M3" s="94"/>
      <c r="O3" s="28"/>
    </row>
    <row r="4" spans="1:15" ht="15" customHeight="1" x14ac:dyDescent="0.25">
      <c r="C4" s="97" t="s">
        <v>66</v>
      </c>
      <c r="G4" s="94"/>
      <c r="H4" s="97" t="s">
        <v>67</v>
      </c>
      <c r="L4" s="97" t="s">
        <v>65</v>
      </c>
    </row>
    <row r="5" spans="1:15" ht="15" customHeight="1" x14ac:dyDescent="0.35">
      <c r="A5" s="98"/>
      <c r="B5" s="156" t="s">
        <v>50</v>
      </c>
      <c r="C5" s="99">
        <f>IF(C18="exact",SUM(Toolbox!U$12:U$108),IF(C6="Q",10^Toolbox!D14,Toolbox!D14))</f>
        <v>170</v>
      </c>
      <c r="G5" s="162" t="s">
        <v>53</v>
      </c>
      <c r="H5" s="165">
        <f>SUMPRODUCT(Calculations!$M$22:$M$118,$N$22:$N$118)</f>
        <v>0.22032343383505149</v>
      </c>
      <c r="I5" s="100" t="s">
        <v>82</v>
      </c>
      <c r="J5" s="101"/>
      <c r="K5" s="173" t="s">
        <v>51</v>
      </c>
      <c r="L5" s="165">
        <f>IF($C$6="L",1,IF($C$6="Q",$H$9/$H$10,$H$9))*$C$5</f>
        <v>170</v>
      </c>
      <c r="M5" s="100" t="s">
        <v>82</v>
      </c>
    </row>
    <row r="6" spans="1:15" ht="15" customHeight="1" x14ac:dyDescent="0.25">
      <c r="B6" s="157" t="s">
        <v>49</v>
      </c>
      <c r="C6" s="103" t="str">
        <f>IF(C18="exact","P",Toolbox!D13)</f>
        <v>L</v>
      </c>
      <c r="D6" s="104" t="s">
        <v>68</v>
      </c>
      <c r="G6" s="163" t="s">
        <v>52</v>
      </c>
      <c r="H6" s="166">
        <f>SUM($N$22:$N$118)</f>
        <v>0.99999999999999856</v>
      </c>
      <c r="I6" s="149" t="s">
        <v>183</v>
      </c>
      <c r="J6" s="101"/>
      <c r="K6" s="163" t="s">
        <v>55</v>
      </c>
      <c r="L6" s="167">
        <f>IF($C$6="P",1,IF($C$6="Q",1/$H$10,1/$H$9))*$C$5</f>
        <v>112.97088783688204</v>
      </c>
      <c r="M6" s="149" t="s">
        <v>183</v>
      </c>
    </row>
    <row r="7" spans="1:15" ht="15" customHeight="1" x14ac:dyDescent="0.25">
      <c r="B7" s="158" t="s">
        <v>59</v>
      </c>
      <c r="C7" s="105" t="str">
        <f>IF(C18="exact","U",Toolbox!D12)</f>
        <v>E</v>
      </c>
      <c r="D7" s="106" t="s">
        <v>113</v>
      </c>
      <c r="G7" s="163" t="s">
        <v>54</v>
      </c>
      <c r="H7" s="168">
        <f>SUMPRODUCT($A$22:$A$118,$N$22:$N$118)</f>
        <v>540</v>
      </c>
      <c r="I7" s="100" t="s">
        <v>83</v>
      </c>
      <c r="J7" s="101"/>
      <c r="K7" s="163" t="s">
        <v>56</v>
      </c>
      <c r="L7" s="167">
        <f>IF($C$6="Q",1,IF($C$6="P",$H$10,$H$10/$H$9))*$C$5</f>
        <v>307102680660843.56</v>
      </c>
      <c r="M7" s="100" t="s">
        <v>83</v>
      </c>
    </row>
    <row r="8" spans="1:15" ht="15" customHeight="1" x14ac:dyDescent="0.25">
      <c r="C8" s="97" t="s">
        <v>84</v>
      </c>
      <c r="E8" s="22"/>
      <c r="G8" s="163"/>
      <c r="H8" s="169"/>
      <c r="I8" s="101"/>
      <c r="J8" s="101"/>
      <c r="K8" s="163"/>
      <c r="L8" s="169"/>
    </row>
    <row r="9" spans="1:15" ht="15" customHeight="1" x14ac:dyDescent="0.25">
      <c r="B9" s="159" t="s">
        <v>89</v>
      </c>
      <c r="C9" s="107">
        <f>$L$17*(0.000001/(0.01^2))</f>
        <v>6.8300154779022675</v>
      </c>
      <c r="D9" s="31" t="s">
        <v>87</v>
      </c>
      <c r="E9" s="89"/>
      <c r="G9" s="163" t="s">
        <v>48</v>
      </c>
      <c r="H9" s="169">
        <f>C9*(H5/H6)</f>
        <v>1.5048124632379798</v>
      </c>
      <c r="I9" s="101"/>
      <c r="J9" s="101"/>
      <c r="K9" s="163" t="s">
        <v>60</v>
      </c>
      <c r="L9" s="167">
        <f>INDEX($A$22:$A$118,MATCH(MAX($N$22:$N$118),$N$22:$N$118,0),1)</f>
        <v>300</v>
      </c>
    </row>
    <row r="10" spans="1:15" ht="15" customHeight="1" x14ac:dyDescent="0.25">
      <c r="B10" s="160" t="s">
        <v>85</v>
      </c>
      <c r="C10" s="108">
        <f>(0.000000001/($H$16*$H$15))*(0.000001)</f>
        <v>5034117008.1942272</v>
      </c>
      <c r="D10" s="31" t="s">
        <v>88</v>
      </c>
      <c r="E10" s="89"/>
      <c r="G10" s="164" t="s">
        <v>86</v>
      </c>
      <c r="H10" s="170">
        <f>C10*(H7/H6)</f>
        <v>2718423184424.8867</v>
      </c>
      <c r="I10" s="101"/>
      <c r="J10" s="101"/>
      <c r="K10" s="164" t="s">
        <v>61</v>
      </c>
      <c r="L10" s="171" t="str">
        <f>IF(AND(L9&gt;300,L9&lt;780),L9,"n/a")</f>
        <v>n/a</v>
      </c>
    </row>
    <row r="11" spans="1:15" ht="15" customHeight="1" x14ac:dyDescent="0.25">
      <c r="J11" s="13"/>
      <c r="K11" s="13"/>
      <c r="L11" s="13"/>
      <c r="N11" s="94"/>
      <c r="O11" s="28"/>
    </row>
    <row r="12" spans="1:15" ht="15" customHeight="1" x14ac:dyDescent="0.3">
      <c r="B12" s="109" t="s">
        <v>35</v>
      </c>
      <c r="G12" s="109" t="s">
        <v>181</v>
      </c>
      <c r="H12" s="2"/>
      <c r="I12" s="2"/>
      <c r="J12" s="13"/>
      <c r="K12" s="109" t="s">
        <v>62</v>
      </c>
      <c r="L12" s="13"/>
      <c r="M12" s="13"/>
      <c r="N12" s="22"/>
      <c r="O12" s="22"/>
    </row>
    <row r="13" spans="1:15" ht="15" customHeight="1" x14ac:dyDescent="0.25">
      <c r="B13" s="2" t="s">
        <v>64</v>
      </c>
      <c r="G13" s="2" t="s">
        <v>43</v>
      </c>
      <c r="H13" s="81"/>
      <c r="I13" s="110"/>
      <c r="J13" s="13"/>
      <c r="K13" s="2" t="s">
        <v>44</v>
      </c>
      <c r="N13" s="22"/>
      <c r="O13" s="22"/>
    </row>
    <row r="14" spans="1:15" ht="15" customHeight="1" x14ac:dyDescent="0.25">
      <c r="B14" s="7" t="s">
        <v>71</v>
      </c>
      <c r="C14" s="7" t="s">
        <v>70</v>
      </c>
      <c r="D14" s="7" t="s">
        <v>73</v>
      </c>
      <c r="G14" s="7" t="s">
        <v>69</v>
      </c>
      <c r="H14" s="7" t="s">
        <v>70</v>
      </c>
      <c r="I14" s="7" t="s">
        <v>73</v>
      </c>
      <c r="J14" s="13"/>
      <c r="K14" s="7" t="s">
        <v>69</v>
      </c>
      <c r="L14" s="7" t="s">
        <v>70</v>
      </c>
      <c r="M14" s="7" t="s">
        <v>78</v>
      </c>
      <c r="N14" s="22"/>
      <c r="O14" s="111"/>
    </row>
    <row r="15" spans="1:15" ht="15" customHeight="1" x14ac:dyDescent="0.35">
      <c r="B15" s="154" t="s">
        <v>27</v>
      </c>
      <c r="C15" s="112">
        <f>Toolbox!D18</f>
        <v>415</v>
      </c>
      <c r="D15" s="7" t="s">
        <v>72</v>
      </c>
      <c r="G15" s="113" t="s">
        <v>5</v>
      </c>
      <c r="H15" s="58">
        <v>6.6260695699999996E-34</v>
      </c>
      <c r="I15" s="2" t="s">
        <v>75</v>
      </c>
      <c r="J15" s="13"/>
      <c r="K15" s="114" t="s">
        <v>41</v>
      </c>
      <c r="L15" s="115">
        <v>1.0002800000000001</v>
      </c>
      <c r="M15" s="102" t="s">
        <v>80</v>
      </c>
      <c r="N15" s="22"/>
      <c r="O15" s="111"/>
    </row>
    <row r="16" spans="1:15" ht="15" customHeight="1" x14ac:dyDescent="0.35">
      <c r="B16" s="161" t="s">
        <v>33</v>
      </c>
      <c r="C16" s="105">
        <f>Toolbox!D19</f>
        <v>50</v>
      </c>
      <c r="D16" s="7" t="s">
        <v>72</v>
      </c>
      <c r="G16" s="113" t="s">
        <v>4</v>
      </c>
      <c r="H16" s="58">
        <v>299792458</v>
      </c>
      <c r="I16" s="2" t="s">
        <v>74</v>
      </c>
      <c r="J16" s="13"/>
      <c r="K16" s="27" t="s">
        <v>42</v>
      </c>
      <c r="L16" s="115">
        <f>H16/(L15*540000000000000)/0.000000001</f>
        <v>555.01581409057303</v>
      </c>
      <c r="M16" s="102" t="s">
        <v>72</v>
      </c>
      <c r="N16" s="22"/>
      <c r="O16" s="111" t="s">
        <v>81</v>
      </c>
    </row>
    <row r="17" spans="1:15" ht="15" customHeight="1" x14ac:dyDescent="0.35">
      <c r="C17" s="97"/>
      <c r="G17" s="113" t="s">
        <v>6</v>
      </c>
      <c r="H17" s="58">
        <f>1.3806488E-23</f>
        <v>1.3806488E-23</v>
      </c>
      <c r="I17" s="2" t="s">
        <v>76</v>
      </c>
      <c r="J17" s="13"/>
      <c r="K17" s="27" t="s">
        <v>45</v>
      </c>
      <c r="L17" s="115">
        <f>683/(1-(1-0.9998567)*(L16-555))</f>
        <v>683.00154779022682</v>
      </c>
      <c r="M17" s="102" t="s">
        <v>79</v>
      </c>
      <c r="N17" s="22"/>
      <c r="O17" s="151" t="s">
        <v>165</v>
      </c>
    </row>
    <row r="18" spans="1:15" ht="15" customHeight="1" x14ac:dyDescent="0.35">
      <c r="A18" s="113"/>
      <c r="B18" s="155" t="s">
        <v>182</v>
      </c>
      <c r="C18" s="116" t="str">
        <f>IF(Toolbox!D6&lt;&gt;"approximate mode","exact","approx")</f>
        <v>approx</v>
      </c>
      <c r="G18" s="172" t="s">
        <v>7</v>
      </c>
      <c r="H18" s="116">
        <f>Toolbox!D17</f>
        <v>2856</v>
      </c>
      <c r="I18" s="2" t="s">
        <v>77</v>
      </c>
      <c r="J18" s="13"/>
      <c r="K18" s="27" t="s">
        <v>46</v>
      </c>
      <c r="L18" s="115">
        <f>683/(0.402-(0.402-0.3864)*(L16-555))</f>
        <v>1700.048262657675</v>
      </c>
      <c r="M18" s="102" t="s">
        <v>79</v>
      </c>
      <c r="N18" s="22"/>
      <c r="O18" s="151" t="s">
        <v>166</v>
      </c>
    </row>
    <row r="19" spans="1:15" ht="15" customHeight="1" x14ac:dyDescent="0.25">
      <c r="F19" s="117"/>
    </row>
    <row r="20" spans="1:15" x14ac:dyDescent="0.25">
      <c r="B20" s="97" t="s">
        <v>40</v>
      </c>
      <c r="C20" s="8"/>
      <c r="D20" s="8"/>
      <c r="E20" s="8"/>
      <c r="F20" s="97" t="s">
        <v>168</v>
      </c>
      <c r="G20" s="96"/>
      <c r="H20" s="96"/>
      <c r="I20" s="96"/>
      <c r="J20" s="96"/>
      <c r="K20" s="96"/>
      <c r="L20" s="96"/>
      <c r="M20" s="97" t="s">
        <v>90</v>
      </c>
      <c r="N20" s="97"/>
    </row>
    <row r="21" spans="1:15" s="28" customFormat="1" ht="17.25" x14ac:dyDescent="0.25">
      <c r="A21" s="174" t="s">
        <v>184</v>
      </c>
      <c r="B21" s="118" t="s">
        <v>34</v>
      </c>
      <c r="C21" s="119" t="s">
        <v>8</v>
      </c>
      <c r="D21" s="120" t="s">
        <v>9</v>
      </c>
      <c r="E21" s="121" t="s">
        <v>10</v>
      </c>
      <c r="F21" s="118" t="s">
        <v>12</v>
      </c>
      <c r="G21" s="122" t="s">
        <v>14</v>
      </c>
      <c r="H21" s="122" t="s">
        <v>13</v>
      </c>
      <c r="I21" s="122" t="s">
        <v>32</v>
      </c>
      <c r="J21" s="122" t="s">
        <v>3</v>
      </c>
      <c r="K21" s="123" t="s">
        <v>112</v>
      </c>
      <c r="L21" s="122" t="s">
        <v>34</v>
      </c>
      <c r="M21" s="124" t="s">
        <v>39</v>
      </c>
      <c r="N21" s="125" t="s">
        <v>15</v>
      </c>
    </row>
    <row r="22" spans="1:15" x14ac:dyDescent="0.25">
      <c r="A22" s="126">
        <v>300</v>
      </c>
      <c r="B22" s="127">
        <f t="shared" ref="B22:B53" si="0">EXP(-(((A22-$C$15)/($C$16/2))^2*LN(2)))</f>
        <v>4.2678121134184594E-7</v>
      </c>
      <c r="C22" s="128">
        <f>A22/1000000000</f>
        <v>2.9999999999999999E-7</v>
      </c>
      <c r="D22" s="128">
        <f t="shared" ref="D22:D53" si="1">$H$15*H$16/($H$17*$C22*$H$18)</f>
        <v>16.792448179082811</v>
      </c>
      <c r="E22" s="129">
        <f t="shared" ref="E22:E53" si="2">(2*H$15*(H$16^2))/((C22^5))*(1/(EXP(D22)-1))</f>
        <v>2497201341.9644723</v>
      </c>
      <c r="F22" s="144">
        <v>9.668083704707517E-5</v>
      </c>
      <c r="G22" s="144">
        <f t="shared" ref="G22:G85" si="3">E22/SUM(E$22:E$118)</f>
        <v>9.6831944384592414E-5</v>
      </c>
      <c r="H22" s="144">
        <v>4.4832378769599419E-6</v>
      </c>
      <c r="I22" s="144">
        <f t="shared" ref="I22:I53" si="4">1/97</f>
        <v>1.0309278350515464E-2</v>
      </c>
      <c r="J22" s="144">
        <v>0</v>
      </c>
      <c r="K22" s="144">
        <v>0</v>
      </c>
      <c r="L22" s="144">
        <f>IF(B22/SUM(B$22:B$118)&lt;0.0001,B22/SUM(B$22:B$118),B22/SUM(B$22:B$118))</f>
        <v>4.0093418562580015E-8</v>
      </c>
      <c r="M22" s="130">
        <f>Toolbox!U12/SUM(Toolbox!U$12:U$108)</f>
        <v>0</v>
      </c>
      <c r="N22" s="131">
        <f>HLOOKUP($C$7,$F$21:$M$118,ROW()-20,0)</f>
        <v>1.0309278350515464E-2</v>
      </c>
    </row>
    <row r="23" spans="1:15" x14ac:dyDescent="0.25">
      <c r="A23" s="126">
        <v>305</v>
      </c>
      <c r="B23" s="133">
        <f t="shared" si="0"/>
        <v>1.4861384957513771E-6</v>
      </c>
      <c r="C23" s="134">
        <f t="shared" ref="C23:C86" si="5">A23/1000000000</f>
        <v>3.0499999999999999E-7</v>
      </c>
      <c r="D23" s="134">
        <f t="shared" si="1"/>
        <v>16.517162143360146</v>
      </c>
      <c r="E23" s="135">
        <f t="shared" si="2"/>
        <v>3027720976.9952073</v>
      </c>
      <c r="F23" s="144">
        <v>1.1722544868082562E-4</v>
      </c>
      <c r="G23" s="144">
        <f t="shared" si="3"/>
        <v>1.1740347257134976E-4</v>
      </c>
      <c r="H23" s="144">
        <v>2.1881093251098038E-4</v>
      </c>
      <c r="I23" s="144">
        <f t="shared" si="4"/>
        <v>1.0309278350515464E-2</v>
      </c>
      <c r="J23" s="144">
        <v>0</v>
      </c>
      <c r="K23" s="144">
        <v>0</v>
      </c>
      <c r="L23" s="144">
        <f t="shared" ref="L23:L86" si="6">IF(B23/SUM(B$22:B$118)&lt;0.0001,B23/SUM(B$22:B$118),B23/SUM(B$22:B$118))</f>
        <v>1.3961339245648454E-7</v>
      </c>
      <c r="M23" s="130">
        <f>Toolbox!U13/SUM(Toolbox!U$12:U$108)</f>
        <v>0</v>
      </c>
      <c r="N23" s="131">
        <f t="shared" ref="N23:N86" si="7">HLOOKUP($C$7,$F$21:$M$118,ROW()-20,0)</f>
        <v>1.0309278350515464E-2</v>
      </c>
    </row>
    <row r="24" spans="1:15" x14ac:dyDescent="0.25">
      <c r="A24" s="126">
        <v>310</v>
      </c>
      <c r="B24" s="133">
        <f t="shared" si="0"/>
        <v>4.895881262065518E-6</v>
      </c>
      <c r="C24" s="134">
        <f t="shared" si="5"/>
        <v>3.1E-7</v>
      </c>
      <c r="D24" s="134">
        <f t="shared" si="1"/>
        <v>16.250756302338207</v>
      </c>
      <c r="E24" s="135">
        <f t="shared" si="2"/>
        <v>3643385897.2844076</v>
      </c>
      <c r="F24" s="144">
        <v>1.4106932168609583E-4</v>
      </c>
      <c r="G24" s="144">
        <f t="shared" si="3"/>
        <v>1.412766101991272E-4</v>
      </c>
      <c r="H24" s="144">
        <v>4.3313862714500087E-4</v>
      </c>
      <c r="I24" s="144">
        <f t="shared" si="4"/>
        <v>1.0309278350515464E-2</v>
      </c>
      <c r="J24" s="144">
        <v>0</v>
      </c>
      <c r="K24" s="144">
        <v>0</v>
      </c>
      <c r="L24" s="144">
        <f t="shared" si="6"/>
        <v>4.5993734366965278E-7</v>
      </c>
      <c r="M24" s="130">
        <f>Toolbox!U14/SUM(Toolbox!U$12:U$108)</f>
        <v>0</v>
      </c>
      <c r="N24" s="131">
        <f t="shared" si="7"/>
        <v>1.0309278350515464E-2</v>
      </c>
    </row>
    <row r="25" spans="1:15" x14ac:dyDescent="0.25">
      <c r="A25" s="126">
        <v>315</v>
      </c>
      <c r="B25" s="133">
        <f t="shared" si="0"/>
        <v>1.5258789062500007E-5</v>
      </c>
      <c r="C25" s="134">
        <f t="shared" si="5"/>
        <v>3.15E-7</v>
      </c>
      <c r="D25" s="134">
        <f t="shared" si="1"/>
        <v>15.992807789602677</v>
      </c>
      <c r="E25" s="135">
        <f t="shared" si="2"/>
        <v>4352978278.8220358</v>
      </c>
      <c r="F25" s="144">
        <v>1.6855191019007857E-4</v>
      </c>
      <c r="G25" s="144">
        <f t="shared" si="3"/>
        <v>1.6879189655994947E-4</v>
      </c>
      <c r="H25" s="144">
        <v>1.5468090988272466E-3</v>
      </c>
      <c r="I25" s="144">
        <f t="shared" si="4"/>
        <v>1.0309278350515464E-2</v>
      </c>
      <c r="J25" s="144">
        <v>0</v>
      </c>
      <c r="K25" s="144">
        <v>0</v>
      </c>
      <c r="L25" s="144">
        <f t="shared" si="6"/>
        <v>1.4334675482021293E-6</v>
      </c>
      <c r="M25" s="130">
        <f>Toolbox!U15/SUM(Toolbox!U$12:U$108)</f>
        <v>0</v>
      </c>
      <c r="N25" s="131">
        <f t="shared" si="7"/>
        <v>1.0309278350515464E-2</v>
      </c>
    </row>
    <row r="26" spans="1:15" x14ac:dyDescent="0.25">
      <c r="A26" s="126">
        <v>320</v>
      </c>
      <c r="B26" s="133">
        <f t="shared" si="0"/>
        <v>4.4991126015963835E-5</v>
      </c>
      <c r="C26" s="134">
        <f t="shared" si="5"/>
        <v>3.2000000000000001E-7</v>
      </c>
      <c r="D26" s="134">
        <f t="shared" si="1"/>
        <v>15.742920167890135</v>
      </c>
      <c r="E26" s="135">
        <f t="shared" si="2"/>
        <v>5165521893.3285189</v>
      </c>
      <c r="F26" s="144">
        <v>2.0002337042437473E-4</v>
      </c>
      <c r="G26" s="144">
        <f t="shared" si="3"/>
        <v>2.0029923910688729E-4</v>
      </c>
      <c r="H26" s="144">
        <v>2.660492717834645E-3</v>
      </c>
      <c r="I26" s="144">
        <f t="shared" si="4"/>
        <v>1.0309278350515464E-2</v>
      </c>
      <c r="J26" s="144">
        <v>0</v>
      </c>
      <c r="K26" s="144">
        <v>0</v>
      </c>
      <c r="L26" s="144">
        <f t="shared" si="6"/>
        <v>4.2266341606002971E-6</v>
      </c>
      <c r="M26" s="130">
        <f>Toolbox!U16/SUM(Toolbox!U$12:U$108)</f>
        <v>0</v>
      </c>
      <c r="N26" s="131">
        <f t="shared" si="7"/>
        <v>1.0309278350515464E-2</v>
      </c>
    </row>
    <row r="27" spans="1:15" x14ac:dyDescent="0.25">
      <c r="A27" s="126">
        <v>325</v>
      </c>
      <c r="B27" s="133">
        <f t="shared" si="0"/>
        <v>1.2550217610547687E-4</v>
      </c>
      <c r="C27" s="134">
        <f t="shared" si="5"/>
        <v>3.2500000000000001E-7</v>
      </c>
      <c r="D27" s="134">
        <f t="shared" si="1"/>
        <v>15.500721396076441</v>
      </c>
      <c r="E27" s="135">
        <f t="shared" si="2"/>
        <v>6090218872.2395086</v>
      </c>
      <c r="F27" s="144">
        <v>2.3584113189542552E-4</v>
      </c>
      <c r="G27" s="144">
        <f t="shared" si="3"/>
        <v>2.3615546140255171E-4</v>
      </c>
      <c r="H27" s="144">
        <v>3.7660118479224181E-3</v>
      </c>
      <c r="I27" s="144">
        <f t="shared" si="4"/>
        <v>1.0309278350515464E-2</v>
      </c>
      <c r="J27" s="144">
        <v>0</v>
      </c>
      <c r="K27" s="144">
        <v>0</v>
      </c>
      <c r="L27" s="144">
        <f t="shared" si="6"/>
        <v>1.1790142450955041E-5</v>
      </c>
      <c r="M27" s="130">
        <f>Toolbox!U17/SUM(Toolbox!U$12:U$108)</f>
        <v>0</v>
      </c>
      <c r="N27" s="131">
        <f t="shared" si="7"/>
        <v>1.0309278350515464E-2</v>
      </c>
    </row>
    <row r="28" spans="1:15" x14ac:dyDescent="0.25">
      <c r="A28" s="126">
        <v>330</v>
      </c>
      <c r="B28" s="133">
        <f t="shared" si="0"/>
        <v>3.312022283807799E-4</v>
      </c>
      <c r="C28" s="134">
        <f t="shared" si="5"/>
        <v>3.3000000000000002E-7</v>
      </c>
      <c r="D28" s="134">
        <f t="shared" si="1"/>
        <v>15.265861980984374</v>
      </c>
      <c r="E28" s="135">
        <f t="shared" si="2"/>
        <v>7136383419.954402</v>
      </c>
      <c r="F28" s="144">
        <v>2.7636470218819797E-4</v>
      </c>
      <c r="G28" s="144">
        <f t="shared" si="3"/>
        <v>2.7672173277167148E-4</v>
      </c>
      <c r="H28" s="144">
        <v>4.8715441253353439E-3</v>
      </c>
      <c r="I28" s="144">
        <f t="shared" si="4"/>
        <v>1.0309278350515464E-2</v>
      </c>
      <c r="J28" s="144">
        <v>0</v>
      </c>
      <c r="K28" s="144">
        <v>0</v>
      </c>
      <c r="L28" s="144">
        <f t="shared" si="6"/>
        <v>3.1114372466349051E-5</v>
      </c>
      <c r="M28" s="130">
        <f>Toolbox!U18/SUM(Toolbox!U$12:U$108)</f>
        <v>0</v>
      </c>
      <c r="N28" s="131">
        <f t="shared" si="7"/>
        <v>1.0309278350515464E-2</v>
      </c>
    </row>
    <row r="29" spans="1:15" x14ac:dyDescent="0.25">
      <c r="A29" s="126">
        <v>335</v>
      </c>
      <c r="B29" s="133">
        <f t="shared" si="0"/>
        <v>8.2689971910402955E-4</v>
      </c>
      <c r="C29" s="134">
        <f t="shared" si="5"/>
        <v>3.3500000000000002E-7</v>
      </c>
      <c r="D29" s="134">
        <f t="shared" si="1"/>
        <v>15.038013294701026</v>
      </c>
      <c r="E29" s="135">
        <f t="shared" si="2"/>
        <v>8313373504.2075691</v>
      </c>
      <c r="F29" s="144">
        <v>3.2195774504471076E-4</v>
      </c>
      <c r="G29" s="144">
        <f t="shared" si="3"/>
        <v>3.2236091951420403E-4</v>
      </c>
      <c r="H29" s="144">
        <v>5.0618648042411269E-3</v>
      </c>
      <c r="I29" s="144">
        <f t="shared" si="4"/>
        <v>1.0309278350515464E-2</v>
      </c>
      <c r="J29" s="144">
        <v>0</v>
      </c>
      <c r="K29" s="144">
        <v>0</v>
      </c>
      <c r="L29" s="144">
        <f t="shared" si="6"/>
        <v>7.76820433192932E-5</v>
      </c>
      <c r="M29" s="130">
        <f>Toolbox!U19/SUM(Toolbox!U$12:U$108)</f>
        <v>0</v>
      </c>
      <c r="N29" s="131">
        <f t="shared" si="7"/>
        <v>1.0309278350515464E-2</v>
      </c>
    </row>
    <row r="30" spans="1:15" x14ac:dyDescent="0.25">
      <c r="A30" s="126">
        <v>340</v>
      </c>
      <c r="B30" s="133">
        <f t="shared" si="0"/>
        <v>1.953125E-3</v>
      </c>
      <c r="C30" s="134">
        <f t="shared" si="5"/>
        <v>3.3999999999999997E-7</v>
      </c>
      <c r="D30" s="134">
        <f t="shared" si="1"/>
        <v>14.81686604036719</v>
      </c>
      <c r="E30" s="135">
        <f t="shared" si="2"/>
        <v>9630521537.9535122</v>
      </c>
      <c r="F30" s="144">
        <v>3.7298184612845673E-4</v>
      </c>
      <c r="G30" s="144">
        <f t="shared" si="3"/>
        <v>3.7343489701320256E-4</v>
      </c>
      <c r="H30" s="144">
        <v>5.2521986304720622E-3</v>
      </c>
      <c r="I30" s="144">
        <f t="shared" si="4"/>
        <v>1.0309278350515464E-2</v>
      </c>
      <c r="J30" s="144">
        <v>0</v>
      </c>
      <c r="K30" s="144">
        <v>0</v>
      </c>
      <c r="L30" s="144">
        <f t="shared" si="6"/>
        <v>1.8348384616987247E-4</v>
      </c>
      <c r="M30" s="130">
        <f>Toolbox!U20/SUM(Toolbox!U$12:U$108)</f>
        <v>0</v>
      </c>
      <c r="N30" s="131">
        <f t="shared" si="7"/>
        <v>1.0309278350515464E-2</v>
      </c>
    </row>
    <row r="31" spans="1:15" x14ac:dyDescent="0.25">
      <c r="A31" s="126">
        <v>345</v>
      </c>
      <c r="B31" s="133">
        <f t="shared" si="0"/>
        <v>4.3644028830946129E-3</v>
      </c>
      <c r="C31" s="134">
        <f t="shared" si="5"/>
        <v>3.4499999999999998E-7</v>
      </c>
      <c r="D31" s="134">
        <f t="shared" si="1"/>
        <v>14.602128851376362</v>
      </c>
      <c r="E31" s="135">
        <f t="shared" si="2"/>
        <v>11097065032.370735</v>
      </c>
      <c r="F31" s="144">
        <v>4.2979651302440288E-4</v>
      </c>
      <c r="G31" s="144">
        <f t="shared" si="3"/>
        <v>4.3030186072277703E-4</v>
      </c>
      <c r="H31" s="144">
        <v>5.5784363568031009E-3</v>
      </c>
      <c r="I31" s="144">
        <f t="shared" si="4"/>
        <v>1.0309278350515464E-2</v>
      </c>
      <c r="J31" s="144">
        <v>0</v>
      </c>
      <c r="K31" s="144">
        <v>0</v>
      </c>
      <c r="L31" s="144">
        <f t="shared" si="6"/>
        <v>4.1000828273924094E-4</v>
      </c>
      <c r="M31" s="130">
        <f>Toolbox!U21/SUM(Toolbox!U$12:U$108)</f>
        <v>0</v>
      </c>
      <c r="N31" s="131">
        <f t="shared" si="7"/>
        <v>1.0309278350515464E-2</v>
      </c>
    </row>
    <row r="32" spans="1:15" x14ac:dyDescent="0.25">
      <c r="A32" s="126">
        <v>350</v>
      </c>
      <c r="B32" s="133">
        <f t="shared" si="0"/>
        <v>9.226505167418202E-3</v>
      </c>
      <c r="C32" s="134">
        <f t="shared" si="5"/>
        <v>3.4999999999999998E-7</v>
      </c>
      <c r="D32" s="134">
        <f t="shared" si="1"/>
        <v>14.39352701064241</v>
      </c>
      <c r="E32" s="135">
        <f t="shared" si="2"/>
        <v>12722078147.695604</v>
      </c>
      <c r="F32" s="144">
        <v>4.9275190196415011E-4</v>
      </c>
      <c r="G32" s="144">
        <f t="shared" si="3"/>
        <v>4.9331367197047807E-4</v>
      </c>
      <c r="H32" s="144">
        <v>5.9046872304592919E-3</v>
      </c>
      <c r="I32" s="144">
        <f t="shared" si="4"/>
        <v>1.0309278350515464E-2</v>
      </c>
      <c r="J32" s="144">
        <v>0</v>
      </c>
      <c r="K32" s="144">
        <v>0</v>
      </c>
      <c r="L32" s="144">
        <f t="shared" si="6"/>
        <v>8.6677230326993664E-4</v>
      </c>
      <c r="M32" s="130">
        <f>Toolbox!U22/SUM(Toolbox!U$12:U$108)</f>
        <v>0</v>
      </c>
      <c r="N32" s="131">
        <f t="shared" si="7"/>
        <v>1.0309278350515464E-2</v>
      </c>
    </row>
    <row r="33" spans="1:14" x14ac:dyDescent="0.25">
      <c r="A33" s="126">
        <v>355</v>
      </c>
      <c r="B33" s="133">
        <f t="shared" si="0"/>
        <v>1.8453010334836414E-2</v>
      </c>
      <c r="C33" s="134">
        <f t="shared" si="5"/>
        <v>3.5499999999999999E-7</v>
      </c>
      <c r="D33" s="134">
        <f t="shared" si="1"/>
        <v>14.190801278098151</v>
      </c>
      <c r="E33" s="135">
        <f t="shared" si="2"/>
        <v>14514405000.920765</v>
      </c>
      <c r="F33" s="144">
        <v>5.6219297398298485E-4</v>
      </c>
      <c r="G33" s="144">
        <f t="shared" si="3"/>
        <v>5.6281327188418791E-4</v>
      </c>
      <c r="H33" s="144">
        <v>6.0181880884997464E-3</v>
      </c>
      <c r="I33" s="144">
        <f t="shared" si="4"/>
        <v>1.0309278350515464E-2</v>
      </c>
      <c r="J33" s="144">
        <v>0</v>
      </c>
      <c r="K33" s="144">
        <v>0</v>
      </c>
      <c r="L33" s="144">
        <f t="shared" si="6"/>
        <v>1.7335446065398742E-3</v>
      </c>
      <c r="M33" s="130">
        <f>Toolbox!U23/SUM(Toolbox!U$12:U$108)</f>
        <v>0</v>
      </c>
      <c r="N33" s="131">
        <f t="shared" si="7"/>
        <v>1.0309278350515464E-2</v>
      </c>
    </row>
    <row r="34" spans="1:14" x14ac:dyDescent="0.25">
      <c r="A34" s="126">
        <v>360</v>
      </c>
      <c r="B34" s="133">
        <f t="shared" si="0"/>
        <v>3.4915223064756855E-2</v>
      </c>
      <c r="C34" s="134">
        <f t="shared" si="5"/>
        <v>3.5999999999999999E-7</v>
      </c>
      <c r="D34" s="134">
        <f t="shared" si="1"/>
        <v>13.993706815902344</v>
      </c>
      <c r="E34" s="135">
        <f t="shared" si="2"/>
        <v>16482595510.237005</v>
      </c>
      <c r="F34" s="144">
        <v>6.3845014356651224E-4</v>
      </c>
      <c r="G34" s="144">
        <f t="shared" si="3"/>
        <v>6.3913219368424848E-4</v>
      </c>
      <c r="H34" s="144">
        <v>6.1316889465402018E-3</v>
      </c>
      <c r="I34" s="144">
        <f t="shared" si="4"/>
        <v>1.0309278350515464E-2</v>
      </c>
      <c r="J34" s="144">
        <v>0</v>
      </c>
      <c r="K34" s="144">
        <v>0</v>
      </c>
      <c r="L34" s="144">
        <f t="shared" si="6"/>
        <v>3.2800662619139227E-3</v>
      </c>
      <c r="M34" s="130">
        <f>Toolbox!U24/SUM(Toolbox!U$12:U$108)</f>
        <v>0</v>
      </c>
      <c r="N34" s="131">
        <f t="shared" si="7"/>
        <v>1.0309278350515464E-2</v>
      </c>
    </row>
    <row r="35" spans="1:14" x14ac:dyDescent="0.25">
      <c r="A35" s="126">
        <v>365</v>
      </c>
      <c r="B35" s="133">
        <f t="shared" si="0"/>
        <v>6.25E-2</v>
      </c>
      <c r="C35" s="134">
        <f t="shared" si="5"/>
        <v>3.65E-7</v>
      </c>
      <c r="D35" s="134">
        <f t="shared" si="1"/>
        <v>13.802012201985873</v>
      </c>
      <c r="E35" s="135">
        <f t="shared" si="2"/>
        <v>18634844468.634331</v>
      </c>
      <c r="F35" s="144">
        <v>7.2184135672918317E-4</v>
      </c>
      <c r="G35" s="144">
        <f t="shared" si="3"/>
        <v>7.2258820019006746E-4</v>
      </c>
      <c r="H35" s="144">
        <v>6.4900061462430355E-3</v>
      </c>
      <c r="I35" s="144">
        <f t="shared" si="4"/>
        <v>1.0309278350515464E-2</v>
      </c>
      <c r="J35" s="144">
        <v>0</v>
      </c>
      <c r="K35" s="144">
        <v>0</v>
      </c>
      <c r="L35" s="144">
        <f t="shared" si="6"/>
        <v>5.871483077435919E-3</v>
      </c>
      <c r="M35" s="130">
        <f>Toolbox!U25/SUM(Toolbox!U$12:U$108)</f>
        <v>0</v>
      </c>
      <c r="N35" s="131">
        <f t="shared" si="7"/>
        <v>1.0309278350515464E-2</v>
      </c>
    </row>
    <row r="36" spans="1:14" x14ac:dyDescent="0.25">
      <c r="A36" s="126">
        <v>370</v>
      </c>
      <c r="B36" s="133">
        <f t="shared" si="0"/>
        <v>0.10584316404531589</v>
      </c>
      <c r="C36" s="134">
        <f t="shared" si="5"/>
        <v>3.7E-7</v>
      </c>
      <c r="D36" s="134">
        <f t="shared" si="1"/>
        <v>13.615498523580658</v>
      </c>
      <c r="E36" s="135">
        <f t="shared" si="2"/>
        <v>20978934446.276802</v>
      </c>
      <c r="F36" s="144">
        <v>8.1266897389650468E-4</v>
      </c>
      <c r="G36" s="144">
        <f t="shared" si="3"/>
        <v>8.1348306979196977E-4</v>
      </c>
      <c r="H36" s="144">
        <v>6.8483233459458691E-3</v>
      </c>
      <c r="I36" s="144">
        <f t="shared" si="4"/>
        <v>1.0309278350515464E-2</v>
      </c>
      <c r="J36" s="144">
        <v>0</v>
      </c>
      <c r="K36" s="144">
        <v>0</v>
      </c>
      <c r="L36" s="144">
        <f t="shared" si="6"/>
        <v>9.94330154486954E-3</v>
      </c>
      <c r="M36" s="130">
        <f>Toolbox!U26/SUM(Toolbox!U$12:U$108)</f>
        <v>0</v>
      </c>
      <c r="N36" s="131">
        <f t="shared" si="7"/>
        <v>1.0309278350515464E-2</v>
      </c>
    </row>
    <row r="37" spans="1:14" x14ac:dyDescent="0.25">
      <c r="A37" s="126">
        <v>375</v>
      </c>
      <c r="B37" s="133">
        <f t="shared" si="0"/>
        <v>0.16957554093095895</v>
      </c>
      <c r="C37" s="134">
        <f t="shared" si="5"/>
        <v>3.7500000000000001E-7</v>
      </c>
      <c r="D37" s="134">
        <f t="shared" si="1"/>
        <v>13.43395854326625</v>
      </c>
      <c r="E37" s="135">
        <f t="shared" si="2"/>
        <v>23522183025.815765</v>
      </c>
      <c r="F37" s="144">
        <v>9.1121665278725119E-4</v>
      </c>
      <c r="G37" s="144">
        <f t="shared" si="3"/>
        <v>9.1210055043787529E-4</v>
      </c>
      <c r="H37" s="144">
        <v>6.7093824137355674E-3</v>
      </c>
      <c r="I37" s="144">
        <f t="shared" si="4"/>
        <v>1.0309278350515464E-2</v>
      </c>
      <c r="J37" s="144">
        <v>0</v>
      </c>
      <c r="K37" s="144">
        <v>0</v>
      </c>
      <c r="L37" s="144">
        <f t="shared" si="6"/>
        <v>1.5930558702770679E-2</v>
      </c>
      <c r="M37" s="130">
        <f>Toolbox!U27/SUM(Toolbox!U$12:U$108)</f>
        <v>0</v>
      </c>
      <c r="N37" s="131">
        <f t="shared" si="7"/>
        <v>1.0309278350515464E-2</v>
      </c>
    </row>
    <row r="38" spans="1:14" x14ac:dyDescent="0.25">
      <c r="A38" s="126">
        <v>380</v>
      </c>
      <c r="B38" s="133">
        <f t="shared" si="0"/>
        <v>0.25702845666401669</v>
      </c>
      <c r="C38" s="134">
        <f t="shared" si="5"/>
        <v>3.8000000000000001E-7</v>
      </c>
      <c r="D38" s="134">
        <f t="shared" si="1"/>
        <v>13.257195930854852</v>
      </c>
      <c r="E38" s="135">
        <f t="shared" si="2"/>
        <v>26271394779.0942</v>
      </c>
      <c r="F38" s="144">
        <v>1.0177493484134648E-3</v>
      </c>
      <c r="G38" s="144">
        <f t="shared" si="3"/>
        <v>1.0187044974730409E-3</v>
      </c>
      <c r="H38" s="144">
        <v>6.5704414815252665E-3</v>
      </c>
      <c r="I38" s="144">
        <f t="shared" si="4"/>
        <v>1.0309278350515464E-2</v>
      </c>
      <c r="J38" s="144">
        <v>1.5317802316186359E-3</v>
      </c>
      <c r="K38" s="144">
        <v>0</v>
      </c>
      <c r="L38" s="144">
        <f t="shared" si="6"/>
        <v>2.4146211739555928E-2</v>
      </c>
      <c r="M38" s="130">
        <f>Toolbox!U28/SUM(Toolbox!U$12:U$108)</f>
        <v>0</v>
      </c>
      <c r="N38" s="131">
        <f t="shared" si="7"/>
        <v>1.0309278350515464E-2</v>
      </c>
    </row>
    <row r="39" spans="1:14" x14ac:dyDescent="0.25">
      <c r="A39" s="126">
        <v>385</v>
      </c>
      <c r="B39" s="133">
        <f t="shared" si="0"/>
        <v>0.36856730432277529</v>
      </c>
      <c r="C39" s="134">
        <f t="shared" si="5"/>
        <v>3.8500000000000002E-7</v>
      </c>
      <c r="D39" s="134">
        <f t="shared" si="1"/>
        <v>13.085024555129463</v>
      </c>
      <c r="E39" s="135">
        <f t="shared" si="2"/>
        <v>29232818299.778412</v>
      </c>
      <c r="F39" s="144">
        <v>1.1325112350019297E-3</v>
      </c>
      <c r="G39" s="144">
        <f t="shared" si="3"/>
        <v>1.1335372075293841E-3</v>
      </c>
      <c r="H39" s="144">
        <v>6.8776024390602084E-3</v>
      </c>
      <c r="I39" s="144">
        <f t="shared" si="4"/>
        <v>1.0309278350515464E-2</v>
      </c>
      <c r="J39" s="144">
        <v>1.0604632372744403E-3</v>
      </c>
      <c r="K39" s="144">
        <v>0</v>
      </c>
      <c r="L39" s="144">
        <f t="shared" si="6"/>
        <v>3.4624587043637592E-2</v>
      </c>
      <c r="M39" s="130">
        <f>Toolbox!U29/SUM(Toolbox!U$12:U$108)</f>
        <v>0</v>
      </c>
      <c r="N39" s="131">
        <f t="shared" si="7"/>
        <v>1.0309278350515464E-2</v>
      </c>
    </row>
    <row r="40" spans="1:14" x14ac:dyDescent="0.25">
      <c r="A40" s="126">
        <v>390</v>
      </c>
      <c r="B40" s="133">
        <f t="shared" si="0"/>
        <v>0.5</v>
      </c>
      <c r="C40" s="134">
        <f t="shared" si="5"/>
        <v>3.9000000000000002E-7</v>
      </c>
      <c r="D40" s="134">
        <f t="shared" si="1"/>
        <v>12.9172678300637</v>
      </c>
      <c r="E40" s="135">
        <f t="shared" si="2"/>
        <v>32412108516.052113</v>
      </c>
      <c r="F40" s="144">
        <v>1.2557101204052278E-3</v>
      </c>
      <c r="G40" s="144">
        <f t="shared" si="3"/>
        <v>1.2568179571554885E-3</v>
      </c>
      <c r="H40" s="144">
        <v>7.1847765439203024E-3</v>
      </c>
      <c r="I40" s="144">
        <f t="shared" si="4"/>
        <v>1.0309278350515464E-2</v>
      </c>
      <c r="J40" s="144">
        <v>7.7430649070832152E-4</v>
      </c>
      <c r="K40" s="144">
        <v>0</v>
      </c>
      <c r="L40" s="144">
        <f t="shared" si="6"/>
        <v>4.6971864619487352E-2</v>
      </c>
      <c r="M40" s="130">
        <f>Toolbox!U30/SUM(Toolbox!U$12:U$108)</f>
        <v>0</v>
      </c>
      <c r="N40" s="131">
        <f t="shared" si="7"/>
        <v>1.0309278350515464E-2</v>
      </c>
    </row>
    <row r="41" spans="1:14" x14ac:dyDescent="0.25">
      <c r="A41" s="126">
        <v>395</v>
      </c>
      <c r="B41" s="133">
        <f t="shared" si="0"/>
        <v>0.64171294878145202</v>
      </c>
      <c r="C41" s="134">
        <f t="shared" si="5"/>
        <v>3.9499999999999998E-7</v>
      </c>
      <c r="D41" s="134">
        <f t="shared" si="1"/>
        <v>12.753758110695808</v>
      </c>
      <c r="E41" s="135">
        <f t="shared" si="2"/>
        <v>35814294422.015785</v>
      </c>
      <c r="F41" s="144">
        <v>1.3875642028685705E-3</v>
      </c>
      <c r="G41" s="144">
        <f t="shared" si="3"/>
        <v>1.3887417515633345E-3</v>
      </c>
      <c r="H41" s="144">
        <v>9.0324095895590456E-3</v>
      </c>
      <c r="I41" s="144">
        <f t="shared" si="4"/>
        <v>1.0309278350515464E-2</v>
      </c>
      <c r="J41" s="144">
        <v>6.228117425262586E-4</v>
      </c>
      <c r="K41" s="144">
        <v>0</v>
      </c>
      <c r="L41" s="144">
        <f t="shared" si="6"/>
        <v>6.0284907509468771E-2</v>
      </c>
      <c r="M41" s="130">
        <f>Toolbox!U31/SUM(Toolbox!U$12:U$108)</f>
        <v>0</v>
      </c>
      <c r="N41" s="131">
        <f t="shared" si="7"/>
        <v>1.0309278350515464E-2</v>
      </c>
    </row>
    <row r="42" spans="1:14" x14ac:dyDescent="0.25">
      <c r="A42" s="126">
        <v>400</v>
      </c>
      <c r="B42" s="133">
        <f t="shared" si="0"/>
        <v>0.7791645796604999</v>
      </c>
      <c r="C42" s="134">
        <f t="shared" si="5"/>
        <v>3.9999999999999998E-7</v>
      </c>
      <c r="D42" s="134">
        <f t="shared" si="1"/>
        <v>12.594336134312112</v>
      </c>
      <c r="E42" s="135">
        <f t="shared" si="2"/>
        <v>39443752286.930801</v>
      </c>
      <c r="F42" s="144">
        <v>1.5282189478887649E-3</v>
      </c>
      <c r="G42" s="144">
        <f t="shared" si="3"/>
        <v>1.5294782857849603E-3</v>
      </c>
      <c r="H42" s="144">
        <v>1.0880055782522944E-2</v>
      </c>
      <c r="I42" s="144">
        <f t="shared" si="4"/>
        <v>1.0309278350515464E-2</v>
      </c>
      <c r="J42" s="144">
        <v>2.1714247239429016E-3</v>
      </c>
      <c r="K42" s="144">
        <v>0</v>
      </c>
      <c r="L42" s="144">
        <f t="shared" si="6"/>
        <v>7.3197626304225549E-2</v>
      </c>
      <c r="M42" s="130">
        <f>Toolbox!U32/SUM(Toolbox!U$12:U$108)</f>
        <v>0</v>
      </c>
      <c r="N42" s="131">
        <f t="shared" si="7"/>
        <v>1.0309278350515464E-2</v>
      </c>
    </row>
    <row r="43" spans="1:14" x14ac:dyDescent="0.25">
      <c r="A43" s="126">
        <v>405</v>
      </c>
      <c r="B43" s="133">
        <f t="shared" si="0"/>
        <v>0.89502507092797245</v>
      </c>
      <c r="C43" s="134">
        <f t="shared" si="5"/>
        <v>4.0499999999999999E-7</v>
      </c>
      <c r="D43" s="134">
        <f t="shared" si="1"/>
        <v>12.438850503024305</v>
      </c>
      <c r="E43" s="135">
        <f t="shared" si="2"/>
        <v>43304184328.725128</v>
      </c>
      <c r="F43" s="144">
        <v>1.6778406017478771E-3</v>
      </c>
      <c r="G43" s="144">
        <f t="shared" si="3"/>
        <v>1.6791711177123448E-3</v>
      </c>
      <c r="H43" s="144">
        <v>1.1454002262049881E-2</v>
      </c>
      <c r="I43" s="144">
        <f t="shared" si="4"/>
        <v>1.0309278350515464E-2</v>
      </c>
      <c r="J43" s="144">
        <v>2.1343926743872862E-2</v>
      </c>
      <c r="K43" s="144">
        <v>1.5243474878143661E-5</v>
      </c>
      <c r="L43" s="144">
        <f t="shared" si="6"/>
        <v>8.4081992925351581E-2</v>
      </c>
      <c r="M43" s="130">
        <f>Toolbox!U33/SUM(Toolbox!U$12:U$108)</f>
        <v>0</v>
      </c>
      <c r="N43" s="131">
        <f t="shared" si="7"/>
        <v>1.0309278350515464E-2</v>
      </c>
    </row>
    <row r="44" spans="1:14" x14ac:dyDescent="0.25">
      <c r="A44" s="126">
        <v>410</v>
      </c>
      <c r="B44" s="133">
        <f t="shared" si="0"/>
        <v>0.97265494741228553</v>
      </c>
      <c r="C44" s="134">
        <f t="shared" si="5"/>
        <v>4.0999999999999999E-7</v>
      </c>
      <c r="D44" s="134">
        <f t="shared" si="1"/>
        <v>12.287157204206938</v>
      </c>
      <c r="E44" s="135">
        <f t="shared" si="2"/>
        <v>47398602772.761612</v>
      </c>
      <c r="F44" s="144">
        <v>1.8365330683721979E-3</v>
      </c>
      <c r="G44" s="144">
        <f t="shared" si="3"/>
        <v>1.8379370499572389E-3</v>
      </c>
      <c r="H44" s="144">
        <v>1.2027961888901973E-2</v>
      </c>
      <c r="I44" s="144">
        <f t="shared" si="4"/>
        <v>1.0309278350515464E-2</v>
      </c>
      <c r="J44" s="144">
        <v>2.6764072178831113E-3</v>
      </c>
      <c r="K44" s="144">
        <v>3.6462391908519632E-5</v>
      </c>
      <c r="L44" s="144">
        <f t="shared" si="6"/>
        <v>9.1374833022648941E-2</v>
      </c>
      <c r="M44" s="130">
        <f>Toolbox!U34/SUM(Toolbox!U$12:U$108)</f>
        <v>0</v>
      </c>
      <c r="N44" s="131">
        <f t="shared" si="7"/>
        <v>1.0309278350515464E-2</v>
      </c>
    </row>
    <row r="45" spans="1:14" x14ac:dyDescent="0.25">
      <c r="A45" s="126">
        <v>415</v>
      </c>
      <c r="B45" s="133">
        <f t="shared" si="0"/>
        <v>1</v>
      </c>
      <c r="C45" s="134">
        <f t="shared" si="5"/>
        <v>4.15E-7</v>
      </c>
      <c r="D45" s="134">
        <f t="shared" si="1"/>
        <v>12.139119165602033</v>
      </c>
      <c r="E45" s="135">
        <f t="shared" si="2"/>
        <v>51729319159.060585</v>
      </c>
      <c r="F45" s="144">
        <v>2.0043794709027605E-3</v>
      </c>
      <c r="G45" s="144">
        <f t="shared" si="3"/>
        <v>2.0058657152260372E-3</v>
      </c>
      <c r="H45" s="144">
        <v>1.2155872215309432E-2</v>
      </c>
      <c r="I45" s="144">
        <f t="shared" si="4"/>
        <v>1.0309278350515464E-2</v>
      </c>
      <c r="J45" s="144">
        <v>3.0130622138432508E-3</v>
      </c>
      <c r="K45" s="144">
        <v>8.804631089615778E-5</v>
      </c>
      <c r="L45" s="144">
        <f t="shared" si="6"/>
        <v>9.3943729238974705E-2</v>
      </c>
      <c r="M45" s="130">
        <f>Toolbox!U35/SUM(Toolbox!U$12:U$108)</f>
        <v>0</v>
      </c>
      <c r="N45" s="131">
        <f t="shared" si="7"/>
        <v>1.0309278350515464E-2</v>
      </c>
    </row>
    <row r="46" spans="1:14" x14ac:dyDescent="0.25">
      <c r="A46" s="126">
        <v>420</v>
      </c>
      <c r="B46" s="133">
        <f t="shared" si="0"/>
        <v>0.97265494741228553</v>
      </c>
      <c r="C46" s="134">
        <f t="shared" si="5"/>
        <v>4.2E-7</v>
      </c>
      <c r="D46" s="134">
        <f t="shared" si="1"/>
        <v>11.994605842202009</v>
      </c>
      <c r="E46" s="135">
        <f t="shared" si="2"/>
        <v>56297938711.044182</v>
      </c>
      <c r="F46" s="144">
        <v>2.181462932480597E-3</v>
      </c>
      <c r="G46" s="144">
        <f t="shared" si="3"/>
        <v>2.1830193579611573E-3</v>
      </c>
      <c r="H46" s="144">
        <v>1.2283782541716888E-2</v>
      </c>
      <c r="I46" s="144">
        <f t="shared" si="4"/>
        <v>1.0309278350515464E-2</v>
      </c>
      <c r="J46" s="144">
        <v>4.1408564503097193E-3</v>
      </c>
      <c r="K46" s="144">
        <v>2.1426228288718728E-4</v>
      </c>
      <c r="L46" s="144">
        <f t="shared" si="6"/>
        <v>9.1374833022648941E-2</v>
      </c>
      <c r="M46" s="130">
        <f>Toolbox!U36/SUM(Toolbox!U$12:U$108)</f>
        <v>0</v>
      </c>
      <c r="N46" s="131">
        <f t="shared" si="7"/>
        <v>1.0309278350515464E-2</v>
      </c>
    </row>
    <row r="47" spans="1:14" x14ac:dyDescent="0.25">
      <c r="A47" s="126">
        <v>425</v>
      </c>
      <c r="B47" s="133">
        <f t="shared" si="0"/>
        <v>0.89502507092797245</v>
      </c>
      <c r="C47" s="134">
        <f t="shared" si="5"/>
        <v>4.2500000000000001E-7</v>
      </c>
      <c r="D47" s="134">
        <f t="shared" si="1"/>
        <v>11.85349283229375</v>
      </c>
      <c r="E47" s="135">
        <f t="shared" si="2"/>
        <v>61105359536.381783</v>
      </c>
      <c r="F47" s="144">
        <v>2.3677938434983371E-3</v>
      </c>
      <c r="G47" s="144">
        <f t="shared" si="3"/>
        <v>2.3694328033528763E-3</v>
      </c>
      <c r="H47" s="144">
        <v>1.1840086612474531E-2</v>
      </c>
      <c r="I47" s="144">
        <f t="shared" si="4"/>
        <v>1.0309278350515464E-2</v>
      </c>
      <c r="J47" s="144">
        <v>5.6053056827363272E-3</v>
      </c>
      <c r="K47" s="144">
        <v>5.2218047542568918E-4</v>
      </c>
      <c r="L47" s="144">
        <f t="shared" si="6"/>
        <v>8.4081992925351581E-2</v>
      </c>
      <c r="M47" s="130">
        <f>Toolbox!U37/SUM(Toolbox!U$12:U$108)</f>
        <v>0</v>
      </c>
      <c r="N47" s="131">
        <f t="shared" si="7"/>
        <v>1.0309278350515464E-2</v>
      </c>
    </row>
    <row r="48" spans="1:14" x14ac:dyDescent="0.25">
      <c r="A48" s="126">
        <v>430</v>
      </c>
      <c r="B48" s="133">
        <f t="shared" si="0"/>
        <v>0.7791645796604999</v>
      </c>
      <c r="C48" s="134">
        <f t="shared" si="5"/>
        <v>4.3000000000000001E-7</v>
      </c>
      <c r="D48" s="134">
        <f t="shared" si="1"/>
        <v>11.715661520290334</v>
      </c>
      <c r="E48" s="135">
        <f t="shared" si="2"/>
        <v>66151776395.403885</v>
      </c>
      <c r="F48" s="144">
        <v>2.5634033751338681E-3</v>
      </c>
      <c r="G48" s="144">
        <f t="shared" si="3"/>
        <v>2.5651136034640473E-3</v>
      </c>
      <c r="H48" s="144">
        <v>1.1396403830557325E-2</v>
      </c>
      <c r="I48" s="144">
        <f t="shared" si="4"/>
        <v>1.0309278350515464E-2</v>
      </c>
      <c r="J48" s="144">
        <v>7.5579046593051381E-3</v>
      </c>
      <c r="K48" s="144">
        <v>1.2583793381405154E-3</v>
      </c>
      <c r="L48" s="144">
        <f t="shared" si="6"/>
        <v>7.3197626304225549E-2</v>
      </c>
      <c r="M48" s="130">
        <f>Toolbox!U38/SUM(Toolbox!U$12:U$108)</f>
        <v>0</v>
      </c>
      <c r="N48" s="131">
        <f t="shared" si="7"/>
        <v>1.0309278350515464E-2</v>
      </c>
    </row>
    <row r="49" spans="1:14" x14ac:dyDescent="0.25">
      <c r="A49" s="126">
        <v>435</v>
      </c>
      <c r="B49" s="133">
        <f t="shared" si="0"/>
        <v>0.64171294878145202</v>
      </c>
      <c r="C49" s="134">
        <f t="shared" si="5"/>
        <v>4.3500000000000002E-7</v>
      </c>
      <c r="D49" s="134">
        <f t="shared" si="1"/>
        <v>11.580998744195044</v>
      </c>
      <c r="E49" s="135">
        <f t="shared" si="2"/>
        <v>71436688744.529449</v>
      </c>
      <c r="F49" s="144">
        <v>2.7682603562093023E-3</v>
      </c>
      <c r="G49" s="144">
        <f t="shared" si="3"/>
        <v>2.7700423491235364E-3</v>
      </c>
      <c r="H49" s="144">
        <v>1.2591666602135213E-2</v>
      </c>
      <c r="I49" s="144">
        <f t="shared" si="4"/>
        <v>1.0309278350515464E-2</v>
      </c>
      <c r="J49" s="144">
        <v>5.7130352814435716E-2</v>
      </c>
      <c r="K49" s="144">
        <v>2.9357713137314438E-3</v>
      </c>
      <c r="L49" s="144">
        <f t="shared" si="6"/>
        <v>6.0284907509468771E-2</v>
      </c>
      <c r="M49" s="130">
        <f>Toolbox!U39/SUM(Toolbox!U$12:U$108)</f>
        <v>0</v>
      </c>
      <c r="N49" s="131">
        <f t="shared" si="7"/>
        <v>1.0309278350515464E-2</v>
      </c>
    </row>
    <row r="50" spans="1:14" x14ac:dyDescent="0.25">
      <c r="A50" s="126">
        <v>440</v>
      </c>
      <c r="B50" s="133">
        <f t="shared" si="0"/>
        <v>0.5</v>
      </c>
      <c r="C50" s="134">
        <f t="shared" si="5"/>
        <v>4.4000000000000002E-7</v>
      </c>
      <c r="D50" s="134">
        <f t="shared" si="1"/>
        <v>11.44939648573828</v>
      </c>
      <c r="E50" s="135">
        <f t="shared" si="2"/>
        <v>76958912740.760117</v>
      </c>
      <c r="F50" s="144">
        <v>2.9823232251541239E-3</v>
      </c>
      <c r="G50" s="144">
        <f t="shared" si="3"/>
        <v>2.9841731354147273E-3</v>
      </c>
      <c r="H50" s="144">
        <v>1.3786942521038249E-2</v>
      </c>
      <c r="I50" s="144">
        <f t="shared" si="4"/>
        <v>1.0309278350515464E-2</v>
      </c>
      <c r="J50" s="144">
        <v>2.0418125504982478E-2</v>
      </c>
      <c r="K50" s="144">
        <v>6.4438436482879124E-3</v>
      </c>
      <c r="L50" s="144">
        <f t="shared" si="6"/>
        <v>4.6971864619487352E-2</v>
      </c>
      <c r="M50" s="130">
        <f>Toolbox!U40/SUM(Toolbox!U$12:U$108)</f>
        <v>0</v>
      </c>
      <c r="N50" s="131">
        <f t="shared" si="7"/>
        <v>1.0309278350515464E-2</v>
      </c>
    </row>
    <row r="51" spans="1:14" x14ac:dyDescent="0.25">
      <c r="A51" s="126">
        <v>445</v>
      </c>
      <c r="B51" s="133">
        <f t="shared" si="0"/>
        <v>0.36856730432277529</v>
      </c>
      <c r="C51" s="134">
        <f t="shared" si="5"/>
        <v>4.4499999999999997E-7</v>
      </c>
      <c r="D51" s="134">
        <f t="shared" si="1"/>
        <v>11.320751581404144</v>
      </c>
      <c r="E51" s="135">
        <f t="shared" si="2"/>
        <v>82716596878.078964</v>
      </c>
      <c r="F51" s="144">
        <v>3.2055192492199285E-3</v>
      </c>
      <c r="G51" s="144">
        <f t="shared" si="3"/>
        <v>3.2074341679954317E-3</v>
      </c>
      <c r="H51" s="144">
        <v>1.4585116631038949E-2</v>
      </c>
      <c r="I51" s="144">
        <f t="shared" si="4"/>
        <v>1.0309278350515464E-2</v>
      </c>
      <c r="J51" s="144">
        <v>1.1698761109614857E-2</v>
      </c>
      <c r="K51" s="144">
        <v>1.2877199785859663E-2</v>
      </c>
      <c r="L51" s="144">
        <f t="shared" si="6"/>
        <v>3.4624587043637592E-2</v>
      </c>
      <c r="M51" s="130">
        <f>Toolbox!U41/SUM(Toolbox!U$12:U$108)</f>
        <v>0</v>
      </c>
      <c r="N51" s="131">
        <f t="shared" si="7"/>
        <v>1.0309278350515464E-2</v>
      </c>
    </row>
    <row r="52" spans="1:14" x14ac:dyDescent="0.25">
      <c r="A52" s="126">
        <v>450</v>
      </c>
      <c r="B52" s="133">
        <f t="shared" si="0"/>
        <v>0.25702845666401669</v>
      </c>
      <c r="C52" s="134">
        <f t="shared" si="5"/>
        <v>4.4999999999999998E-7</v>
      </c>
      <c r="D52" s="134">
        <f t="shared" si="1"/>
        <v>11.194965452721876</v>
      </c>
      <c r="E52" s="135">
        <f t="shared" si="2"/>
        <v>88707240917.019226</v>
      </c>
      <c r="F52" s="144">
        <v>3.4377549148730548E-3</v>
      </c>
      <c r="G52" s="144">
        <f t="shared" si="3"/>
        <v>3.4397284971143718E-3</v>
      </c>
      <c r="H52" s="144">
        <v>1.5383422214291171E-2</v>
      </c>
      <c r="I52" s="144">
        <f t="shared" si="4"/>
        <v>1.0309278350515464E-2</v>
      </c>
      <c r="J52" s="144">
        <v>1.2102747104767025E-2</v>
      </c>
      <c r="K52" s="144">
        <v>2.262180451036129E-2</v>
      </c>
      <c r="L52" s="144">
        <f t="shared" si="6"/>
        <v>2.4146211739555928E-2</v>
      </c>
      <c r="M52" s="130">
        <f>Toolbox!U42/SUM(Toolbox!U$12:U$108)</f>
        <v>0</v>
      </c>
      <c r="N52" s="131">
        <f t="shared" si="7"/>
        <v>1.0309278350515464E-2</v>
      </c>
    </row>
    <row r="53" spans="1:14" x14ac:dyDescent="0.25">
      <c r="A53" s="126">
        <v>455</v>
      </c>
      <c r="B53" s="133">
        <f t="shared" si="0"/>
        <v>0.16957554093095895</v>
      </c>
      <c r="C53" s="134">
        <f t="shared" si="5"/>
        <v>4.5499999999999998E-7</v>
      </c>
      <c r="D53" s="134">
        <f t="shared" si="1"/>
        <v>11.071943854340317</v>
      </c>
      <c r="E53" s="135">
        <f t="shared" si="2"/>
        <v>94927717764.173248</v>
      </c>
      <c r="F53" s="144">
        <v>3.6789055374019525E-3</v>
      </c>
      <c r="G53" s="144">
        <f t="shared" si="3"/>
        <v>3.6809348660150946E-3</v>
      </c>
      <c r="H53" s="144">
        <v>1.5436274461403719E-2</v>
      </c>
      <c r="I53" s="144">
        <f t="shared" si="4"/>
        <v>1.0309278350515464E-2</v>
      </c>
      <c r="J53" s="144">
        <v>1.1984917856180976E-2</v>
      </c>
      <c r="K53" s="144">
        <v>3.3710273980120067E-2</v>
      </c>
      <c r="L53" s="144">
        <f t="shared" si="6"/>
        <v>1.5930558702770679E-2</v>
      </c>
      <c r="M53" s="130">
        <f>Toolbox!U43/SUM(Toolbox!U$12:U$108)</f>
        <v>0</v>
      </c>
      <c r="N53" s="131">
        <f t="shared" si="7"/>
        <v>1.0309278350515464E-2</v>
      </c>
    </row>
    <row r="54" spans="1:14" x14ac:dyDescent="0.25">
      <c r="A54" s="126">
        <v>460</v>
      </c>
      <c r="B54" s="133">
        <f t="shared" ref="B54:B85" si="8">EXP(-(((A54-$C$15)/($C$16/2))^2*LN(2)))</f>
        <v>0.10584316404531589</v>
      </c>
      <c r="C54" s="134">
        <f t="shared" si="5"/>
        <v>4.5999999999999999E-7</v>
      </c>
      <c r="D54" s="134">
        <f t="shared" ref="D54:D85" si="9">$H$15*H$16/($H$17*$C54*$H$18)</f>
        <v>10.951596638532271</v>
      </c>
      <c r="E54" s="135">
        <f t="shared" ref="E54:E85" si="10">(2*H$15*(H$16^2))/((C54^5))*(1/(EXP(D54)-1))</f>
        <v>101374297958.46962</v>
      </c>
      <c r="F54" s="144">
        <v>3.9288256513098155E-3</v>
      </c>
      <c r="G54" s="144">
        <f t="shared" si="3"/>
        <v>3.9309086604204166E-3</v>
      </c>
      <c r="H54" s="144">
        <v>1.5489126708516267E-2</v>
      </c>
      <c r="I54" s="144">
        <f t="shared" ref="I54:I85" si="11">1/97</f>
        <v>1.0309278350515464E-2</v>
      </c>
      <c r="J54" s="144">
        <v>1.1311607864260696E-2</v>
      </c>
      <c r="K54" s="144">
        <v>4.1170064742086496E-2</v>
      </c>
      <c r="L54" s="144">
        <f t="shared" si="6"/>
        <v>9.94330154486954E-3</v>
      </c>
      <c r="M54" s="130">
        <f>Toolbox!U44/SUM(Toolbox!U$12:U$108)</f>
        <v>0</v>
      </c>
      <c r="N54" s="131">
        <f t="shared" si="7"/>
        <v>1.0309278350515464E-2</v>
      </c>
    </row>
    <row r="55" spans="1:14" x14ac:dyDescent="0.25">
      <c r="A55" s="126">
        <v>465</v>
      </c>
      <c r="B55" s="133">
        <f t="shared" si="8"/>
        <v>6.25E-2</v>
      </c>
      <c r="C55" s="134">
        <f t="shared" si="5"/>
        <v>4.6499999999999999E-7</v>
      </c>
      <c r="D55" s="134">
        <f t="shared" si="9"/>
        <v>10.833837534892137</v>
      </c>
      <c r="E55" s="135">
        <f t="shared" si="10"/>
        <v>108042676425.06058</v>
      </c>
      <c r="F55" s="144">
        <v>4.1873490103145772E-3</v>
      </c>
      <c r="G55" s="144">
        <f t="shared" si="3"/>
        <v>4.189482945946143E-3</v>
      </c>
      <c r="H55" s="144">
        <v>1.5295203662518733E-2</v>
      </c>
      <c r="I55" s="144">
        <f t="shared" si="11"/>
        <v>1.0309278350515464E-2</v>
      </c>
      <c r="J55" s="144">
        <v>1.0318475626178283E-2</v>
      </c>
      <c r="K55" s="144">
        <v>4.0144849595682069E-2</v>
      </c>
      <c r="L55" s="144">
        <f t="shared" si="6"/>
        <v>5.871483077435919E-3</v>
      </c>
      <c r="M55" s="130">
        <f>Toolbox!U45/SUM(Toolbox!U$12:U$108)</f>
        <v>0</v>
      </c>
      <c r="N55" s="131">
        <f t="shared" si="7"/>
        <v>1.0309278350515464E-2</v>
      </c>
    </row>
    <row r="56" spans="1:14" x14ac:dyDescent="0.25">
      <c r="A56" s="126">
        <v>470</v>
      </c>
      <c r="B56" s="133">
        <f t="shared" si="8"/>
        <v>3.4915223064756855E-2</v>
      </c>
      <c r="C56" s="134">
        <f t="shared" si="5"/>
        <v>4.7E-7</v>
      </c>
      <c r="D56" s="134">
        <f t="shared" si="9"/>
        <v>10.718583944095412</v>
      </c>
      <c r="E56" s="135">
        <f t="shared" si="10"/>
        <v>114928001165.11612</v>
      </c>
      <c r="F56" s="144">
        <v>4.4542885873489141E-3</v>
      </c>
      <c r="G56" s="144">
        <f t="shared" si="3"/>
        <v>4.456469580581871E-3</v>
      </c>
      <c r="H56" s="144">
        <v>1.5101149143269675E-2</v>
      </c>
      <c r="I56" s="144">
        <f t="shared" si="11"/>
        <v>1.0309278350515464E-2</v>
      </c>
      <c r="J56" s="144">
        <v>9.1906813897118158E-3</v>
      </c>
      <c r="K56" s="144">
        <v>3.1275098381386861E-2</v>
      </c>
      <c r="L56" s="144">
        <f t="shared" si="6"/>
        <v>3.2800662619139227E-3</v>
      </c>
      <c r="M56" s="130">
        <f>Toolbox!U46/SUM(Toolbox!U$12:U$108)</f>
        <v>0</v>
      </c>
      <c r="N56" s="131">
        <f t="shared" si="7"/>
        <v>1.0309278350515464E-2</v>
      </c>
    </row>
    <row r="57" spans="1:14" x14ac:dyDescent="0.25">
      <c r="A57" s="126">
        <v>475</v>
      </c>
      <c r="B57" s="133">
        <f t="shared" si="8"/>
        <v>1.8453010334836414E-2</v>
      </c>
      <c r="C57" s="134">
        <f t="shared" si="5"/>
        <v>4.75E-7</v>
      </c>
      <c r="D57" s="134">
        <f t="shared" si="9"/>
        <v>10.605756744683884</v>
      </c>
      <c r="E57" s="135">
        <f t="shared" si="10"/>
        <v>122024903560.19244</v>
      </c>
      <c r="F57" s="144">
        <v>4.7294365745602441E-3</v>
      </c>
      <c r="G57" s="144">
        <f t="shared" si="3"/>
        <v>4.7316603897788198E-3</v>
      </c>
      <c r="H57" s="144">
        <v>1.5170961439828786E-2</v>
      </c>
      <c r="I57" s="144">
        <f t="shared" si="11"/>
        <v>1.0309278350515464E-2</v>
      </c>
      <c r="J57" s="144">
        <v>8.0628871532453482E-3</v>
      </c>
      <c r="K57" s="144">
        <v>2.059076391759743E-2</v>
      </c>
      <c r="L57" s="144">
        <f t="shared" si="6"/>
        <v>1.7335446065398742E-3</v>
      </c>
      <c r="M57" s="130">
        <f>Toolbox!U47/SUM(Toolbox!U$12:U$108)</f>
        <v>0</v>
      </c>
      <c r="N57" s="131">
        <f t="shared" si="7"/>
        <v>1.0309278350515464E-2</v>
      </c>
    </row>
    <row r="58" spans="1:14" x14ac:dyDescent="0.25">
      <c r="A58" s="126">
        <v>480</v>
      </c>
      <c r="B58" s="133">
        <f t="shared" si="8"/>
        <v>9.226505167418202E-3</v>
      </c>
      <c r="C58" s="134">
        <f t="shared" si="5"/>
        <v>4.7999999999999996E-7</v>
      </c>
      <c r="D58" s="134">
        <f t="shared" si="9"/>
        <v>10.495280111926759</v>
      </c>
      <c r="E58" s="135">
        <f t="shared" si="10"/>
        <v>129327529982.61369</v>
      </c>
      <c r="F58" s="144">
        <v>5.0125643833107266E-3</v>
      </c>
      <c r="G58" s="144">
        <f t="shared" si="3"/>
        <v>5.0148283921798899E-3</v>
      </c>
      <c r="H58" s="144">
        <v>1.5240773736387899E-2</v>
      </c>
      <c r="I58" s="144">
        <f t="shared" si="11"/>
        <v>1.0309278350515464E-2</v>
      </c>
      <c r="J58" s="144">
        <v>9.5273363856719553E-3</v>
      </c>
      <c r="K58" s="144">
        <v>1.2944027179725445E-2</v>
      </c>
      <c r="L58" s="144">
        <f t="shared" si="6"/>
        <v>8.6677230326993664E-4</v>
      </c>
      <c r="M58" s="130">
        <f>Toolbox!U48/SUM(Toolbox!U$12:U$108)</f>
        <v>0</v>
      </c>
      <c r="N58" s="131">
        <f t="shared" si="7"/>
        <v>1.0309278350515464E-2</v>
      </c>
    </row>
    <row r="59" spans="1:14" x14ac:dyDescent="0.25">
      <c r="A59" s="126">
        <v>485</v>
      </c>
      <c r="B59" s="133">
        <f t="shared" si="8"/>
        <v>4.3644028830946129E-3</v>
      </c>
      <c r="C59" s="134">
        <f t="shared" si="5"/>
        <v>4.8500000000000002E-7</v>
      </c>
      <c r="D59" s="134">
        <f t="shared" si="9"/>
        <v>10.387081347886276</v>
      </c>
      <c r="E59" s="135">
        <f t="shared" si="10"/>
        <v>136829574418.04689</v>
      </c>
      <c r="F59" s="144">
        <v>5.3034434249625215E-3</v>
      </c>
      <c r="G59" s="144">
        <f t="shared" si="3"/>
        <v>5.3057290645986948E-3</v>
      </c>
      <c r="H59" s="144">
        <v>1.4773254853969438E-2</v>
      </c>
      <c r="I59" s="144">
        <f t="shared" si="11"/>
        <v>1.0309278350515464E-2</v>
      </c>
      <c r="J59" s="144">
        <v>2.4053999461351984E-2</v>
      </c>
      <c r="K59" s="144">
        <v>1.0062400688761167E-2</v>
      </c>
      <c r="L59" s="144">
        <f t="shared" si="6"/>
        <v>4.1000828273924094E-4</v>
      </c>
      <c r="M59" s="130">
        <f>Toolbox!U49/SUM(Toolbox!U$12:U$108)</f>
        <v>0</v>
      </c>
      <c r="N59" s="131">
        <f t="shared" si="7"/>
        <v>1.0309278350515464E-2</v>
      </c>
    </row>
    <row r="60" spans="1:14" x14ac:dyDescent="0.25">
      <c r="A60" s="126">
        <v>490</v>
      </c>
      <c r="B60" s="133">
        <f t="shared" si="8"/>
        <v>1.953125E-3</v>
      </c>
      <c r="C60" s="134">
        <f t="shared" si="5"/>
        <v>4.8999999999999997E-7</v>
      </c>
      <c r="D60" s="134">
        <f t="shared" si="9"/>
        <v>10.281090721887436</v>
      </c>
      <c r="E60" s="135">
        <f t="shared" si="10"/>
        <v>144524311822.72546</v>
      </c>
      <c r="F60" s="144">
        <v>5.6017931589146426E-3</v>
      </c>
      <c r="G60" s="144">
        <f t="shared" si="3"/>
        <v>5.6041016354854839E-3</v>
      </c>
      <c r="H60" s="144">
        <v>1.4305735971550977E-2</v>
      </c>
      <c r="I60" s="144">
        <f t="shared" si="11"/>
        <v>1.0309278350515464E-2</v>
      </c>
      <c r="J60" s="144">
        <v>2.5181793697818457E-2</v>
      </c>
      <c r="K60" s="144">
        <v>8.7413401819217244E-3</v>
      </c>
      <c r="L60" s="144">
        <f t="shared" si="6"/>
        <v>1.8348384616987247E-4</v>
      </c>
      <c r="M60" s="130">
        <f>Toolbox!U50/SUM(Toolbox!U$12:U$108)</f>
        <v>0</v>
      </c>
      <c r="N60" s="131">
        <f t="shared" si="7"/>
        <v>1.0309278350515464E-2</v>
      </c>
    </row>
    <row r="61" spans="1:14" x14ac:dyDescent="0.25">
      <c r="A61" s="126">
        <v>495</v>
      </c>
      <c r="B61" s="133">
        <f t="shared" si="8"/>
        <v>8.2689971910402955E-4</v>
      </c>
      <c r="C61" s="134">
        <f t="shared" si="5"/>
        <v>4.9500000000000003E-7</v>
      </c>
      <c r="D61" s="134">
        <f t="shared" si="9"/>
        <v>10.177241320656249</v>
      </c>
      <c r="E61" s="135">
        <f t="shared" si="10"/>
        <v>152404631955.16757</v>
      </c>
      <c r="F61" s="144">
        <v>5.9073434349587338E-3</v>
      </c>
      <c r="G61" s="144">
        <f t="shared" si="3"/>
        <v>5.9096703967921457E-3</v>
      </c>
      <c r="H61" s="144">
        <v>1.4341496695965437E-2</v>
      </c>
      <c r="I61" s="144">
        <f t="shared" si="11"/>
        <v>1.0309278350515464E-2</v>
      </c>
      <c r="J61" s="144">
        <v>1.509897656881227E-2</v>
      </c>
      <c r="K61" s="144">
        <v>8.0336771041787849E-3</v>
      </c>
      <c r="L61" s="144">
        <f t="shared" si="6"/>
        <v>7.76820433192932E-5</v>
      </c>
      <c r="M61" s="130">
        <f>Toolbox!U51/SUM(Toolbox!U$12:U$108)</f>
        <v>0</v>
      </c>
      <c r="N61" s="131">
        <f t="shared" si="7"/>
        <v>1.0309278350515464E-2</v>
      </c>
    </row>
    <row r="62" spans="1:14" x14ac:dyDescent="0.25">
      <c r="A62" s="126">
        <v>500</v>
      </c>
      <c r="B62" s="133">
        <f t="shared" si="8"/>
        <v>3.312022283807799E-4</v>
      </c>
      <c r="C62" s="134">
        <f t="shared" si="5"/>
        <v>4.9999999999999998E-7</v>
      </c>
      <c r="D62" s="134">
        <f t="shared" si="9"/>
        <v>10.075468907449688</v>
      </c>
      <c r="E62" s="135">
        <f t="shared" si="10"/>
        <v>160463073440.45309</v>
      </c>
      <c r="F62" s="144">
        <v>6.2198033221011794E-3</v>
      </c>
      <c r="G62" s="144">
        <f t="shared" si="3"/>
        <v>6.222146024854964E-3</v>
      </c>
      <c r="H62" s="144">
        <v>1.4377125947128373E-2</v>
      </c>
      <c r="I62" s="144">
        <f t="shared" si="11"/>
        <v>1.0309278350515464E-2</v>
      </c>
      <c r="J62" s="144">
        <v>7.9450579046592973E-3</v>
      </c>
      <c r="K62" s="144">
        <v>9.1986444282660344E-3</v>
      </c>
      <c r="L62" s="144">
        <f t="shared" si="6"/>
        <v>3.1114372466349051E-5</v>
      </c>
      <c r="M62" s="130">
        <f>Toolbox!U52/SUM(Toolbox!U$12:U$108)</f>
        <v>0</v>
      </c>
      <c r="N62" s="131">
        <f t="shared" si="7"/>
        <v>1.0309278350515464E-2</v>
      </c>
    </row>
    <row r="63" spans="1:14" x14ac:dyDescent="0.25">
      <c r="A63" s="126">
        <v>505</v>
      </c>
      <c r="B63" s="133">
        <f t="shared" si="8"/>
        <v>1.2550217610547687E-4</v>
      </c>
      <c r="C63" s="134">
        <f t="shared" si="5"/>
        <v>5.0500000000000004E-7</v>
      </c>
      <c r="D63" s="134">
        <f t="shared" si="9"/>
        <v>9.9757117895541469</v>
      </c>
      <c r="E63" s="135">
        <f t="shared" si="10"/>
        <v>168691857843.78973</v>
      </c>
      <c r="F63" s="144">
        <v>6.5388818893483648E-3</v>
      </c>
      <c r="G63" s="144">
        <f t="shared" si="3"/>
        <v>6.5412269016375578E-3</v>
      </c>
      <c r="H63" s="144">
        <v>1.4275102703945941E-2</v>
      </c>
      <c r="I63" s="144">
        <f t="shared" si="11"/>
        <v>1.0309278350515464E-2</v>
      </c>
      <c r="J63" s="144">
        <v>3.9220307029356281E-3</v>
      </c>
      <c r="K63" s="144">
        <v>1.0620433817100251E-2</v>
      </c>
      <c r="L63" s="144">
        <f t="shared" si="6"/>
        <v>1.1790142450955041E-5</v>
      </c>
      <c r="M63" s="130">
        <f>Toolbox!U53/SUM(Toolbox!U$12:U$108)</f>
        <v>0</v>
      </c>
      <c r="N63" s="131">
        <f t="shared" si="7"/>
        <v>1.0309278350515464E-2</v>
      </c>
    </row>
    <row r="64" spans="1:14" x14ac:dyDescent="0.25">
      <c r="A64" s="126">
        <v>510</v>
      </c>
      <c r="B64" s="133">
        <f t="shared" si="8"/>
        <v>4.4991126015963835E-5</v>
      </c>
      <c r="C64" s="134">
        <f t="shared" si="5"/>
        <v>5.0999999999999999E-7</v>
      </c>
      <c r="D64" s="134">
        <f t="shared" si="9"/>
        <v>9.8779106935781265</v>
      </c>
      <c r="E64" s="135">
        <f t="shared" si="10"/>
        <v>177082923548.9819</v>
      </c>
      <c r="F64" s="144">
        <v>6.864257034528789E-3</v>
      </c>
      <c r="G64" s="144">
        <f t="shared" si="3"/>
        <v>6.8666004284087083E-3</v>
      </c>
      <c r="H64" s="144">
        <v>1.4173079460763511E-2</v>
      </c>
      <c r="I64" s="144">
        <f t="shared" si="11"/>
        <v>1.0309278350515464E-2</v>
      </c>
      <c r="J64" s="144">
        <v>2.4744142203070273E-3</v>
      </c>
      <c r="K64" s="144">
        <v>1.2198804179882757E-2</v>
      </c>
      <c r="L64" s="144">
        <f t="shared" si="6"/>
        <v>4.2266341606002971E-6</v>
      </c>
      <c r="M64" s="130">
        <f>Toolbox!U54/SUM(Toolbox!U$12:U$108)</f>
        <v>0</v>
      </c>
      <c r="N64" s="131">
        <f t="shared" si="7"/>
        <v>1.0309278350515464E-2</v>
      </c>
    </row>
    <row r="65" spans="1:14" x14ac:dyDescent="0.25">
      <c r="A65" s="126">
        <v>515</v>
      </c>
      <c r="B65" s="133">
        <f t="shared" si="8"/>
        <v>1.5258789062500007E-5</v>
      </c>
      <c r="C65" s="134">
        <f t="shared" si="5"/>
        <v>5.1500000000000005E-7</v>
      </c>
      <c r="D65" s="134">
        <f t="shared" si="9"/>
        <v>9.7820086480094055</v>
      </c>
      <c r="E65" s="135">
        <f t="shared" si="10"/>
        <v>185627959256.26407</v>
      </c>
      <c r="F65" s="144">
        <v>7.1956066554709468E-3</v>
      </c>
      <c r="G65" s="144">
        <f t="shared" si="3"/>
        <v>7.1979443246605766E-3</v>
      </c>
      <c r="H65" s="144">
        <v>1.397508074396874E-2</v>
      </c>
      <c r="I65" s="144">
        <f t="shared" si="11"/>
        <v>1.0309278350515464E-2</v>
      </c>
      <c r="J65" s="144">
        <v>1.8516024777807689E-3</v>
      </c>
      <c r="K65" s="144">
        <v>1.3884244710209345E-2</v>
      </c>
      <c r="L65" s="144">
        <f t="shared" si="6"/>
        <v>1.4334675482021293E-6</v>
      </c>
      <c r="M65" s="130">
        <f>Toolbox!U55/SUM(Toolbox!U$12:U$108)</f>
        <v>1</v>
      </c>
      <c r="N65" s="131">
        <f t="shared" si="7"/>
        <v>1.0309278350515464E-2</v>
      </c>
    </row>
    <row r="66" spans="1:14" x14ac:dyDescent="0.25">
      <c r="A66" s="126">
        <v>520</v>
      </c>
      <c r="B66" s="133">
        <f t="shared" si="8"/>
        <v>4.895881262065518E-6</v>
      </c>
      <c r="C66" s="134">
        <f t="shared" si="5"/>
        <v>5.2E-7</v>
      </c>
      <c r="D66" s="134">
        <f t="shared" si="9"/>
        <v>9.687950872547777</v>
      </c>
      <c r="E66" s="135">
        <f t="shared" si="10"/>
        <v>194318436932.55478</v>
      </c>
      <c r="F66" s="144">
        <v>7.5326086500033399E-3</v>
      </c>
      <c r="G66" s="144">
        <f t="shared" si="3"/>
        <v>7.5349279057938985E-3</v>
      </c>
      <c r="H66" s="144">
        <v>1.3777082027173969E-2</v>
      </c>
      <c r="I66" s="144">
        <f t="shared" si="11"/>
        <v>1.0309278350515464E-2</v>
      </c>
      <c r="J66" s="144">
        <v>1.498114732022622E-3</v>
      </c>
      <c r="K66" s="144">
        <v>1.5644073397941275E-2</v>
      </c>
      <c r="L66" s="144">
        <f t="shared" si="6"/>
        <v>4.5993734366965278E-7</v>
      </c>
      <c r="M66" s="130">
        <f>Toolbox!U56/SUM(Toolbox!U$12:U$108)</f>
        <v>0</v>
      </c>
      <c r="N66" s="131">
        <f t="shared" si="7"/>
        <v>1.0309278350515464E-2</v>
      </c>
    </row>
    <row r="67" spans="1:14" x14ac:dyDescent="0.25">
      <c r="A67" s="126">
        <v>525</v>
      </c>
      <c r="B67" s="133">
        <f t="shared" si="8"/>
        <v>1.4861384957513771E-6</v>
      </c>
      <c r="C67" s="134">
        <f t="shared" si="5"/>
        <v>5.2499999999999995E-7</v>
      </c>
      <c r="D67" s="134">
        <f t="shared" si="9"/>
        <v>9.5956846737616086</v>
      </c>
      <c r="E67" s="135">
        <f t="shared" si="10"/>
        <v>203145644065.37482</v>
      </c>
      <c r="F67" s="144">
        <v>7.8749097447765749E-3</v>
      </c>
      <c r="G67" s="144">
        <f t="shared" si="3"/>
        <v>7.8772133338019159E-3</v>
      </c>
      <c r="H67" s="144">
        <v>1.3967718241883408E-2</v>
      </c>
      <c r="I67" s="144">
        <f t="shared" si="11"/>
        <v>1.0309278350515464E-2</v>
      </c>
      <c r="J67" s="144">
        <v>1.39711823323458E-3</v>
      </c>
      <c r="K67" s="144">
        <v>1.7446217971934932E-2</v>
      </c>
      <c r="L67" s="144">
        <f t="shared" si="6"/>
        <v>1.3961339245648454E-7</v>
      </c>
      <c r="M67" s="130">
        <f>Toolbox!U57/SUM(Toolbox!U$12:U$108)</f>
        <v>0</v>
      </c>
      <c r="N67" s="131">
        <f t="shared" si="7"/>
        <v>1.0309278350515464E-2</v>
      </c>
    </row>
    <row r="68" spans="1:14" x14ac:dyDescent="0.25">
      <c r="A68" s="126">
        <v>530</v>
      </c>
      <c r="B68" s="133">
        <f t="shared" si="8"/>
        <v>4.2678121134184594E-7</v>
      </c>
      <c r="C68" s="134">
        <f t="shared" si="5"/>
        <v>5.3000000000000001E-7</v>
      </c>
      <c r="D68" s="134">
        <f t="shared" si="9"/>
        <v>9.5051593466506485</v>
      </c>
      <c r="E68" s="135">
        <f t="shared" si="10"/>
        <v>212100715089.29153</v>
      </c>
      <c r="F68" s="144">
        <v>8.2221878376191517E-3</v>
      </c>
      <c r="G68" s="144">
        <f t="shared" si="3"/>
        <v>8.2244568358680447E-3</v>
      </c>
      <c r="H68" s="144">
        <v>1.4158222983341325E-2</v>
      </c>
      <c r="I68" s="144">
        <f t="shared" si="11"/>
        <v>1.0309278350515464E-2</v>
      </c>
      <c r="J68" s="144">
        <v>1.9862644761648243E-3</v>
      </c>
      <c r="K68" s="144">
        <v>1.9253484353487643E-2</v>
      </c>
      <c r="L68" s="144">
        <f t="shared" si="6"/>
        <v>4.0093418562580015E-8</v>
      </c>
      <c r="M68" s="130">
        <f>Toolbox!U58/SUM(Toolbox!U$12:U$108)</f>
        <v>0</v>
      </c>
      <c r="N68" s="131">
        <f t="shared" si="7"/>
        <v>1.0309278350515464E-2</v>
      </c>
    </row>
    <row r="69" spans="1:14" x14ac:dyDescent="0.25">
      <c r="A69" s="126">
        <v>535</v>
      </c>
      <c r="B69" s="133">
        <f t="shared" si="8"/>
        <v>1.1594950525907111E-7</v>
      </c>
      <c r="C69" s="134">
        <f t="shared" si="5"/>
        <v>5.3499999999999996E-7</v>
      </c>
      <c r="D69" s="134">
        <f t="shared" si="9"/>
        <v>9.4163260817286805</v>
      </c>
      <c r="E69" s="135">
        <f t="shared" si="10"/>
        <v>221174661870.68845</v>
      </c>
      <c r="F69" s="144">
        <v>8.5740792647890501E-3</v>
      </c>
      <c r="G69" s="144">
        <f t="shared" si="3"/>
        <v>8.5763098864489688E-3</v>
      </c>
      <c r="H69" s="144">
        <v>1.3942343904339325E-2</v>
      </c>
      <c r="I69" s="144">
        <f t="shared" si="11"/>
        <v>1.0309278350515464E-2</v>
      </c>
      <c r="J69" s="144">
        <v>8.2480474010234242E-3</v>
      </c>
      <c r="K69" s="144">
        <v>2.1022946917342557E-2</v>
      </c>
      <c r="L69" s="144">
        <f t="shared" si="6"/>
        <v>1.0892728927451251E-8</v>
      </c>
      <c r="M69" s="130">
        <f>Toolbox!U59/SUM(Toolbox!U$12:U$108)</f>
        <v>0</v>
      </c>
      <c r="N69" s="131">
        <f t="shared" si="7"/>
        <v>1.0309278350515464E-2</v>
      </c>
    </row>
    <row r="70" spans="1:14" x14ac:dyDescent="0.25">
      <c r="A70" s="126">
        <v>540</v>
      </c>
      <c r="B70" s="133">
        <f t="shared" si="8"/>
        <v>2.9802322387695299E-8</v>
      </c>
      <c r="C70" s="134">
        <f t="shared" si="5"/>
        <v>5.4000000000000002E-7</v>
      </c>
      <c r="D70" s="134">
        <f t="shared" si="9"/>
        <v>9.3291378772682307</v>
      </c>
      <c r="E70" s="135">
        <f t="shared" si="10"/>
        <v>230358403152.83456</v>
      </c>
      <c r="F70" s="144">
        <v>8.9302307529368838E-3</v>
      </c>
      <c r="G70" s="144">
        <f t="shared" si="3"/>
        <v>8.9324203490421406E-3</v>
      </c>
      <c r="H70" s="144">
        <v>1.3726464825337325E-2</v>
      </c>
      <c r="I70" s="144">
        <f t="shared" si="11"/>
        <v>1.0309278350515464E-2</v>
      </c>
      <c r="J70" s="144">
        <v>6.6640856450309677E-2</v>
      </c>
      <c r="K70" s="144">
        <v>2.2707046021879871E-2</v>
      </c>
      <c r="L70" s="144">
        <f t="shared" si="6"/>
        <v>2.7997413050822813E-9</v>
      </c>
      <c r="M70" s="130">
        <f>Toolbox!U60/SUM(Toolbox!U$12:U$108)</f>
        <v>0</v>
      </c>
      <c r="N70" s="131">
        <f t="shared" si="7"/>
        <v>1.0309278350515464E-2</v>
      </c>
    </row>
    <row r="71" spans="1:14" x14ac:dyDescent="0.25">
      <c r="A71" s="126">
        <v>545</v>
      </c>
      <c r="B71" s="133">
        <f t="shared" si="8"/>
        <v>7.2468440786919286E-9</v>
      </c>
      <c r="C71" s="134">
        <f t="shared" si="5"/>
        <v>5.4499999999999997E-7</v>
      </c>
      <c r="D71" s="134">
        <f t="shared" si="9"/>
        <v>9.2435494563758613</v>
      </c>
      <c r="E71" s="135">
        <f t="shared" si="10"/>
        <v>239642792878.5387</v>
      </c>
      <c r="F71" s="144">
        <v>9.290299419105889E-3</v>
      </c>
      <c r="G71" s="144">
        <f t="shared" si="3"/>
        <v>9.2924335744302977E-3</v>
      </c>
      <c r="H71" s="144">
        <v>1.3702931113314573E-2</v>
      </c>
      <c r="I71" s="144">
        <f t="shared" si="11"/>
        <v>1.0309278350515464E-2</v>
      </c>
      <c r="J71" s="144">
        <v>0.12260974952868291</v>
      </c>
      <c r="K71" s="144">
        <v>2.4256880599690493E-2</v>
      </c>
      <c r="L71" s="144">
        <f t="shared" si="6"/>
        <v>6.8079555796570163E-10</v>
      </c>
      <c r="M71" s="130">
        <f>Toolbox!U61/SUM(Toolbox!U$12:U$108)</f>
        <v>0</v>
      </c>
      <c r="N71" s="131">
        <f t="shared" si="7"/>
        <v>1.0309278350515464E-2</v>
      </c>
    </row>
    <row r="72" spans="1:14" x14ac:dyDescent="0.25">
      <c r="A72" s="126">
        <v>550</v>
      </c>
      <c r="B72" s="133">
        <f t="shared" si="8"/>
        <v>1.6671141068040787E-9</v>
      </c>
      <c r="C72" s="134">
        <f t="shared" si="5"/>
        <v>5.5000000000000003E-7</v>
      </c>
      <c r="D72" s="134">
        <f t="shared" si="9"/>
        <v>9.159517188590625</v>
      </c>
      <c r="E72" s="135">
        <f t="shared" si="10"/>
        <v>249018647322.10223</v>
      </c>
      <c r="F72" s="144">
        <v>9.6539215995540481E-3</v>
      </c>
      <c r="G72" s="144">
        <f t="shared" si="3"/>
        <v>9.6559934527551163E-3</v>
      </c>
      <c r="H72" s="144">
        <v>1.3679265928040299E-2</v>
      </c>
      <c r="I72" s="144">
        <f t="shared" si="11"/>
        <v>1.0309278350515464E-2</v>
      </c>
      <c r="J72" s="144">
        <v>5.4891597091300787E-2</v>
      </c>
      <c r="K72" s="144">
        <v>2.5624647113556567E-2</v>
      </c>
      <c r="L72" s="144">
        <f t="shared" si="6"/>
        <v>1.5661491626007754E-10</v>
      </c>
      <c r="M72" s="130">
        <f>Toolbox!U62/SUM(Toolbox!U$12:U$108)</f>
        <v>0</v>
      </c>
      <c r="N72" s="131">
        <f t="shared" si="7"/>
        <v>1.0309278350515464E-2</v>
      </c>
    </row>
    <row r="73" spans="1:14" x14ac:dyDescent="0.25">
      <c r="A73" s="126">
        <v>555</v>
      </c>
      <c r="B73" s="133">
        <f t="shared" si="8"/>
        <v>3.6282678118930323E-10</v>
      </c>
      <c r="C73" s="134">
        <f t="shared" si="5"/>
        <v>5.5499999999999998E-7</v>
      </c>
      <c r="D73" s="134">
        <f t="shared" si="9"/>
        <v>9.076999015720439</v>
      </c>
      <c r="E73" s="135">
        <f t="shared" si="10"/>
        <v>258476770975.78943</v>
      </c>
      <c r="F73" s="144">
        <v>1.0020733630539342E-2</v>
      </c>
      <c r="G73" s="144">
        <f t="shared" si="3"/>
        <v>1.0022743417295808E-2</v>
      </c>
      <c r="H73" s="144">
        <v>1.3413295540207747E-2</v>
      </c>
      <c r="I73" s="144">
        <f t="shared" si="11"/>
        <v>1.0309278350515464E-2</v>
      </c>
      <c r="J73" s="144">
        <v>1.2658227848101255E-2</v>
      </c>
      <c r="K73" s="144">
        <v>2.6766810199226113E-2</v>
      </c>
      <c r="L73" s="144">
        <f t="shared" si="6"/>
        <v>3.4085300892696622E-11</v>
      </c>
      <c r="M73" s="130">
        <f>Toolbox!U63/SUM(Toolbox!U$12:U$108)</f>
        <v>0</v>
      </c>
      <c r="N73" s="131">
        <f t="shared" si="7"/>
        <v>1.0309278350515464E-2</v>
      </c>
    </row>
    <row r="74" spans="1:14" x14ac:dyDescent="0.25">
      <c r="A74" s="126">
        <v>560</v>
      </c>
      <c r="B74" s="133">
        <f t="shared" si="8"/>
        <v>7.4705219452904048E-11</v>
      </c>
      <c r="C74" s="134">
        <f t="shared" si="5"/>
        <v>5.6000000000000004E-7</v>
      </c>
      <c r="D74" s="134">
        <f t="shared" si="9"/>
        <v>8.9959543816515062</v>
      </c>
      <c r="E74" s="135">
        <f t="shared" si="10"/>
        <v>268007981148.56378</v>
      </c>
      <c r="F74" s="144">
        <v>1.0390392629105009E-2</v>
      </c>
      <c r="G74" s="144">
        <f t="shared" si="3"/>
        <v>1.03923273983143E-2</v>
      </c>
      <c r="H74" s="144">
        <v>1.3147325152375197E-2</v>
      </c>
      <c r="I74" s="144">
        <f t="shared" si="11"/>
        <v>1.0309278350515464E-2</v>
      </c>
      <c r="J74" s="144">
        <v>4.7636681928359776E-3</v>
      </c>
      <c r="K74" s="144">
        <v>2.7646175777996464E-2</v>
      </c>
      <c r="L74" s="144">
        <f t="shared" si="6"/>
        <v>7.0180869090218039E-12</v>
      </c>
      <c r="M74" s="130">
        <f>Toolbox!U64/SUM(Toolbox!U$12:U$108)</f>
        <v>0</v>
      </c>
      <c r="N74" s="131">
        <f t="shared" si="7"/>
        <v>1.0309278350515464E-2</v>
      </c>
    </row>
    <row r="75" spans="1:14" x14ac:dyDescent="0.25">
      <c r="A75" s="126">
        <v>565</v>
      </c>
      <c r="B75" s="133">
        <f t="shared" si="8"/>
        <v>1.4551915228366858E-11</v>
      </c>
      <c r="C75" s="134">
        <f t="shared" si="5"/>
        <v>5.6499999999999999E-7</v>
      </c>
      <c r="D75" s="134">
        <f t="shared" si="9"/>
        <v>8.9163441658846789</v>
      </c>
      <c r="E75" s="135">
        <f t="shared" si="10"/>
        <v>277603131246.44482</v>
      </c>
      <c r="F75" s="144">
        <v>1.0762576493079551E-2</v>
      </c>
      <c r="G75" s="144">
        <f t="shared" si="3"/>
        <v>1.0764390725778686E-2</v>
      </c>
      <c r="H75" s="144">
        <v>1.2906347829657312E-2</v>
      </c>
      <c r="I75" s="144">
        <f t="shared" si="11"/>
        <v>1.0309278350515464E-2</v>
      </c>
      <c r="J75" s="144">
        <v>3.2992189604093697E-3</v>
      </c>
      <c r="K75" s="144">
        <v>2.8234208064895738E-2</v>
      </c>
      <c r="L75" s="144">
        <f t="shared" si="6"/>
        <v>1.3670611841222089E-12</v>
      </c>
      <c r="M75" s="130">
        <f>Toolbox!U65/SUM(Toolbox!U$12:U$108)</f>
        <v>0</v>
      </c>
      <c r="N75" s="131">
        <f t="shared" si="7"/>
        <v>1.0309278350515464E-2</v>
      </c>
    </row>
    <row r="76" spans="1:14" x14ac:dyDescent="0.25">
      <c r="A76" s="126">
        <v>570</v>
      </c>
      <c r="B76" s="133">
        <f t="shared" si="8"/>
        <v>2.6816800842263544E-12</v>
      </c>
      <c r="C76" s="134">
        <f t="shared" si="5"/>
        <v>5.7000000000000005E-7</v>
      </c>
      <c r="D76" s="134">
        <f t="shared" si="9"/>
        <v>8.8381306205698991</v>
      </c>
      <c r="E76" s="135">
        <f t="shared" si="10"/>
        <v>287253132714.47705</v>
      </c>
      <c r="F76" s="144">
        <v>1.1136838435579914E-2</v>
      </c>
      <c r="G76" s="144">
        <f t="shared" si="3"/>
        <v>1.1138580980189107E-2</v>
      </c>
      <c r="H76" s="144">
        <v>1.2665370506939427E-2</v>
      </c>
      <c r="I76" s="144">
        <f t="shared" si="11"/>
        <v>1.0309278350515464E-2</v>
      </c>
      <c r="J76" s="144">
        <v>2.8110692162671667E-3</v>
      </c>
      <c r="K76" s="144">
        <v>2.8512249046673075E-2</v>
      </c>
      <c r="L76" s="144">
        <f t="shared" si="6"/>
        <v>2.5192702773811153E-13</v>
      </c>
      <c r="M76" s="130">
        <f>Toolbox!U66/SUM(Toolbox!U$12:U$108)</f>
        <v>0</v>
      </c>
      <c r="N76" s="131">
        <f t="shared" si="7"/>
        <v>1.0309278350515464E-2</v>
      </c>
    </row>
    <row r="77" spans="1:14" x14ac:dyDescent="0.25">
      <c r="A77" s="126">
        <v>575</v>
      </c>
      <c r="B77" s="133">
        <f t="shared" si="8"/>
        <v>4.6753203908158962E-13</v>
      </c>
      <c r="C77" s="134">
        <f t="shared" si="5"/>
        <v>5.75E-7</v>
      </c>
      <c r="D77" s="134">
        <f t="shared" si="9"/>
        <v>8.7612773108258164</v>
      </c>
      <c r="E77" s="135">
        <f t="shared" si="10"/>
        <v>296948975630.01263</v>
      </c>
      <c r="F77" s="144">
        <v>1.1512866744827224E-2</v>
      </c>
      <c r="G77" s="144">
        <f t="shared" si="3"/>
        <v>1.1514548791106711E-2</v>
      </c>
      <c r="H77" s="144">
        <v>1.2629465161948289E-2</v>
      </c>
      <c r="I77" s="144">
        <f t="shared" si="11"/>
        <v>1.0309278350515464E-2</v>
      </c>
      <c r="J77" s="144">
        <v>7.4569081605170952E-3</v>
      </c>
      <c r="K77" s="144">
        <v>2.8472006272994777E-2</v>
      </c>
      <c r="L77" s="144">
        <f t="shared" si="6"/>
        <v>4.3921703290026599E-14</v>
      </c>
      <c r="M77" s="130">
        <f>Toolbox!U67/SUM(Toolbox!U$12:U$108)</f>
        <v>0</v>
      </c>
      <c r="N77" s="131">
        <f t="shared" si="7"/>
        <v>1.0309278350515464E-2</v>
      </c>
    </row>
    <row r="78" spans="1:14" x14ac:dyDescent="0.25">
      <c r="A78" s="126">
        <v>580</v>
      </c>
      <c r="B78" s="133">
        <f t="shared" si="8"/>
        <v>7.7114028013493099E-14</v>
      </c>
      <c r="C78" s="134">
        <f t="shared" si="5"/>
        <v>5.7999999999999995E-7</v>
      </c>
      <c r="D78" s="134">
        <f t="shared" si="9"/>
        <v>8.6857490581462837</v>
      </c>
      <c r="E78" s="135">
        <f t="shared" si="10"/>
        <v>306681747945.82513</v>
      </c>
      <c r="F78" s="144">
        <v>1.1890349709042611E-2</v>
      </c>
      <c r="G78" s="144">
        <f t="shared" si="3"/>
        <v>1.1891948583328217E-2</v>
      </c>
      <c r="H78" s="144">
        <v>1.2593559816957154E-2</v>
      </c>
      <c r="I78" s="144">
        <f t="shared" si="11"/>
        <v>1.0309278350515464E-2</v>
      </c>
      <c r="J78" s="144">
        <v>1.8987341772151882E-2</v>
      </c>
      <c r="K78" s="144">
        <v>2.8115308960846217E-2</v>
      </c>
      <c r="L78" s="144">
        <f t="shared" si="6"/>
        <v>7.2443793682263059E-15</v>
      </c>
      <c r="M78" s="130">
        <f>Toolbox!U68/SUM(Toolbox!U$12:U$108)</f>
        <v>0</v>
      </c>
      <c r="N78" s="131">
        <f t="shared" si="7"/>
        <v>1.0309278350515464E-2</v>
      </c>
    </row>
    <row r="79" spans="1:14" x14ac:dyDescent="0.25">
      <c r="A79" s="126">
        <v>585</v>
      </c>
      <c r="B79" s="133">
        <f t="shared" si="8"/>
        <v>1.2032974614762301E-14</v>
      </c>
      <c r="C79" s="134">
        <f t="shared" si="5"/>
        <v>5.8500000000000001E-7</v>
      </c>
      <c r="D79" s="134">
        <f t="shared" si="9"/>
        <v>8.6115118867091347</v>
      </c>
      <c r="E79" s="135">
        <f t="shared" si="10"/>
        <v>316442653389.45471</v>
      </c>
      <c r="F79" s="144">
        <v>1.2268975616447195E-2</v>
      </c>
      <c r="G79" s="144">
        <f t="shared" si="3"/>
        <v>1.2270439270954258E-2</v>
      </c>
      <c r="H79" s="144">
        <v>1.2126672006146005E-2</v>
      </c>
      <c r="I79" s="144">
        <f t="shared" si="11"/>
        <v>1.0309278350515464E-2</v>
      </c>
      <c r="J79" s="144">
        <v>2.4845138701858314E-2</v>
      </c>
      <c r="K79" s="144">
        <v>2.7453864098933807E-2</v>
      </c>
      <c r="L79" s="144">
        <f t="shared" si="6"/>
        <v>1.1304225091486856E-15</v>
      </c>
      <c r="M79" s="130">
        <f>Toolbox!U69/SUM(Toolbox!U$12:U$108)</f>
        <v>0</v>
      </c>
      <c r="N79" s="131">
        <f t="shared" si="7"/>
        <v>1.0309278350515464E-2</v>
      </c>
    </row>
    <row r="80" spans="1:14" x14ac:dyDescent="0.25">
      <c r="A80" s="126">
        <v>590</v>
      </c>
      <c r="B80" s="133">
        <f t="shared" si="8"/>
        <v>1.7763568394002524E-15</v>
      </c>
      <c r="C80" s="134">
        <f t="shared" si="5"/>
        <v>5.8999999999999996E-7</v>
      </c>
      <c r="D80" s="134">
        <f t="shared" si="9"/>
        <v>8.5385329724149912</v>
      </c>
      <c r="E80" s="135">
        <f t="shared" si="10"/>
        <v>326223028032.31348</v>
      </c>
      <c r="F80" s="144">
        <v>1.264832885133582E-2</v>
      </c>
      <c r="G80" s="144">
        <f t="shared" si="3"/>
        <v>1.2649684899876097E-2</v>
      </c>
      <c r="H80" s="144">
        <v>1.1659784195334857E-2</v>
      </c>
      <c r="I80" s="144">
        <f t="shared" si="11"/>
        <v>1.0309278350515464E-2</v>
      </c>
      <c r="J80" s="144">
        <v>2.1428090492862897E-2</v>
      </c>
      <c r="K80" s="144">
        <v>2.6508402813091827E-2</v>
      </c>
      <c r="L80" s="144">
        <f t="shared" si="6"/>
        <v>1.668775859524182E-16</v>
      </c>
      <c r="M80" s="130">
        <f>Toolbox!U70/SUM(Toolbox!U$12:U$108)</f>
        <v>0</v>
      </c>
      <c r="N80" s="131">
        <f t="shared" si="7"/>
        <v>1.0309278350515464E-2</v>
      </c>
    </row>
    <row r="81" spans="1:14" x14ac:dyDescent="0.25">
      <c r="A81" s="126">
        <v>595</v>
      </c>
      <c r="B81" s="133">
        <f t="shared" si="8"/>
        <v>2.480875811610649E-16</v>
      </c>
      <c r="C81" s="134">
        <f t="shared" si="5"/>
        <v>5.9500000000000002E-7</v>
      </c>
      <c r="D81" s="134">
        <f t="shared" si="9"/>
        <v>8.4667805944955354</v>
      </c>
      <c r="E81" s="135">
        <f t="shared" si="10"/>
        <v>336014355548.30432</v>
      </c>
      <c r="F81" s="144">
        <v>1.3028097701929607E-2</v>
      </c>
      <c r="G81" s="144">
        <f t="shared" si="3"/>
        <v>1.3029355239446675E-2</v>
      </c>
      <c r="H81" s="144">
        <v>1.1746595983315991E-2</v>
      </c>
      <c r="I81" s="144">
        <f t="shared" si="11"/>
        <v>1.0309278350515464E-2</v>
      </c>
      <c r="J81" s="144">
        <v>1.6395098303258807E-2</v>
      </c>
      <c r="K81" s="144">
        <v>2.5307338940493126E-2</v>
      </c>
      <c r="L81" s="144">
        <f t="shared" si="6"/>
        <v>2.3306272552147246E-17</v>
      </c>
      <c r="M81" s="130">
        <f>Toolbox!U71/SUM(Toolbox!U$12:U$108)</f>
        <v>0</v>
      </c>
      <c r="N81" s="131">
        <f t="shared" si="7"/>
        <v>1.0309278350515464E-2</v>
      </c>
    </row>
    <row r="82" spans="1:14" x14ac:dyDescent="0.25">
      <c r="A82" s="126">
        <v>600</v>
      </c>
      <c r="B82" s="133">
        <f t="shared" si="8"/>
        <v>3.2779131115810047E-17</v>
      </c>
      <c r="C82" s="134">
        <f t="shared" si="5"/>
        <v>5.9999999999999997E-7</v>
      </c>
      <c r="D82" s="134">
        <f t="shared" si="9"/>
        <v>8.3962240895414055</v>
      </c>
      <c r="E82" s="135">
        <f t="shared" si="10"/>
        <v>345808281187.21979</v>
      </c>
      <c r="F82" s="144">
        <v>1.3408074360375978E-2</v>
      </c>
      <c r="G82" s="144">
        <f t="shared" si="3"/>
        <v>1.3409126324315726E-2</v>
      </c>
      <c r="H82" s="144">
        <v>1.1833407771297126E-2</v>
      </c>
      <c r="I82" s="144">
        <f t="shared" si="11"/>
        <v>1.0309278350515464E-2</v>
      </c>
      <c r="J82" s="144">
        <v>1.2338405601939122E-2</v>
      </c>
      <c r="K82" s="144">
        <v>2.3886037342855014E-2</v>
      </c>
      <c r="L82" s="144">
        <f t="shared" si="6"/>
        <v>3.0793938182325101E-18</v>
      </c>
      <c r="M82" s="130">
        <f>Toolbox!U72/SUM(Toolbox!U$12:U$108)</f>
        <v>0</v>
      </c>
      <c r="N82" s="131">
        <f t="shared" si="7"/>
        <v>1.0309278350515464E-2</v>
      </c>
    </row>
    <row r="83" spans="1:14" x14ac:dyDescent="0.25">
      <c r="A83" s="126">
        <v>605</v>
      </c>
      <c r="B83" s="133">
        <f t="shared" si="8"/>
        <v>4.0973913894762906E-18</v>
      </c>
      <c r="C83" s="134">
        <f t="shared" si="5"/>
        <v>6.0500000000000003E-7</v>
      </c>
      <c r="D83" s="134">
        <f t="shared" si="9"/>
        <v>8.326833807809658</v>
      </c>
      <c r="E83" s="135">
        <f t="shared" si="10"/>
        <v>355596624492.99231</v>
      </c>
      <c r="F83" s="144">
        <v>1.3787739307043476E-2</v>
      </c>
      <c r="G83" s="144">
        <f t="shared" si="3"/>
        <v>1.3788680947595016E-2</v>
      </c>
      <c r="H83" s="144">
        <v>1.1806639817286888E-2</v>
      </c>
      <c r="I83" s="144">
        <f t="shared" si="11"/>
        <v>1.0309278350515464E-2</v>
      </c>
      <c r="J83" s="144">
        <v>1.6361432803662795E-2</v>
      </c>
      <c r="K83" s="144">
        <v>2.2525465749131422E-2</v>
      </c>
      <c r="L83" s="144">
        <f t="shared" si="6"/>
        <v>3.8492422727906703E-19</v>
      </c>
      <c r="M83" s="130">
        <f>Toolbox!U73/SUM(Toolbox!U$12:U$108)</f>
        <v>0</v>
      </c>
      <c r="N83" s="131">
        <f t="shared" si="7"/>
        <v>1.0309278350515464E-2</v>
      </c>
    </row>
    <row r="84" spans="1:14" x14ac:dyDescent="0.25">
      <c r="A84" s="126">
        <v>610</v>
      </c>
      <c r="B84" s="133">
        <f t="shared" si="8"/>
        <v>4.845460569552071E-19</v>
      </c>
      <c r="C84" s="134">
        <f t="shared" si="5"/>
        <v>6.0999999999999998E-7</v>
      </c>
      <c r="D84" s="134">
        <f t="shared" si="9"/>
        <v>8.2585810716800729</v>
      </c>
      <c r="E84" s="135">
        <f t="shared" si="10"/>
        <v>365371390800.93573</v>
      </c>
      <c r="F84" s="144">
        <v>1.4166884734079517E-2</v>
      </c>
      <c r="G84" s="144">
        <f t="shared" si="3"/>
        <v>1.4167709106677525E-2</v>
      </c>
      <c r="H84" s="144">
        <v>1.1779885010601806E-2</v>
      </c>
      <c r="I84" s="144">
        <f t="shared" si="11"/>
        <v>1.0309278350515464E-2</v>
      </c>
      <c r="J84" s="144">
        <v>9.3034608133584634E-2</v>
      </c>
      <c r="K84" s="144">
        <v>2.1245135807166381E-2</v>
      </c>
      <c r="L84" s="144">
        <f t="shared" si="6"/>
        <v>4.5520063578412794E-20</v>
      </c>
      <c r="M84" s="130">
        <f>Toolbox!U74/SUM(Toolbox!U$12:U$108)</f>
        <v>0</v>
      </c>
      <c r="N84" s="131">
        <f t="shared" si="7"/>
        <v>1.0309278350515464E-2</v>
      </c>
    </row>
    <row r="85" spans="1:14" x14ac:dyDescent="0.25">
      <c r="A85" s="126">
        <v>615</v>
      </c>
      <c r="B85" s="133">
        <f t="shared" si="8"/>
        <v>5.4210108624275306E-20</v>
      </c>
      <c r="C85" s="134">
        <f t="shared" si="5"/>
        <v>6.1500000000000004E-7</v>
      </c>
      <c r="D85" s="134">
        <f t="shared" si="9"/>
        <v>8.1914381361379576</v>
      </c>
      <c r="E85" s="135">
        <f t="shared" si="10"/>
        <v>375124781551.62378</v>
      </c>
      <c r="F85" s="144">
        <v>1.4545302833631521E-2</v>
      </c>
      <c r="G85" s="144">
        <f t="shared" si="3"/>
        <v>1.4545908403170318E-2</v>
      </c>
      <c r="H85" s="144">
        <v>1.1654959127003936E-2</v>
      </c>
      <c r="I85" s="144">
        <f t="shared" si="11"/>
        <v>1.0309278350515464E-2</v>
      </c>
      <c r="J85" s="144">
        <v>7.1673848639913759E-2</v>
      </c>
      <c r="K85" s="144">
        <v>2.0033218580454447E-2</v>
      </c>
      <c r="L85" s="144">
        <f t="shared" si="6"/>
        <v>5.0926997666143272E-21</v>
      </c>
      <c r="M85" s="130">
        <f>Toolbox!U75/SUM(Toolbox!U$12:U$108)</f>
        <v>0</v>
      </c>
      <c r="N85" s="131">
        <f t="shared" si="7"/>
        <v>1.0309278350515464E-2</v>
      </c>
    </row>
    <row r="86" spans="1:14" x14ac:dyDescent="0.25">
      <c r="A86" s="126">
        <v>620</v>
      </c>
      <c r="B86" s="133">
        <f t="shared" ref="B86:B102" si="12">EXP(-(((A86-$C$15)/($C$16/2))^2*LN(2)))</f>
        <v>5.7377694200335772E-21</v>
      </c>
      <c r="C86" s="134">
        <f t="shared" si="5"/>
        <v>6.1999999999999999E-7</v>
      </c>
      <c r="D86" s="134">
        <f t="shared" ref="D86:D102" si="13">$H$15*H$16/($H$17*$C86*$H$18)</f>
        <v>8.1253781511691034</v>
      </c>
      <c r="E86" s="135">
        <f t="shared" ref="E86:E102" si="14">(2*H$15*(H$16^2))/((C86^5))*(1/(EXP(D86)-1))</f>
        <v>384849203461.90991</v>
      </c>
      <c r="F86" s="144">
        <v>1.4922474086068033E-2</v>
      </c>
      <c r="G86" s="144">
        <f t="shared" ref="G86:G101" si="15">E86/SUM(E$22:E$118)</f>
        <v>1.492298439851172E-2</v>
      </c>
      <c r="H86" s="144">
        <v>1.1530033243406066E-2</v>
      </c>
      <c r="I86" s="144">
        <f t="shared" ref="I86:I118" si="16">1/97</f>
        <v>1.0309278350515464E-2</v>
      </c>
      <c r="J86" s="144">
        <v>2.218556423377321E-2</v>
      </c>
      <c r="K86" s="144">
        <v>1.8880689931867759E-2</v>
      </c>
      <c r="L86" s="144">
        <f t="shared" si="6"/>
        <v>5.3902745683130336E-22</v>
      </c>
      <c r="M86" s="130">
        <f>Toolbox!U76/SUM(Toolbox!U$12:U$108)</f>
        <v>0</v>
      </c>
      <c r="N86" s="131">
        <f t="shared" si="7"/>
        <v>1.0309278350515464E-2</v>
      </c>
    </row>
    <row r="87" spans="1:14" x14ac:dyDescent="0.25">
      <c r="A87" s="126">
        <v>625</v>
      </c>
      <c r="B87" s="133">
        <f t="shared" si="12"/>
        <v>5.745442808679678E-22</v>
      </c>
      <c r="C87" s="134">
        <f t="shared" ref="C87:C102" si="17">A87/1000000000</f>
        <v>6.2500000000000005E-7</v>
      </c>
      <c r="D87" s="134">
        <f t="shared" si="13"/>
        <v>8.0603751259597498</v>
      </c>
      <c r="E87" s="135">
        <f t="shared" si="14"/>
        <v>394537276595.97418</v>
      </c>
      <c r="F87" s="144">
        <v>1.5298294587462763E-2</v>
      </c>
      <c r="G87" s="144">
        <f t="shared" si="15"/>
        <v>1.5298650926935732E-2</v>
      </c>
      <c r="H87" s="144">
        <v>1.1240121576471042E-2</v>
      </c>
      <c r="I87" s="144">
        <f t="shared" si="16"/>
        <v>1.0309278350515464E-2</v>
      </c>
      <c r="J87" s="144">
        <v>2.2151898734177198E-2</v>
      </c>
      <c r="K87" s="144">
        <v>1.7780964680258964E-2</v>
      </c>
      <c r="L87" s="144">
        <f t="shared" ref="L87:L118" si="18">IF(B87/SUM(B$22:B$118)&lt;0.0001,B87/SUM(B$22:B$118),B87/SUM(B$22:B$118))</f>
        <v>5.3974832357661804E-23</v>
      </c>
      <c r="M87" s="130">
        <f>Toolbox!U77/SUM(Toolbox!U$12:U$108)</f>
        <v>0</v>
      </c>
      <c r="N87" s="131">
        <f t="shared" ref="N87:N118" si="19">HLOOKUP($C$7,$F$21:$M$118,ROW()-20,0)</f>
        <v>1.0309278350515464E-2</v>
      </c>
    </row>
    <row r="88" spans="1:14" x14ac:dyDescent="0.25">
      <c r="A88" s="126">
        <v>630</v>
      </c>
      <c r="B88" s="133">
        <f t="shared" si="12"/>
        <v>5.4427892794087026E-23</v>
      </c>
      <c r="C88" s="134">
        <f t="shared" si="17"/>
        <v>6.3E-7</v>
      </c>
      <c r="D88" s="134">
        <f t="shared" si="13"/>
        <v>7.9964038948013387</v>
      </c>
      <c r="E88" s="135">
        <f t="shared" si="14"/>
        <v>404181841381.09717</v>
      </c>
      <c r="F88" s="144">
        <v>1.5672452626036833E-2</v>
      </c>
      <c r="G88" s="144">
        <f t="shared" si="15"/>
        <v>1.5672630367516985E-2</v>
      </c>
      <c r="H88" s="144">
        <v>1.0950223056861169E-2</v>
      </c>
      <c r="I88" s="144">
        <f t="shared" si="16"/>
        <v>1.0309278350515464E-2</v>
      </c>
      <c r="J88" s="144">
        <v>2.0636951252356567E-2</v>
      </c>
      <c r="K88" s="144">
        <v>1.6729042965868027E-2</v>
      </c>
      <c r="L88" s="144">
        <f t="shared" si="18"/>
        <v>5.1131592236956543E-24</v>
      </c>
      <c r="M88" s="130">
        <f>Toolbox!U78/SUM(Toolbox!U$12:U$108)</f>
        <v>0</v>
      </c>
      <c r="N88" s="131">
        <f t="shared" si="19"/>
        <v>1.0309278350515464E-2</v>
      </c>
    </row>
    <row r="89" spans="1:14" x14ac:dyDescent="0.25">
      <c r="A89" s="126">
        <v>635</v>
      </c>
      <c r="B89" s="133">
        <f t="shared" si="12"/>
        <v>4.8779476569076559E-24</v>
      </c>
      <c r="C89" s="134">
        <f t="shared" si="17"/>
        <v>6.3499999999999996E-7</v>
      </c>
      <c r="D89" s="134">
        <f t="shared" si="13"/>
        <v>7.9334400846060538</v>
      </c>
      <c r="E89" s="135">
        <f t="shared" si="14"/>
        <v>413775964614.2807</v>
      </c>
      <c r="F89" s="144">
        <v>1.6044636490011376E-2</v>
      </c>
      <c r="G89" s="144">
        <f t="shared" si="15"/>
        <v>1.6044653877084588E-2</v>
      </c>
      <c r="H89" s="144">
        <v>1.0977214515398993E-2</v>
      </c>
      <c r="I89" s="144">
        <f t="shared" si="16"/>
        <v>1.0309278350515464E-2</v>
      </c>
      <c r="J89" s="144">
        <v>8.6015351467815717E-3</v>
      </c>
      <c r="K89" s="144">
        <v>1.5722119989317371E-2</v>
      </c>
      <c r="L89" s="144">
        <f t="shared" si="18"/>
        <v>4.5825259392242389E-25</v>
      </c>
      <c r="M89" s="130">
        <f>Toolbox!U79/SUM(Toolbox!U$12:U$108)</f>
        <v>0</v>
      </c>
      <c r="N89" s="131">
        <f t="shared" si="19"/>
        <v>1.0309278350515464E-2</v>
      </c>
    </row>
    <row r="90" spans="1:14" x14ac:dyDescent="0.25">
      <c r="A90" s="126">
        <v>640</v>
      </c>
      <c r="B90" s="133">
        <f t="shared" si="12"/>
        <v>4.1359030627651604E-25</v>
      </c>
      <c r="C90" s="134">
        <f t="shared" si="17"/>
        <v>6.4000000000000001E-7</v>
      </c>
      <c r="D90" s="134">
        <f t="shared" si="13"/>
        <v>7.8714600839450677</v>
      </c>
      <c r="E90" s="135">
        <f t="shared" si="14"/>
        <v>423312944506.81299</v>
      </c>
      <c r="F90" s="144">
        <v>1.6414638371533806E-2</v>
      </c>
      <c r="G90" s="144">
        <f t="shared" si="15"/>
        <v>1.6414461585831128E-2</v>
      </c>
      <c r="H90" s="144">
        <v>1.1004205973936821E-2</v>
      </c>
      <c r="I90" s="144">
        <f t="shared" si="16"/>
        <v>1.0309278350515464E-2</v>
      </c>
      <c r="J90" s="144">
        <v>3.4843792081874461E-3</v>
      </c>
      <c r="K90" s="144">
        <v>1.4758366533621616E-2</v>
      </c>
      <c r="L90" s="144">
        <f t="shared" si="18"/>
        <v>3.8854215748705643E-26</v>
      </c>
      <c r="M90" s="130">
        <f>Toolbox!U80/SUM(Toolbox!U$12:U$108)</f>
        <v>0</v>
      </c>
      <c r="N90" s="131">
        <f t="shared" si="19"/>
        <v>1.0309278350515464E-2</v>
      </c>
    </row>
    <row r="91" spans="1:14" x14ac:dyDescent="0.25">
      <c r="A91" s="126">
        <v>645</v>
      </c>
      <c r="B91" s="133">
        <f t="shared" si="12"/>
        <v>3.317578187851607E-26</v>
      </c>
      <c r="C91" s="134">
        <f t="shared" si="17"/>
        <v>6.4499999999999997E-7</v>
      </c>
      <c r="D91" s="134">
        <f t="shared" si="13"/>
        <v>7.8104410135268907</v>
      </c>
      <c r="E91" s="135">
        <f t="shared" si="14"/>
        <v>432786314814.47003</v>
      </c>
      <c r="F91" s="144">
        <v>1.6782146558825248E-2</v>
      </c>
      <c r="G91" s="144">
        <f t="shared" si="15"/>
        <v>1.6781802757466116E-2</v>
      </c>
      <c r="H91" s="144">
        <v>1.0762794789488907E-2</v>
      </c>
      <c r="I91" s="144">
        <f t="shared" si="16"/>
        <v>1.0309278350515464E-2</v>
      </c>
      <c r="J91" s="144">
        <v>3.9388634527336352E-3</v>
      </c>
      <c r="K91" s="144">
        <v>1.3836928964187587E-2</v>
      </c>
      <c r="L91" s="144">
        <f t="shared" si="18"/>
        <v>3.1166566700865974E-27</v>
      </c>
      <c r="M91" s="130">
        <f>Toolbox!U81/SUM(Toolbox!U$12:U$108)</f>
        <v>0</v>
      </c>
      <c r="N91" s="131">
        <f t="shared" si="19"/>
        <v>1.0309278350515464E-2</v>
      </c>
    </row>
    <row r="92" spans="1:14" x14ac:dyDescent="0.25">
      <c r="A92" s="126">
        <v>650</v>
      </c>
      <c r="B92" s="133">
        <f t="shared" si="12"/>
        <v>2.5176165401687122E-27</v>
      </c>
      <c r="C92" s="134">
        <f t="shared" si="17"/>
        <v>6.5000000000000002E-7</v>
      </c>
      <c r="D92" s="134">
        <f t="shared" si="13"/>
        <v>7.7503606980382207</v>
      </c>
      <c r="E92" s="135">
        <f t="shared" si="14"/>
        <v>442189848101.34985</v>
      </c>
      <c r="F92" s="144">
        <v>1.7147057147959416E-2</v>
      </c>
      <c r="G92" s="144">
        <f t="shared" si="15"/>
        <v>1.7146435915775048E-2</v>
      </c>
      <c r="H92" s="144">
        <v>1.0521383605040993E-2</v>
      </c>
      <c r="I92" s="144">
        <f t="shared" si="16"/>
        <v>1.0309278350515464E-2</v>
      </c>
      <c r="J92" s="144">
        <v>6.0261244276865016E-3</v>
      </c>
      <c r="K92" s="144">
        <v>1.2957807281015287E-2</v>
      </c>
      <c r="L92" s="144">
        <f t="shared" si="18"/>
        <v>2.3651428657717378E-28</v>
      </c>
      <c r="M92" s="130">
        <f>Toolbox!U82/SUM(Toolbox!U$12:U$108)</f>
        <v>0</v>
      </c>
      <c r="N92" s="131">
        <f t="shared" si="19"/>
        <v>1.0309278350515464E-2</v>
      </c>
    </row>
    <row r="93" spans="1:14" x14ac:dyDescent="0.25">
      <c r="A93" s="126">
        <v>655</v>
      </c>
      <c r="B93" s="133">
        <f t="shared" si="12"/>
        <v>1.8074887363782194E-28</v>
      </c>
      <c r="C93" s="134">
        <f t="shared" si="17"/>
        <v>6.5499999999999998E-7</v>
      </c>
      <c r="D93" s="134">
        <f t="shared" si="13"/>
        <v>7.6911976392745718</v>
      </c>
      <c r="E93" s="135">
        <f t="shared" si="14"/>
        <v>451517558185.26526</v>
      </c>
      <c r="F93" s="144">
        <v>1.7508850619304853E-2</v>
      </c>
      <c r="G93" s="144">
        <f t="shared" si="15"/>
        <v>1.75081289394424E-2</v>
      </c>
      <c r="H93" s="144">
        <v>1.0533728943359074E-2</v>
      </c>
      <c r="I93" s="144">
        <f t="shared" si="16"/>
        <v>1.0309278350515464E-2</v>
      </c>
      <c r="J93" s="144">
        <v>5.0666576892001028E-3</v>
      </c>
      <c r="K93" s="144">
        <v>1.166198996857405E-2</v>
      </c>
      <c r="L93" s="144">
        <f t="shared" si="18"/>
        <v>1.6980223245281198E-29</v>
      </c>
      <c r="M93" s="130">
        <f>Toolbox!U83/SUM(Toolbox!U$12:U$108)</f>
        <v>0</v>
      </c>
      <c r="N93" s="131">
        <f t="shared" si="19"/>
        <v>1.0309278350515464E-2</v>
      </c>
    </row>
    <row r="94" spans="1:14" x14ac:dyDescent="0.25">
      <c r="A94" s="126">
        <v>660</v>
      </c>
      <c r="B94" s="133">
        <f t="shared" si="12"/>
        <v>1.2276631396533459E-29</v>
      </c>
      <c r="C94" s="134">
        <f t="shared" si="17"/>
        <v>6.6000000000000003E-7</v>
      </c>
      <c r="D94" s="134">
        <f t="shared" si="13"/>
        <v>7.6329309904921869</v>
      </c>
      <c r="E94" s="135">
        <f t="shared" si="14"/>
        <v>460763701812.38257</v>
      </c>
      <c r="F94" s="144">
        <v>1.786763087678785E-2</v>
      </c>
      <c r="G94" s="144">
        <f t="shared" si="15"/>
        <v>1.7866659126987733E-2</v>
      </c>
      <c r="H94" s="144">
        <v>1.0546074281677155E-2</v>
      </c>
      <c r="I94" s="144">
        <f t="shared" si="16"/>
        <v>1.0309278350515464E-2</v>
      </c>
      <c r="J94" s="144">
        <v>4.1745219499057327E-3</v>
      </c>
      <c r="K94" s="144">
        <v>1.0495803166496549E-2</v>
      </c>
      <c r="L94" s="144">
        <f t="shared" si="18"/>
        <v>1.1533125358826353E-30</v>
      </c>
      <c r="M94" s="130">
        <f>Toolbox!U84/SUM(Toolbox!U$12:U$108)</f>
        <v>0</v>
      </c>
      <c r="N94" s="131">
        <f t="shared" si="19"/>
        <v>1.0309278350515464E-2</v>
      </c>
    </row>
    <row r="95" spans="1:14" x14ac:dyDescent="0.25">
      <c r="A95" s="126">
        <v>665</v>
      </c>
      <c r="B95" s="133">
        <f t="shared" si="12"/>
        <v>7.8886090522101049E-31</v>
      </c>
      <c r="C95" s="134">
        <f t="shared" si="17"/>
        <v>6.6499999999999999E-7</v>
      </c>
      <c r="D95" s="134">
        <f t="shared" si="13"/>
        <v>7.5755405319170581</v>
      </c>
      <c r="E95" s="135">
        <f t="shared" si="14"/>
        <v>469922779608.19946</v>
      </c>
      <c r="F95" s="144">
        <v>1.822298230470324E-2</v>
      </c>
      <c r="G95" s="144">
        <f t="shared" si="15"/>
        <v>1.8221813233640985E-2</v>
      </c>
      <c r="H95" s="144">
        <v>1.0681702087949057E-2</v>
      </c>
      <c r="I95" s="144">
        <f t="shared" si="16"/>
        <v>1.0309278350515464E-2</v>
      </c>
      <c r="J95" s="144">
        <v>3.6022084567734957E-3</v>
      </c>
      <c r="K95" s="144">
        <v>9.4461984602870891E-3</v>
      </c>
      <c r="L95" s="144">
        <f t="shared" si="18"/>
        <v>7.41085352872951E-32</v>
      </c>
      <c r="M95" s="130">
        <f>Toolbox!U85/SUM(Toolbox!U$12:U$108)</f>
        <v>0</v>
      </c>
      <c r="N95" s="131">
        <f t="shared" si="19"/>
        <v>1.0309278350515464E-2</v>
      </c>
    </row>
    <row r="96" spans="1:14" x14ac:dyDescent="0.25">
      <c r="A96" s="126">
        <v>670</v>
      </c>
      <c r="B96" s="133">
        <f t="shared" si="12"/>
        <v>4.7955591392710151E-32</v>
      </c>
      <c r="C96" s="134">
        <f t="shared" si="17"/>
        <v>6.7000000000000004E-7</v>
      </c>
      <c r="D96" s="134">
        <f t="shared" si="13"/>
        <v>7.5190066473505128</v>
      </c>
      <c r="E96" s="135">
        <f t="shared" si="14"/>
        <v>478989536351.29279</v>
      </c>
      <c r="F96" s="144">
        <v>1.8574800999124737E-2</v>
      </c>
      <c r="G96" s="144">
        <f t="shared" si="15"/>
        <v>1.8573387481957377E-2</v>
      </c>
      <c r="H96" s="144">
        <v>1.081732989422096E-2</v>
      </c>
      <c r="I96" s="144">
        <f t="shared" si="16"/>
        <v>1.0309278350515464E-2</v>
      </c>
      <c r="J96" s="144">
        <v>2.5922434688930764E-3</v>
      </c>
      <c r="K96" s="144">
        <v>8.5015908090382824E-3</v>
      </c>
      <c r="L96" s="144">
        <f t="shared" si="18"/>
        <v>4.5051270932916685E-33</v>
      </c>
      <c r="M96" s="130">
        <f>Toolbox!U86/SUM(Toolbox!U$12:U$108)</f>
        <v>0</v>
      </c>
      <c r="N96" s="131">
        <f t="shared" si="19"/>
        <v>1.0309278350515464E-2</v>
      </c>
    </row>
    <row r="97" spans="1:14" x14ac:dyDescent="0.25">
      <c r="A97" s="126">
        <v>675</v>
      </c>
      <c r="B97" s="133">
        <f t="shared" si="12"/>
        <v>2.7580089361239684E-33</v>
      </c>
      <c r="C97" s="134">
        <f t="shared" si="17"/>
        <v>6.75E-7</v>
      </c>
      <c r="D97" s="134">
        <f t="shared" si="13"/>
        <v>7.4633103018145839</v>
      </c>
      <c r="E97" s="135">
        <f t="shared" si="14"/>
        <v>487958960615.29272</v>
      </c>
      <c r="F97" s="144">
        <v>1.892277524827346E-2</v>
      </c>
      <c r="G97" s="144">
        <f t="shared" si="15"/>
        <v>1.892118754793452E-2</v>
      </c>
      <c r="H97" s="144">
        <v>1.0554804105578333E-2</v>
      </c>
      <c r="I97" s="144">
        <f t="shared" si="16"/>
        <v>1.0309278350515464E-2</v>
      </c>
      <c r="J97" s="144">
        <v>2.2387557231349294E-3</v>
      </c>
      <c r="K97" s="144">
        <v>7.6513707542349403E-3</v>
      </c>
      <c r="L97" s="144">
        <f t="shared" si="18"/>
        <v>2.5909764473390277E-34</v>
      </c>
      <c r="M97" s="130">
        <f>Toolbox!U87/SUM(Toolbox!U$12:U$108)</f>
        <v>0</v>
      </c>
      <c r="N97" s="131">
        <f t="shared" si="19"/>
        <v>1.0309278350515464E-2</v>
      </c>
    </row>
    <row r="98" spans="1:14" x14ac:dyDescent="0.25">
      <c r="A98" s="126">
        <v>680</v>
      </c>
      <c r="B98" s="133">
        <f t="shared" si="12"/>
        <v>1.5006163955740587E-34</v>
      </c>
      <c r="C98" s="134">
        <f t="shared" si="17"/>
        <v>6.7999999999999995E-7</v>
      </c>
      <c r="D98" s="134">
        <f t="shared" si="13"/>
        <v>7.4084330201835948</v>
      </c>
      <c r="E98" s="135">
        <f t="shared" si="14"/>
        <v>496826283823.51563</v>
      </c>
      <c r="F98" s="144">
        <v>1.9266801148223128E-2</v>
      </c>
      <c r="G98" s="144">
        <f t="shared" si="15"/>
        <v>1.9265028524354699E-2</v>
      </c>
      <c r="H98" s="144">
        <v>1.0292278316935704E-2</v>
      </c>
      <c r="I98" s="144">
        <f t="shared" si="16"/>
        <v>1.0309278350515464E-2</v>
      </c>
      <c r="J98" s="144">
        <v>2.4575814705090201E-3</v>
      </c>
      <c r="K98" s="144">
        <v>6.8862702631511544E-3</v>
      </c>
      <c r="L98" s="144">
        <f t="shared" si="18"/>
        <v>1.4097350035737553E-35</v>
      </c>
      <c r="M98" s="130">
        <f>Toolbox!U88/SUM(Toolbox!U$12:U$108)</f>
        <v>0</v>
      </c>
      <c r="N98" s="131">
        <f t="shared" si="19"/>
        <v>1.0309278350515464E-2</v>
      </c>
    </row>
    <row r="99" spans="1:14" x14ac:dyDescent="0.25">
      <c r="A99" s="126">
        <v>685</v>
      </c>
      <c r="B99" s="133">
        <f t="shared" si="12"/>
        <v>7.7243386484951484E-36</v>
      </c>
      <c r="C99" s="134">
        <f t="shared" si="17"/>
        <v>6.8500000000000001E-7</v>
      </c>
      <c r="D99" s="134">
        <f t="shared" si="13"/>
        <v>7.3543568667515968</v>
      </c>
      <c r="E99" s="135">
        <f t="shared" si="14"/>
        <v>505586978759.47888</v>
      </c>
      <c r="F99" s="144">
        <v>1.9606774795047445E-2</v>
      </c>
      <c r="G99" s="144">
        <f t="shared" si="15"/>
        <v>1.9604734863028307E-2</v>
      </c>
      <c r="H99" s="144">
        <v>9.7293755905367603E-3</v>
      </c>
      <c r="I99" s="144">
        <f t="shared" si="16"/>
        <v>1.0309278350515464E-2</v>
      </c>
      <c r="J99" s="144">
        <v>3.2655534608133558E-3</v>
      </c>
      <c r="K99" s="144">
        <v>6.1976310420561367E-3</v>
      </c>
      <c r="L99" s="144">
        <f t="shared" si="18"/>
        <v>7.2565317854437604E-37</v>
      </c>
      <c r="M99" s="130">
        <f>Toolbox!U89/SUM(Toolbox!U$12:U$108)</f>
        <v>0</v>
      </c>
      <c r="N99" s="131">
        <f t="shared" si="19"/>
        <v>1.0309278350515464E-2</v>
      </c>
    </row>
    <row r="100" spans="1:14" x14ac:dyDescent="0.25">
      <c r="A100" s="126">
        <v>690</v>
      </c>
      <c r="B100" s="133">
        <f t="shared" si="12"/>
        <v>3.7615819226313267E-37</v>
      </c>
      <c r="C100" s="134">
        <f t="shared" si="17"/>
        <v>6.8999999999999996E-7</v>
      </c>
      <c r="D100" s="134">
        <f t="shared" si="13"/>
        <v>7.3010644256881809</v>
      </c>
      <c r="E100" s="135">
        <f t="shared" si="14"/>
        <v>514236757575.2215</v>
      </c>
      <c r="F100" s="144">
        <v>1.9942384476967539E-2</v>
      </c>
      <c r="G100" s="144">
        <f t="shared" si="15"/>
        <v>1.9940140297564125E-2</v>
      </c>
      <c r="H100" s="144">
        <v>9.1664860114629675E-3</v>
      </c>
      <c r="I100" s="144">
        <f t="shared" si="16"/>
        <v>1.0309278350515464E-2</v>
      </c>
      <c r="J100" s="144">
        <v>3.3665499596013978E-3</v>
      </c>
      <c r="K100" s="144">
        <v>5.5778923274103281E-3</v>
      </c>
      <c r="L100" s="144">
        <f t="shared" si="18"/>
        <v>3.5337703364989925E-38</v>
      </c>
      <c r="M100" s="130">
        <f>Toolbox!U90/SUM(Toolbox!U$12:U$108)</f>
        <v>0</v>
      </c>
      <c r="N100" s="131">
        <f t="shared" si="19"/>
        <v>1.0309278350515464E-2</v>
      </c>
    </row>
    <row r="101" spans="1:14" x14ac:dyDescent="0.25">
      <c r="A101" s="126">
        <v>695</v>
      </c>
      <c r="B101" s="133">
        <f t="shared" si="12"/>
        <v>1.7329951365169102E-38</v>
      </c>
      <c r="C101" s="134">
        <f t="shared" si="17"/>
        <v>6.9500000000000002E-7</v>
      </c>
      <c r="D101" s="134">
        <f t="shared" si="13"/>
        <v>7.2485387823379055</v>
      </c>
      <c r="E101" s="135">
        <f t="shared" si="14"/>
        <v>522771569337.97302</v>
      </c>
      <c r="F101" s="144">
        <v>2.0273526290057114E-2</v>
      </c>
      <c r="G101" s="144">
        <f t="shared" si="15"/>
        <v>2.0271087748238478E-2</v>
      </c>
      <c r="H101" s="144">
        <v>9.2905836135762383E-3</v>
      </c>
      <c r="I101" s="144">
        <f t="shared" si="16"/>
        <v>1.0309278350515464E-2</v>
      </c>
      <c r="J101" s="144">
        <v>2.0199299757608386E-3</v>
      </c>
      <c r="K101" s="144">
        <v>5.0201030946692956E-3</v>
      </c>
      <c r="L101" s="144">
        <f t="shared" si="18"/>
        <v>1.6280402587740461E-39</v>
      </c>
      <c r="M101" s="130">
        <f>Toolbox!U91/SUM(Toolbox!U$12:U$108)</f>
        <v>0</v>
      </c>
      <c r="N101" s="131">
        <f t="shared" si="19"/>
        <v>1.0309278350515464E-2</v>
      </c>
    </row>
    <row r="102" spans="1:14" x14ac:dyDescent="0.25">
      <c r="A102" s="126">
        <v>700</v>
      </c>
      <c r="B102" s="133">
        <f t="shared" si="12"/>
        <v>7.5533874702280967E-40</v>
      </c>
      <c r="C102" s="134">
        <f t="shared" si="17"/>
        <v>6.9999999999999997E-7</v>
      </c>
      <c r="D102" s="134">
        <f t="shared" si="13"/>
        <v>7.1967635053212051</v>
      </c>
      <c r="E102" s="135">
        <f t="shared" si="14"/>
        <v>531187597154.2373</v>
      </c>
      <c r="F102" s="144">
        <v>2.0600096330389884E-2</v>
      </c>
      <c r="G102" s="144">
        <f>E102/SUM(E$22:E$118)</f>
        <v>2.0597429210478201E-2</v>
      </c>
      <c r="H102" s="144">
        <v>9.4146812156895073E-3</v>
      </c>
      <c r="I102" s="144">
        <f t="shared" si="16"/>
        <v>1.0309278350515464E-2</v>
      </c>
      <c r="J102" s="144">
        <v>2.2724212227309437E-3</v>
      </c>
      <c r="K102" s="144">
        <v>4.5180440060827555E-3</v>
      </c>
      <c r="L102" s="144">
        <f t="shared" si="18"/>
        <v>7.0959338734017247E-41</v>
      </c>
      <c r="M102" s="130">
        <f>Toolbox!U92/SUM(Toolbox!U$12:U$108)</f>
        <v>0</v>
      </c>
      <c r="N102" s="131">
        <f t="shared" si="19"/>
        <v>1.0309278350515464E-2</v>
      </c>
    </row>
    <row r="103" spans="1:14" x14ac:dyDescent="0.25">
      <c r="A103" s="132">
        <v>705</v>
      </c>
      <c r="B103" s="133">
        <f t="shared" ref="B103:B118" si="20">EXP(-(((A103-$C$15)/($C$16/2))^2*LN(2)))</f>
        <v>3.1146107875308672E-41</v>
      </c>
      <c r="C103" s="134">
        <f t="shared" ref="C103:C118" si="21">A103/1000000000</f>
        <v>7.0500000000000003E-7</v>
      </c>
      <c r="D103" s="134">
        <f t="shared" ref="D103:D118" si="22">$H$15*H$16/($H$17*$C103*$H$18)</f>
        <v>7.1457226293969409</v>
      </c>
      <c r="E103" s="135">
        <f t="shared" ref="E103:E118" si="23">(2*H$15*(H$16^2))/((C103^5))*(1/(EXP(D103)-1))</f>
        <v>539481254908.86707</v>
      </c>
      <c r="F103" s="144">
        <v>2.092199069403956E-2</v>
      </c>
      <c r="G103" s="144">
        <f t="shared" ref="G103:G118" si="24">E103/SUM(E$22:E$118)</f>
        <v>2.0919025628414363E-2</v>
      </c>
      <c r="H103" s="144">
        <v>9.594786422951895E-3</v>
      </c>
      <c r="I103" s="144">
        <f t="shared" si="16"/>
        <v>1.0309278350515464E-2</v>
      </c>
      <c r="J103" s="144">
        <v>6.9014274171828646E-3</v>
      </c>
      <c r="K103" s="144">
        <v>4.0662274106945777E-3</v>
      </c>
      <c r="L103" s="144">
        <f t="shared" si="18"/>
        <v>2.9259815250858959E-42</v>
      </c>
      <c r="M103" s="130">
        <f>Toolbox!U93/SUM(Toolbox!U$12:U$108)</f>
        <v>0</v>
      </c>
      <c r="N103" s="131">
        <f t="shared" si="19"/>
        <v>1.0309278350515464E-2</v>
      </c>
    </row>
    <row r="104" spans="1:14" x14ac:dyDescent="0.25">
      <c r="A104" s="132">
        <v>710</v>
      </c>
      <c r="B104" s="133">
        <f t="shared" si="20"/>
        <v>1.215019935629152E-42</v>
      </c>
      <c r="C104" s="134">
        <f t="shared" si="21"/>
        <v>7.0999999999999998E-7</v>
      </c>
      <c r="D104" s="134">
        <f t="shared" si="22"/>
        <v>7.0954006390490756</v>
      </c>
      <c r="E104" s="135">
        <f t="shared" si="23"/>
        <v>547649183655.14624</v>
      </c>
      <c r="F104" s="144">
        <v>2.123889766922726E-2</v>
      </c>
      <c r="G104" s="144">
        <f t="shared" si="24"/>
        <v>2.1235746754903442E-2</v>
      </c>
      <c r="H104" s="144">
        <v>9.7749047775394365E-3</v>
      </c>
      <c r="I104" s="144">
        <f t="shared" si="16"/>
        <v>1.0309278350515464E-2</v>
      </c>
      <c r="J104" s="144">
        <v>9.3926743872878998E-3</v>
      </c>
      <c r="K104" s="144">
        <v>3.6596534487447294E-3</v>
      </c>
      <c r="L104" s="144">
        <f t="shared" si="18"/>
        <v>1.1414350385270154E-43</v>
      </c>
      <c r="M104" s="130">
        <f>Toolbox!U94/SUM(Toolbox!U$12:U$108)</f>
        <v>0</v>
      </c>
      <c r="N104" s="131">
        <f t="shared" si="19"/>
        <v>1.0309278350515464E-2</v>
      </c>
    </row>
    <row r="105" spans="1:14" x14ac:dyDescent="0.25">
      <c r="A105" s="132">
        <v>715</v>
      </c>
      <c r="B105" s="133">
        <f t="shared" si="20"/>
        <v>4.4841550858394216E-44</v>
      </c>
      <c r="C105" s="134">
        <f t="shared" si="21"/>
        <v>7.1500000000000004E-7</v>
      </c>
      <c r="D105" s="134">
        <f t="shared" si="22"/>
        <v>7.0457824527620199</v>
      </c>
      <c r="E105" s="135">
        <f t="shared" si="23"/>
        <v>555688247690.30359</v>
      </c>
      <c r="F105" s="144">
        <v>2.1550817255952991E-2</v>
      </c>
      <c r="G105" s="144">
        <f t="shared" si="24"/>
        <v>2.1547470999350692E-2</v>
      </c>
      <c r="H105" s="144">
        <v>8.9370914822043263E-3</v>
      </c>
      <c r="I105" s="144">
        <f t="shared" si="16"/>
        <v>1.0309278350515464E-2</v>
      </c>
      <c r="J105" s="144">
        <v>4.2250201992997541E-3</v>
      </c>
      <c r="K105" s="144">
        <v>3.2936881038702565E-3</v>
      </c>
      <c r="L105" s="144">
        <f t="shared" si="18"/>
        <v>4.2125825124967003E-45</v>
      </c>
      <c r="M105" s="130">
        <f>Toolbox!U95/SUM(Toolbox!U$12:U$108)</f>
        <v>0</v>
      </c>
      <c r="N105" s="131">
        <f t="shared" si="19"/>
        <v>1.0309278350515464E-2</v>
      </c>
    </row>
    <row r="106" spans="1:14" x14ac:dyDescent="0.25">
      <c r="A106" s="132">
        <v>720</v>
      </c>
      <c r="B106" s="133">
        <f t="shared" si="20"/>
        <v>1.5656527507905107E-45</v>
      </c>
      <c r="C106" s="134">
        <f t="shared" si="21"/>
        <v>7.1999999999999999E-7</v>
      </c>
      <c r="D106" s="134">
        <f t="shared" si="22"/>
        <v>6.9968534079511722</v>
      </c>
      <c r="E106" s="135">
        <f t="shared" si="23"/>
        <v>563595530349.32031</v>
      </c>
      <c r="F106" s="144">
        <v>2.1857749454216757E-2</v>
      </c>
      <c r="G106" s="144">
        <f t="shared" si="24"/>
        <v>2.1854085264610065E-2</v>
      </c>
      <c r="H106" s="144">
        <v>8.099278186869216E-3</v>
      </c>
      <c r="I106" s="144">
        <f t="shared" si="16"/>
        <v>1.0309278350515464E-2</v>
      </c>
      <c r="J106" s="144">
        <v>9.594667384863983E-4</v>
      </c>
      <c r="K106" s="144">
        <v>2.9643070987033287E-3</v>
      </c>
      <c r="L106" s="144">
        <f t="shared" si="18"/>
        <v>1.4708325810251967E-46</v>
      </c>
      <c r="M106" s="130">
        <f>Toolbox!U96/SUM(Toolbox!U$12:U$108)</f>
        <v>0</v>
      </c>
      <c r="N106" s="131">
        <f t="shared" si="19"/>
        <v>1.0309278350515464E-2</v>
      </c>
    </row>
    <row r="107" spans="1:14" x14ac:dyDescent="0.25">
      <c r="A107" s="132">
        <v>725</v>
      </c>
      <c r="B107" s="133">
        <f t="shared" si="20"/>
        <v>5.1716350088752307E-47</v>
      </c>
      <c r="C107" s="134">
        <f t="shared" si="21"/>
        <v>7.2500000000000005E-7</v>
      </c>
      <c r="D107" s="134">
        <f t="shared" si="22"/>
        <v>6.9485992465170252</v>
      </c>
      <c r="E107" s="135">
        <f t="shared" si="23"/>
        <v>571368329548.26929</v>
      </c>
      <c r="F107" s="144">
        <v>2.2159382552239672E-2</v>
      </c>
      <c r="G107" s="144">
        <f t="shared" si="24"/>
        <v>2.2155484774171893E-2</v>
      </c>
      <c r="H107" s="144">
        <v>8.6436826267787675E-3</v>
      </c>
      <c r="I107" s="144">
        <f t="shared" si="16"/>
        <v>1.0309278350515464E-2</v>
      </c>
      <c r="J107" s="144">
        <v>4.544842445461887E-4</v>
      </c>
      <c r="K107" s="144">
        <v>2.6678519992731908E-3</v>
      </c>
      <c r="L107" s="144">
        <f t="shared" si="18"/>
        <v>4.8584267899657728E-48</v>
      </c>
      <c r="M107" s="130">
        <f>Toolbox!U97/SUM(Toolbox!U$12:U$108)</f>
        <v>0</v>
      </c>
      <c r="N107" s="131">
        <f t="shared" si="19"/>
        <v>1.0309278350515464E-2</v>
      </c>
    </row>
    <row r="108" spans="1:14" x14ac:dyDescent="0.25">
      <c r="A108" s="132">
        <v>730</v>
      </c>
      <c r="B108" s="133">
        <f t="shared" si="20"/>
        <v>1.6161359402735403E-48</v>
      </c>
      <c r="C108" s="134">
        <f t="shared" si="21"/>
        <v>7.3E-7</v>
      </c>
      <c r="D108" s="134">
        <f t="shared" si="22"/>
        <v>6.9010061009929364</v>
      </c>
      <c r="E108" s="135">
        <f t="shared" si="23"/>
        <v>579004153106.86267</v>
      </c>
      <c r="F108" s="144">
        <v>2.2455716550021747E-2</v>
      </c>
      <c r="G108" s="144">
        <f t="shared" si="24"/>
        <v>2.2451572890789119E-2</v>
      </c>
      <c r="H108" s="144">
        <v>9.1880870666883208E-3</v>
      </c>
      <c r="I108" s="144">
        <f t="shared" si="16"/>
        <v>1.0309278350515464E-2</v>
      </c>
      <c r="J108" s="144">
        <v>3.8715324535416076E-4</v>
      </c>
      <c r="K108" s="144">
        <v>2.4011521628051892E-3</v>
      </c>
      <c r="L108" s="144">
        <f t="shared" si="18"/>
        <v>1.5182583718643327E-49</v>
      </c>
      <c r="M108" s="130">
        <f>Toolbox!U98/SUM(Toolbox!U$12:U$108)</f>
        <v>0</v>
      </c>
      <c r="N108" s="131">
        <f t="shared" si="19"/>
        <v>1.0309278350515464E-2</v>
      </c>
    </row>
    <row r="109" spans="1:14" x14ac:dyDescent="0.25">
      <c r="A109" s="132">
        <v>735</v>
      </c>
      <c r="B109" s="133">
        <f t="shared" si="20"/>
        <v>4.7779930138868552E-50</v>
      </c>
      <c r="C109" s="134">
        <f t="shared" si="21"/>
        <v>7.3499999999999995E-7</v>
      </c>
      <c r="D109" s="134">
        <f t="shared" si="22"/>
        <v>6.8540604812582915</v>
      </c>
      <c r="E109" s="135">
        <f t="shared" si="23"/>
        <v>586500713878.28662</v>
      </c>
      <c r="F109" s="144">
        <v>2.2746647543636686E-2</v>
      </c>
      <c r="G109" s="144">
        <f t="shared" si="24"/>
        <v>2.2742260927630872E-2</v>
      </c>
      <c r="H109" s="144">
        <v>9.5300095519261427E-3</v>
      </c>
      <c r="I109" s="144">
        <f t="shared" si="16"/>
        <v>1.0309278350515464E-2</v>
      </c>
      <c r="J109" s="144">
        <v>3.5348774575814674E-4</v>
      </c>
      <c r="K109" s="144">
        <v>2.1610369465246706E-3</v>
      </c>
      <c r="L109" s="144">
        <f t="shared" si="18"/>
        <v>4.4886248200229947E-51</v>
      </c>
      <c r="M109" s="130">
        <f>Toolbox!U99/SUM(Toolbox!U$12:U$108)</f>
        <v>0</v>
      </c>
      <c r="N109" s="131">
        <f t="shared" si="19"/>
        <v>1.0309278350515464E-2</v>
      </c>
    </row>
    <row r="110" spans="1:14" x14ac:dyDescent="0.25">
      <c r="A110" s="132">
        <v>740</v>
      </c>
      <c r="B110" s="133">
        <f t="shared" si="20"/>
        <v>1.3363823550460946E-51</v>
      </c>
      <c r="C110" s="134">
        <f t="shared" si="21"/>
        <v>7.4000000000000001E-7</v>
      </c>
      <c r="D110" s="134">
        <f t="shared" si="22"/>
        <v>6.8077492617903292</v>
      </c>
      <c r="E110" s="135">
        <f t="shared" si="23"/>
        <v>593855924712.85913</v>
      </c>
      <c r="F110" s="144">
        <v>2.3032071629158202E-2</v>
      </c>
      <c r="G110" s="144">
        <f t="shared" si="24"/>
        <v>2.3027467952992309E-2</v>
      </c>
      <c r="H110" s="144">
        <v>9.8719320371639645E-3</v>
      </c>
      <c r="I110" s="144">
        <f t="shared" si="16"/>
        <v>1.0309278350515464E-2</v>
      </c>
      <c r="J110" s="144">
        <v>4.0398599515216769E-4</v>
      </c>
      <c r="K110" s="144">
        <v>1.9449454466521059E-3</v>
      </c>
      <c r="L110" s="144">
        <f t="shared" si="18"/>
        <v>1.2554474212219368E-52</v>
      </c>
      <c r="M110" s="130">
        <f>Toolbox!U100/SUM(Toolbox!U$12:U$108)</f>
        <v>0</v>
      </c>
      <c r="N110" s="131">
        <f t="shared" si="19"/>
        <v>1.0309278350515464E-2</v>
      </c>
    </row>
    <row r="111" spans="1:14" x14ac:dyDescent="0.25">
      <c r="A111" s="132">
        <v>745</v>
      </c>
      <c r="B111" s="133">
        <f t="shared" si="20"/>
        <v>3.5361734208103047E-53</v>
      </c>
      <c r="C111" s="134">
        <f t="shared" si="21"/>
        <v>7.4499999999999996E-7</v>
      </c>
      <c r="D111" s="134">
        <f t="shared" si="22"/>
        <v>6.7620596694293198</v>
      </c>
      <c r="E111" s="135">
        <f t="shared" si="23"/>
        <v>601067893280.51563</v>
      </c>
      <c r="F111" s="144">
        <v>2.331198880658629E-2</v>
      </c>
      <c r="G111" s="144">
        <f t="shared" si="24"/>
        <v>2.330712058953037E-2</v>
      </c>
      <c r="H111" s="144">
        <v>9.1163289660066565E-3</v>
      </c>
      <c r="I111" s="144">
        <f t="shared" si="16"/>
        <v>1.0309278350515464E-2</v>
      </c>
      <c r="J111" s="144">
        <v>4.0398599515216769E-4</v>
      </c>
      <c r="K111" s="144">
        <v>1.7504387072069928E-3</v>
      </c>
      <c r="L111" s="144">
        <f t="shared" si="18"/>
        <v>3.3220131838666226E-54</v>
      </c>
      <c r="M111" s="130">
        <f>Toolbox!U101/SUM(Toolbox!U$12:U$108)</f>
        <v>0</v>
      </c>
      <c r="N111" s="131">
        <f t="shared" si="19"/>
        <v>1.0309278350515464E-2</v>
      </c>
    </row>
    <row r="112" spans="1:14" x14ac:dyDescent="0.25">
      <c r="A112" s="132">
        <v>750</v>
      </c>
      <c r="B112" s="133">
        <f t="shared" si="20"/>
        <v>8.8522562792004218E-55</v>
      </c>
      <c r="C112" s="134">
        <f t="shared" si="21"/>
        <v>7.5000000000000002E-7</v>
      </c>
      <c r="D112" s="134">
        <f t="shared" si="22"/>
        <v>6.7169792716331251</v>
      </c>
      <c r="E112" s="135">
        <f t="shared" si="23"/>
        <v>608134916775.6366</v>
      </c>
      <c r="F112" s="144">
        <v>2.3586191268068372E-2</v>
      </c>
      <c r="G112" s="144">
        <f t="shared" si="24"/>
        <v>2.3581152808937168E-2</v>
      </c>
      <c r="H112" s="144">
        <v>8.3607390421745025E-3</v>
      </c>
      <c r="I112" s="144">
        <f t="shared" si="16"/>
        <v>1.0309278350515464E-2</v>
      </c>
      <c r="J112" s="144">
        <v>3.3665499596013981E-4</v>
      </c>
      <c r="K112" s="144">
        <v>1.5753216678068783E-3</v>
      </c>
      <c r="L112" s="144">
        <f t="shared" si="18"/>
        <v>8.3161396704721816E-56</v>
      </c>
      <c r="M112" s="130">
        <f>Toolbox!U102/SUM(Toolbox!U$12:U$108)</f>
        <v>0</v>
      </c>
      <c r="N112" s="131">
        <f t="shared" si="19"/>
        <v>1.0309278350515464E-2</v>
      </c>
    </row>
    <row r="113" spans="1:14" x14ac:dyDescent="0.25">
      <c r="A113" s="132">
        <v>755</v>
      </c>
      <c r="B113" s="133">
        <f t="shared" si="20"/>
        <v>2.0964861708406522E-56</v>
      </c>
      <c r="C113" s="134">
        <f t="shared" si="21"/>
        <v>7.5499999999999997E-7</v>
      </c>
      <c r="D113" s="134">
        <f t="shared" si="22"/>
        <v>6.6724959651984692</v>
      </c>
      <c r="E113" s="135">
        <f t="shared" si="23"/>
        <v>615055476526.27429</v>
      </c>
      <c r="F113" s="144">
        <v>2.3854782917530737E-2</v>
      </c>
      <c r="G113" s="144">
        <f t="shared" si="24"/>
        <v>2.3849505722906381E-2</v>
      </c>
      <c r="H113" s="144">
        <v>7.2317387893645873E-3</v>
      </c>
      <c r="I113" s="144">
        <f t="shared" si="16"/>
        <v>1.0309278350515464E-2</v>
      </c>
      <c r="J113" s="144">
        <v>4.0398599515216769E-4</v>
      </c>
      <c r="K113" s="144">
        <v>1.4177651114663855E-3</v>
      </c>
      <c r="L113" s="144">
        <f t="shared" si="18"/>
        <v>1.9695172918670912E-57</v>
      </c>
      <c r="M113" s="130">
        <f>Toolbox!U103/SUM(Toolbox!U$12:U$108)</f>
        <v>0</v>
      </c>
      <c r="N113" s="131">
        <f t="shared" si="19"/>
        <v>1.0309278350515464E-2</v>
      </c>
    </row>
    <row r="114" spans="1:14" x14ac:dyDescent="0.25">
      <c r="A114" s="132">
        <v>760</v>
      </c>
      <c r="B114" s="133">
        <f t="shared" si="20"/>
        <v>4.6972927297960166E-58</v>
      </c>
      <c r="C114" s="134">
        <f t="shared" si="21"/>
        <v>7.6000000000000003E-7</v>
      </c>
      <c r="D114" s="134">
        <f t="shared" si="22"/>
        <v>6.6285979654274261</v>
      </c>
      <c r="E114" s="135">
        <f t="shared" si="23"/>
        <v>621828232528.39502</v>
      </c>
      <c r="F114" s="144">
        <v>2.4117659851047094E-2</v>
      </c>
      <c r="G114" s="144">
        <f t="shared" si="24"/>
        <v>2.4112127371192001E-2</v>
      </c>
      <c r="H114" s="144">
        <v>6.1027516838798234E-3</v>
      </c>
      <c r="I114" s="144">
        <f t="shared" si="16"/>
        <v>1.0309278350515464E-2</v>
      </c>
      <c r="J114" s="144">
        <v>5.3864799353622362E-4</v>
      </c>
      <c r="K114" s="144">
        <v>1.2760617689991619E-3</v>
      </c>
      <c r="L114" s="144">
        <f t="shared" si="18"/>
        <v>4.4128119636416136E-59</v>
      </c>
      <c r="M114" s="130">
        <f>Toolbox!U104/SUM(Toolbox!U$12:U$108)</f>
        <v>0</v>
      </c>
      <c r="N114" s="131">
        <f t="shared" si="19"/>
        <v>1.0309278350515464E-2</v>
      </c>
    </row>
    <row r="115" spans="1:14" x14ac:dyDescent="0.25">
      <c r="A115" s="132">
        <v>765</v>
      </c>
      <c r="B115" s="133">
        <f t="shared" si="20"/>
        <v>9.9568244445778665E-60</v>
      </c>
      <c r="C115" s="134">
        <f t="shared" si="21"/>
        <v>7.6499999999999998E-7</v>
      </c>
      <c r="D115" s="134">
        <f t="shared" si="22"/>
        <v>6.5852737957187495</v>
      </c>
      <c r="E115" s="135">
        <f t="shared" si="23"/>
        <v>628452017924.42065</v>
      </c>
      <c r="F115" s="144">
        <v>2.4374718164691153E-2</v>
      </c>
      <c r="G115" s="144">
        <f t="shared" si="24"/>
        <v>2.4368972507507226E-2</v>
      </c>
      <c r="H115" s="144">
        <v>7.442937420612342E-3</v>
      </c>
      <c r="I115" s="144">
        <f t="shared" si="16"/>
        <v>1.0309278350515464E-2</v>
      </c>
      <c r="J115" s="144">
        <v>4.3765149474818171E-4</v>
      </c>
      <c r="K115" s="144">
        <v>1.1483824234198308E-3</v>
      </c>
      <c r="L115" s="144">
        <f t="shared" si="18"/>
        <v>9.3538121970142779E-61</v>
      </c>
      <c r="M115" s="130">
        <f>Toolbox!U105/SUM(Toolbox!U$12:U$108)</f>
        <v>0</v>
      </c>
      <c r="N115" s="131">
        <f t="shared" si="19"/>
        <v>1.0309278350515464E-2</v>
      </c>
    </row>
    <row r="116" spans="1:14" x14ac:dyDescent="0.25">
      <c r="A116" s="132">
        <v>770</v>
      </c>
      <c r="B116" s="133">
        <f t="shared" si="20"/>
        <v>1.9966947421341626E-61</v>
      </c>
      <c r="C116" s="134">
        <f t="shared" si="21"/>
        <v>7.7000000000000004E-7</v>
      </c>
      <c r="D116" s="134">
        <f t="shared" si="22"/>
        <v>6.5425122775647315</v>
      </c>
      <c r="E116" s="135">
        <f t="shared" si="23"/>
        <v>634925833443.97986</v>
      </c>
      <c r="F116" s="144">
        <v>2.4626061762389205E-2</v>
      </c>
      <c r="G116" s="144">
        <f t="shared" si="24"/>
        <v>2.462000238395801E-2</v>
      </c>
      <c r="H116" s="144">
        <v>8.7831231573448614E-3</v>
      </c>
      <c r="I116" s="144">
        <f t="shared" si="16"/>
        <v>1.0309278350515464E-2</v>
      </c>
      <c r="J116" s="144">
        <v>2.6932399676811181E-4</v>
      </c>
      <c r="K116" s="144">
        <v>1.0336295445371652E-3</v>
      </c>
      <c r="L116" s="144">
        <f t="shared" si="18"/>
        <v>1.875769502279362E-62</v>
      </c>
      <c r="M116" s="130">
        <f>Toolbox!U106/SUM(Toolbox!U$12:U$108)</f>
        <v>0</v>
      </c>
      <c r="N116" s="131">
        <f t="shared" si="19"/>
        <v>1.0309278350515464E-2</v>
      </c>
    </row>
    <row r="117" spans="1:14" x14ac:dyDescent="0.25">
      <c r="A117" s="132">
        <v>775</v>
      </c>
      <c r="B117" s="133">
        <f t="shared" si="20"/>
        <v>3.788088346246515E-63</v>
      </c>
      <c r="C117" s="134">
        <f t="shared" si="21"/>
        <v>7.7499999999999999E-7</v>
      </c>
      <c r="D117" s="134">
        <f t="shared" si="22"/>
        <v>6.500302520935282</v>
      </c>
      <c r="E117" s="135">
        <f t="shared" si="23"/>
        <v>641248841823.53418</v>
      </c>
      <c r="F117" s="144">
        <v>2.4871482836288664E-2</v>
      </c>
      <c r="G117" s="144">
        <f t="shared" si="24"/>
        <v>2.4865184534657424E-2</v>
      </c>
      <c r="H117" s="144">
        <v>8.5581329820122627E-3</v>
      </c>
      <c r="I117" s="144">
        <f t="shared" si="16"/>
        <v>1.0309278350515464E-2</v>
      </c>
      <c r="J117" s="144">
        <v>2.0199299757608385E-4</v>
      </c>
      <c r="K117" s="144">
        <v>9.3021781096383873E-4</v>
      </c>
      <c r="L117" s="144">
        <f t="shared" si="18"/>
        <v>3.558671459330981E-64</v>
      </c>
      <c r="M117" s="130">
        <f>Toolbox!U107/SUM(Toolbox!U$12:U$108)</f>
        <v>0</v>
      </c>
      <c r="N117" s="131">
        <f t="shared" si="19"/>
        <v>1.0309278350515464E-2</v>
      </c>
    </row>
    <row r="118" spans="1:14" x14ac:dyDescent="0.25">
      <c r="A118" s="141">
        <v>780</v>
      </c>
      <c r="B118" s="136">
        <f t="shared" si="20"/>
        <v>6.7990169561200985E-65</v>
      </c>
      <c r="C118" s="137">
        <f t="shared" si="21"/>
        <v>7.8000000000000005E-7</v>
      </c>
      <c r="D118" s="137">
        <f t="shared" si="22"/>
        <v>6.4586339150318501</v>
      </c>
      <c r="E118" s="138">
        <f t="shared" si="23"/>
        <v>647420362220.28076</v>
      </c>
      <c r="F118" s="145">
        <v>2.5110981386389536E-2</v>
      </c>
      <c r="G118" s="145">
        <f t="shared" si="24"/>
        <v>2.5104492559118129E-2</v>
      </c>
      <c r="H118" s="145">
        <v>8.3331428066796675E-3</v>
      </c>
      <c r="I118" s="145">
        <f t="shared" si="16"/>
        <v>1.0309278350515464E-2</v>
      </c>
      <c r="J118" s="145">
        <v>1.5149474818206289E-4</v>
      </c>
      <c r="K118" s="145">
        <v>8.3717164030764973E-4</v>
      </c>
      <c r="L118" s="145">
        <f t="shared" si="18"/>
        <v>6.387250080169445E-66</v>
      </c>
      <c r="M118" s="139">
        <f>Toolbox!U108/SUM(Toolbox!U$12:U$108)</f>
        <v>0</v>
      </c>
      <c r="N118" s="140">
        <f t="shared" si="19"/>
        <v>1.0309278350515464E-2</v>
      </c>
    </row>
  </sheetData>
  <phoneticPr fontId="0" type="noConversion"/>
  <pageMargins left="0.70866141732283472" right="0.70866141732283472" top="0.74803149606299213" bottom="0.74803149606299213" header="0.31496062992125984" footer="0.31496062992125984"/>
  <pageSetup paperSize="9" scale="4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I496"/>
  <sheetViews>
    <sheetView zoomScale="80" zoomScaleNormal="80" workbookViewId="0">
      <selection activeCell="F15" sqref="F15"/>
    </sheetView>
  </sheetViews>
  <sheetFormatPr defaultRowHeight="15" x14ac:dyDescent="0.25"/>
  <cols>
    <col min="1" max="1" width="9.140625" style="1"/>
    <col min="2" max="2" width="10.28515625" style="2" customWidth="1"/>
    <col min="3" max="3" width="9.140625" style="2"/>
    <col min="4" max="4" width="18.140625" style="2" customWidth="1"/>
    <col min="5" max="5" width="13.5703125" style="2" customWidth="1"/>
    <col min="6" max="6" width="9.7109375" style="2" bestFit="1" customWidth="1"/>
    <col min="7" max="7" width="10.42578125" style="2" customWidth="1"/>
    <col min="8" max="8" width="9.140625" style="2"/>
    <col min="9" max="9" width="18.140625" style="2" customWidth="1"/>
    <col min="10" max="18" width="9.140625" style="2"/>
    <col min="19" max="19" width="9.42578125" style="3" customWidth="1"/>
    <col min="20" max="20" width="9.5703125" style="3" bestFit="1" customWidth="1"/>
    <col min="21" max="21" width="18.140625" style="2" customWidth="1"/>
    <col min="22" max="22" width="9.28515625" style="4" bestFit="1" customWidth="1"/>
    <col min="23" max="23" width="9.42578125" style="2" bestFit="1" customWidth="1"/>
    <col min="24" max="24" width="13.28515625" style="2" bestFit="1" customWidth="1"/>
    <col min="25" max="25" width="9.42578125" style="2" bestFit="1" customWidth="1"/>
    <col min="26" max="26" width="9.28515625" style="2" bestFit="1" customWidth="1"/>
    <col min="27" max="27" width="9.28515625" style="4" bestFit="1" customWidth="1"/>
    <col min="28" max="28" width="9.42578125" style="2" bestFit="1" customWidth="1"/>
    <col min="29" max="29" width="9.28515625" style="2" bestFit="1" customWidth="1"/>
    <col min="30" max="16384" width="9.140625" style="2"/>
  </cols>
  <sheetData>
    <row r="1" spans="1:35" x14ac:dyDescent="0.25">
      <c r="W1" s="5"/>
    </row>
    <row r="2" spans="1:35" ht="33.75" x14ac:dyDescent="0.5">
      <c r="B2" s="83" t="s">
        <v>143</v>
      </c>
      <c r="D2" s="6"/>
      <c r="Q2" s="84"/>
      <c r="T2" s="83" t="s">
        <v>143</v>
      </c>
      <c r="AA2" s="75"/>
      <c r="AD2" s="84"/>
      <c r="AE2" s="84"/>
    </row>
    <row r="3" spans="1:35" ht="15.75" thickBot="1" x14ac:dyDescent="0.3">
      <c r="G3" s="4"/>
      <c r="H3" s="4"/>
      <c r="I3" s="4"/>
    </row>
    <row r="4" spans="1:35" ht="16.5" thickBot="1" x14ac:dyDescent="0.3">
      <c r="B4" s="8" t="s">
        <v>36</v>
      </c>
      <c r="D4" s="221" t="s">
        <v>114</v>
      </c>
      <c r="E4" s="222"/>
      <c r="F4" s="222"/>
      <c r="G4" s="222"/>
      <c r="H4" s="222"/>
      <c r="I4" s="223"/>
      <c r="K4" s="8" t="s">
        <v>91</v>
      </c>
      <c r="M4" s="74" t="s">
        <v>107</v>
      </c>
      <c r="N4" s="224" t="s">
        <v>24</v>
      </c>
      <c r="O4" s="225"/>
      <c r="Q4" s="62" t="s">
        <v>38</v>
      </c>
      <c r="T4" s="8" t="s">
        <v>36</v>
      </c>
      <c r="V4" s="226" t="str">
        <f>D4</f>
        <v>Enter title here for printing</v>
      </c>
      <c r="W4" s="227"/>
      <c r="X4" s="227"/>
      <c r="Y4" s="227"/>
      <c r="Z4" s="227"/>
      <c r="AA4" s="227"/>
      <c r="AB4" s="228"/>
      <c r="AE4" s="62" t="s">
        <v>37</v>
      </c>
    </row>
    <row r="5" spans="1:35" ht="16.5" thickBot="1" x14ac:dyDescent="0.3">
      <c r="K5" s="10"/>
    </row>
    <row r="6" spans="1:35" ht="16.5" thickBot="1" x14ac:dyDescent="0.3">
      <c r="A6" s="11" t="s">
        <v>30</v>
      </c>
      <c r="B6" s="8" t="s">
        <v>101</v>
      </c>
      <c r="D6" s="69" t="s">
        <v>132</v>
      </c>
      <c r="K6" s="13"/>
      <c r="S6" s="76"/>
      <c r="U6" s="77"/>
      <c r="V6" s="78"/>
      <c r="X6" s="78"/>
      <c r="Y6" s="78"/>
      <c r="Z6" s="78"/>
      <c r="AA6" s="78"/>
    </row>
    <row r="7" spans="1:35" ht="15.75" x14ac:dyDescent="0.25">
      <c r="D7" s="92" t="str">
        <f>"i. "&amp;IF($D$6&lt;&gt;"approximate mode","Enter spectral power distribution in column AH","Select illuminant details below")</f>
        <v>i. Select illuminant details below</v>
      </c>
      <c r="J7" s="13"/>
      <c r="K7" s="14"/>
      <c r="U7" s="3"/>
      <c r="V7" s="2"/>
      <c r="AA7" s="2"/>
    </row>
    <row r="8" spans="1:35" ht="15.75" x14ac:dyDescent="0.25">
      <c r="C8" s="15"/>
      <c r="D8" s="92" t="str">
        <f>"ii. "&amp;IF($D$6="1nm spectral data","Check using the chart opposite that the data is 1nm resolution",IF($D$6="5nm spectral data","Check using the chart opposite that the data is 5nm resolution","Example spectra A, D, F and L are not necessarily representative"))</f>
        <v>ii. Example spectra A, D, F and L are not necessarily representative</v>
      </c>
      <c r="J8" s="13"/>
      <c r="K8" s="14"/>
      <c r="S8" s="79"/>
      <c r="V8" s="81"/>
      <c r="AA8" s="81"/>
    </row>
    <row r="9" spans="1:35" ht="15.75" x14ac:dyDescent="0.25">
      <c r="D9" s="92" t="str">
        <f>"iii. "&amp;IF($D$6&lt;&gt;"approximate mode","Skip sections 2 and 3: these inputs are not applicable in this mode","Consider enterring 1nm or 5nm spectral data for more accurate results")</f>
        <v>iii. Consider enterring 1nm or 5nm spectral data for more accurate results</v>
      </c>
      <c r="J9" s="13"/>
      <c r="K9" s="18"/>
      <c r="S9" s="16"/>
      <c r="T9" s="76" t="s">
        <v>109</v>
      </c>
      <c r="V9" s="2"/>
      <c r="W9" s="75" t="s">
        <v>110</v>
      </c>
      <c r="AA9" s="2"/>
      <c r="AB9" s="75" t="s">
        <v>108</v>
      </c>
      <c r="AG9" s="76" t="s">
        <v>124</v>
      </c>
    </row>
    <row r="10" spans="1:35" ht="15.75" x14ac:dyDescent="0.25">
      <c r="J10" s="24"/>
      <c r="K10" s="25"/>
      <c r="S10" s="16"/>
      <c r="V10" s="2"/>
      <c r="AA10" s="2"/>
    </row>
    <row r="11" spans="1:35" ht="16.5" thickBot="1" x14ac:dyDescent="0.3">
      <c r="A11" s="11" t="s">
        <v>29</v>
      </c>
      <c r="B11" s="8" t="s">
        <v>63</v>
      </c>
      <c r="J11" s="24"/>
      <c r="K11" s="25"/>
      <c r="S11" s="16"/>
      <c r="T11" s="79" t="s">
        <v>1</v>
      </c>
      <c r="U11" s="80" t="s">
        <v>122</v>
      </c>
      <c r="V11" s="2"/>
      <c r="W11" s="79" t="s">
        <v>1</v>
      </c>
      <c r="X11" s="79" t="s">
        <v>0</v>
      </c>
      <c r="Y11" s="79" t="s">
        <v>2</v>
      </c>
      <c r="Z11" s="79" t="s">
        <v>123</v>
      </c>
      <c r="AA11" s="2"/>
      <c r="AB11" s="79" t="s">
        <v>1</v>
      </c>
      <c r="AC11" s="79" t="s">
        <v>174</v>
      </c>
      <c r="AD11" s="82" t="str">
        <f>$N$4</f>
        <v>M cone</v>
      </c>
      <c r="AE11" s="82" t="s">
        <v>173</v>
      </c>
      <c r="AG11" s="79" t="s">
        <v>1</v>
      </c>
      <c r="AH11" s="80" t="s">
        <v>122</v>
      </c>
    </row>
    <row r="12" spans="1:35" ht="16.5" thickBot="1" x14ac:dyDescent="0.3">
      <c r="C12" s="88" t="s">
        <v>129</v>
      </c>
      <c r="D12" s="70" t="s">
        <v>32</v>
      </c>
      <c r="E12" s="21" t="str">
        <f>"  "&amp;IF($D$6&lt;&gt;"approximate mode","n/a",IF(D12="D","daylight",IF(D12="F","fluorescent",IF(D12="L","white LED",IF(D12="A","incandescent",IF(D12="N","narrowband/monochromatic",IF(D12="B","blackbody","equal energy illuminant")))))))</f>
        <v xml:space="preserve">  equal energy illuminant</v>
      </c>
      <c r="G12" s="22"/>
      <c r="H12" s="23"/>
      <c r="I12" s="88"/>
      <c r="J12" s="24"/>
      <c r="K12" s="25"/>
      <c r="S12" s="16"/>
      <c r="T12" s="16">
        <v>300</v>
      </c>
      <c r="U12" s="19">
        <f t="shared" ref="U12:U43" si="0">VLOOKUP($T12,$AG$12:$AI$496,IF($D$6="1nm spectral data",3,2),0)</f>
        <v>0</v>
      </c>
      <c r="V12" s="2"/>
      <c r="W12" s="16">
        <v>300</v>
      </c>
      <c r="X12" s="19">
        <f>Calculations!$C$11*Calculations!$C22*Calculations!$M22*Spectra!$C$9</f>
        <v>0</v>
      </c>
      <c r="Y12" s="19">
        <f>Calculations!$C$11*Calculations!$C22</f>
        <v>1.1646483282152789</v>
      </c>
      <c r="Z12" s="20">
        <f>Calculations!$C$11*Calculations!$C22*$W12*Spectra!$C$10</f>
        <v>1758892787290.0522</v>
      </c>
      <c r="AA12" s="2"/>
      <c r="AB12" s="16">
        <v>300</v>
      </c>
      <c r="AC12" s="2">
        <f>Calculations!$C$11*Calculations!$C22</f>
        <v>1.1646483282152789</v>
      </c>
      <c r="AD12" s="2">
        <f>HLOOKUP($N$4,Calculations!$I$21:$O$118,ROW()-10,FALSE)*5</f>
        <v>2.4956575671768755E-5</v>
      </c>
      <c r="AE12" s="2">
        <f>AC12*AD12/MAX(AD$12:AD$108)</f>
        <v>6.7193918813527904E-4</v>
      </c>
      <c r="AG12" s="2">
        <f t="shared" ref="AG12:AG75" si="1">IF(ROW()&gt;IF($D$6="1nm spectral data",496,108),"",IF($D$6="1nm spectral data",298,300)+IF($D$6="1nm spectral data",1,5)*(ROW()-ROW($AG$12)))</f>
        <v>300</v>
      </c>
      <c r="AH12" s="59">
        <v>0</v>
      </c>
    </row>
    <row r="13" spans="1:35" ht="16.5" thickBot="1" x14ac:dyDescent="0.3">
      <c r="A13" s="11"/>
      <c r="C13" s="88" t="s">
        <v>130</v>
      </c>
      <c r="D13" s="85" t="s">
        <v>112</v>
      </c>
      <c r="E13" s="21" t="str">
        <f>"  "&amp;IF($D$6&lt;&gt;"approximate mode","n/a",IF(D13="L","illuminance",IF(D13="P","irradiance",IF(D13="Q","log (photon flux)",""))))</f>
        <v xml:space="preserve">  illuminance</v>
      </c>
      <c r="F13" s="22"/>
      <c r="J13" s="13"/>
      <c r="K13" s="25"/>
      <c r="S13" s="16"/>
      <c r="T13" s="16">
        <v>305</v>
      </c>
      <c r="U13" s="19">
        <f t="shared" si="0"/>
        <v>0</v>
      </c>
      <c r="V13" s="2"/>
      <c r="W13" s="16">
        <v>305</v>
      </c>
      <c r="X13" s="19">
        <f>Calculations!$C$11*Calculations!$C23*Calculations!$M23*Spectra!$C$9</f>
        <v>0</v>
      </c>
      <c r="Y13" s="19">
        <f>Calculations!$C$11*Calculations!$C23</f>
        <v>1.1646483282152789</v>
      </c>
      <c r="Z13" s="20">
        <f>Calculations!$C$11*Calculations!$C23*$W13*Spectra!$C$10</f>
        <v>1788207667078.2197</v>
      </c>
      <c r="AA13" s="2"/>
      <c r="AB13" s="16">
        <v>305</v>
      </c>
      <c r="AC13" s="2">
        <f>Calculations!$C$11*Calculations!$C23</f>
        <v>1.1646483282152789</v>
      </c>
      <c r="AD13" s="2">
        <f>HLOOKUP($N$4,Calculations!$I$21:$O$118,ROW()-10,FALSE)*5</f>
        <v>1.4734839418200062E-4</v>
      </c>
      <c r="AE13" s="2">
        <f t="shared" ref="AE13:AE76" si="2">AC13*AD13/MAX(AD$12:AD$108)</f>
        <v>3.9672574339472055E-3</v>
      </c>
      <c r="AG13" s="2">
        <f t="shared" si="1"/>
        <v>305</v>
      </c>
      <c r="AH13" s="60">
        <v>0</v>
      </c>
    </row>
    <row r="14" spans="1:35" ht="16.5" thickBot="1" x14ac:dyDescent="0.3">
      <c r="A14" s="11"/>
      <c r="C14" s="88" t="s">
        <v>131</v>
      </c>
      <c r="D14" s="72">
        <v>170</v>
      </c>
      <c r="E14" s="12" t="str">
        <f>"  "&amp;IF($D$6&lt;&gt;"approximate mode","n/a",IF($D$13="Q","log"&amp;G14&amp;" (1/cm"&amp;H14&amp;"/s)",IF($D$13="L","lux",I14&amp;"W/cm"&amp;H14)))</f>
        <v xml:space="preserve">  lux</v>
      </c>
      <c r="F14" s="89"/>
      <c r="G14" s="91" t="s">
        <v>115</v>
      </c>
      <c r="H14" s="91" t="s">
        <v>116</v>
      </c>
      <c r="I14" s="93" t="s">
        <v>121</v>
      </c>
      <c r="J14" s="22"/>
      <c r="K14" s="25"/>
      <c r="S14" s="16"/>
      <c r="T14" s="16">
        <v>310</v>
      </c>
      <c r="U14" s="19">
        <f t="shared" si="0"/>
        <v>0</v>
      </c>
      <c r="V14" s="2"/>
      <c r="W14" s="16">
        <v>310</v>
      </c>
      <c r="X14" s="19">
        <f>Calculations!$C$11*Calculations!$C24*Calculations!$M24*Spectra!$C$9</f>
        <v>0</v>
      </c>
      <c r="Y14" s="19">
        <f>Calculations!$C$11*Calculations!$C24</f>
        <v>1.1646483282152789</v>
      </c>
      <c r="Z14" s="20">
        <f>Calculations!$C$11*Calculations!$C24*$W14*Spectra!$C$10</f>
        <v>1817522546866.3875</v>
      </c>
      <c r="AA14" s="2"/>
      <c r="AB14" s="16">
        <v>310</v>
      </c>
      <c r="AC14" s="2">
        <f>Calculations!$C$11*Calculations!$C24</f>
        <v>1.1646483282152789</v>
      </c>
      <c r="AD14" s="2">
        <f>HLOOKUP($N$4,Calculations!$I$21:$O$118,ROW()-10,FALSE)*5</f>
        <v>4.9096007616185799E-4</v>
      </c>
      <c r="AE14" s="2">
        <f t="shared" si="2"/>
        <v>1.3218773253263909E-2</v>
      </c>
      <c r="AG14" s="2">
        <f t="shared" si="1"/>
        <v>310</v>
      </c>
      <c r="AH14" s="60">
        <v>0</v>
      </c>
      <c r="AI14" s="87" t="str">
        <f t="shared" ref="AI14:AI45" si="3">IF(AND($D$6="1nm spectral data",$AG14&lt;&gt;""),IF($AG14/5=INT($AG14/5),SUM($AH12:$AH16),""),"")</f>
        <v/>
      </c>
    </row>
    <row r="15" spans="1:35" ht="15.75" x14ac:dyDescent="0.25">
      <c r="A15" s="11"/>
      <c r="J15" s="14"/>
      <c r="K15" s="13"/>
      <c r="S15" s="16"/>
      <c r="T15" s="16">
        <v>315</v>
      </c>
      <c r="U15" s="19">
        <f t="shared" si="0"/>
        <v>0</v>
      </c>
      <c r="V15" s="2"/>
      <c r="W15" s="16">
        <v>315</v>
      </c>
      <c r="X15" s="19">
        <f>Calculations!$C$11*Calculations!$C25*Calculations!$M25*Spectra!$C$9</f>
        <v>0</v>
      </c>
      <c r="Y15" s="19">
        <f>Calculations!$C$11*Calculations!$C25</f>
        <v>1.1646483282152789</v>
      </c>
      <c r="Z15" s="20">
        <f>Calculations!$C$11*Calculations!$C25*$W15*Spectra!$C$10</f>
        <v>1846837426654.5549</v>
      </c>
      <c r="AA15" s="2"/>
      <c r="AB15" s="16">
        <v>315</v>
      </c>
      <c r="AC15" s="2">
        <f>Calculations!$C$11*Calculations!$C25</f>
        <v>1.1646483282152789</v>
      </c>
      <c r="AD15" s="2">
        <f>HLOOKUP($N$4,Calculations!$I$21:$O$118,ROW()-10,FALSE)*5</f>
        <v>1.2607344485095753E-3</v>
      </c>
      <c r="AE15" s="2">
        <f t="shared" si="2"/>
        <v>3.3944435844377341E-2</v>
      </c>
      <c r="AG15" s="2">
        <f t="shared" si="1"/>
        <v>315</v>
      </c>
      <c r="AH15" s="60">
        <v>0</v>
      </c>
      <c r="AI15" s="87" t="str">
        <f t="shared" si="3"/>
        <v/>
      </c>
    </row>
    <row r="16" spans="1:35" ht="16.5" thickBot="1" x14ac:dyDescent="0.3">
      <c r="A16" s="11" t="s">
        <v>28</v>
      </c>
      <c r="B16" s="8" t="s">
        <v>105</v>
      </c>
      <c r="J16" s="22"/>
      <c r="K16" s="13"/>
      <c r="S16" s="16"/>
      <c r="T16" s="16">
        <v>320</v>
      </c>
      <c r="U16" s="19">
        <f t="shared" si="0"/>
        <v>0</v>
      </c>
      <c r="V16" s="2"/>
      <c r="W16" s="16">
        <v>320</v>
      </c>
      <c r="X16" s="19">
        <f>Calculations!$C$11*Calculations!$C26*Calculations!$M26*Spectra!$C$9</f>
        <v>0</v>
      </c>
      <c r="Y16" s="19">
        <f>Calculations!$C$11*Calculations!$C26</f>
        <v>1.1646483282152789</v>
      </c>
      <c r="Z16" s="20">
        <f>Calculations!$C$11*Calculations!$C26*$W16*Spectra!$C$10</f>
        <v>1876152306442.7224</v>
      </c>
      <c r="AA16" s="2"/>
      <c r="AB16" s="16">
        <v>320</v>
      </c>
      <c r="AC16" s="2">
        <f>Calculations!$C$11*Calculations!$C26</f>
        <v>1.1646483282152789</v>
      </c>
      <c r="AD16" s="2">
        <f>HLOOKUP($N$4,Calculations!$I$21:$O$118,ROW()-10,FALSE)*5</f>
        <v>1.9831778170978816E-3</v>
      </c>
      <c r="AE16" s="2">
        <f t="shared" si="2"/>
        <v>5.3395742664169819E-2</v>
      </c>
      <c r="AG16" s="2">
        <f t="shared" si="1"/>
        <v>320</v>
      </c>
      <c r="AH16" s="60">
        <v>0</v>
      </c>
      <c r="AI16" s="87" t="str">
        <f t="shared" si="3"/>
        <v/>
      </c>
    </row>
    <row r="17" spans="1:35" ht="16.5" thickBot="1" x14ac:dyDescent="0.3">
      <c r="A17" s="11"/>
      <c r="C17" s="88" t="s">
        <v>126</v>
      </c>
      <c r="D17" s="73">
        <v>2856</v>
      </c>
      <c r="E17" s="21" t="str">
        <f>"  "&amp;IF($D$12="B","K","n/a")</f>
        <v xml:space="preserve">  n/a</v>
      </c>
      <c r="F17" s="8"/>
      <c r="J17" s="22"/>
      <c r="K17" s="13"/>
      <c r="S17" s="16"/>
      <c r="T17" s="16">
        <v>325</v>
      </c>
      <c r="U17" s="19">
        <f t="shared" si="0"/>
        <v>0</v>
      </c>
      <c r="V17" s="2"/>
      <c r="W17" s="16">
        <v>325</v>
      </c>
      <c r="X17" s="19">
        <f>Calculations!$C$11*Calculations!$C27*Calculations!$M27*Spectra!$C$9</f>
        <v>0</v>
      </c>
      <c r="Y17" s="19">
        <f>Calculations!$C$11*Calculations!$C27</f>
        <v>1.1646483282152789</v>
      </c>
      <c r="Z17" s="20">
        <f>Calculations!$C$11*Calculations!$C27*$W17*Spectra!$C$10</f>
        <v>1905467186230.8901</v>
      </c>
      <c r="AA17" s="2"/>
      <c r="AB17" s="16">
        <v>325</v>
      </c>
      <c r="AC17" s="2">
        <f>Calculations!$C$11*Calculations!$C27</f>
        <v>1.1646483282152789</v>
      </c>
      <c r="AD17" s="2">
        <f>HLOOKUP($N$4,Calculations!$I$21:$O$118,ROW()-10,FALSE)*5</f>
        <v>2.6353298344885217E-3</v>
      </c>
      <c r="AE17" s="2">
        <f t="shared" si="2"/>
        <v>7.0954501640945494E-2</v>
      </c>
      <c r="AG17" s="2">
        <f t="shared" si="1"/>
        <v>325</v>
      </c>
      <c r="AH17" s="60">
        <v>0</v>
      </c>
      <c r="AI17" s="87" t="str">
        <f t="shared" si="3"/>
        <v/>
      </c>
    </row>
    <row r="18" spans="1:35" ht="16.5" thickBot="1" x14ac:dyDescent="0.3">
      <c r="A18" s="11"/>
      <c r="C18" s="88" t="s">
        <v>127</v>
      </c>
      <c r="D18" s="73">
        <v>415</v>
      </c>
      <c r="E18" s="21" t="str">
        <f>"  "&amp;IF($D$12="N","nm","n/a")</f>
        <v xml:space="preserve">  n/a</v>
      </c>
      <c r="F18" s="8"/>
      <c r="G18" s="18"/>
      <c r="H18" s="26"/>
      <c r="I18" s="27" t="s">
        <v>1</v>
      </c>
      <c r="S18" s="16"/>
      <c r="T18" s="16">
        <v>330</v>
      </c>
      <c r="U18" s="19">
        <f t="shared" si="0"/>
        <v>0</v>
      </c>
      <c r="V18" s="2"/>
      <c r="W18" s="16">
        <v>330</v>
      </c>
      <c r="X18" s="19">
        <f>Calculations!$C$11*Calculations!$C28*Calculations!$M28*Spectra!$C$9</f>
        <v>0</v>
      </c>
      <c r="Y18" s="19">
        <f>Calculations!$C$11*Calculations!$C28</f>
        <v>1.1646483282152789</v>
      </c>
      <c r="Z18" s="20">
        <f>Calculations!$C$11*Calculations!$C28*$W18*Spectra!$C$10</f>
        <v>1934782066019.0576</v>
      </c>
      <c r="AA18" s="2"/>
      <c r="AB18" s="16">
        <v>330</v>
      </c>
      <c r="AC18" s="2">
        <f>Calculations!$C$11*Calculations!$C28</f>
        <v>1.1646483282152789</v>
      </c>
      <c r="AD18" s="2">
        <f>HLOOKUP($N$4,Calculations!$I$21:$O$118,ROW()-10,FALSE)*5</f>
        <v>3.2101672609298037E-3</v>
      </c>
      <c r="AE18" s="2">
        <f t="shared" si="2"/>
        <v>8.6431616719263971E-2</v>
      </c>
      <c r="AG18" s="2">
        <f t="shared" si="1"/>
        <v>330</v>
      </c>
      <c r="AH18" s="60">
        <v>0</v>
      </c>
      <c r="AI18" s="87" t="str">
        <f t="shared" si="3"/>
        <v/>
      </c>
    </row>
    <row r="19" spans="1:35" ht="16.5" thickBot="1" x14ac:dyDescent="0.3">
      <c r="A19" s="11"/>
      <c r="C19" s="88" t="s">
        <v>128</v>
      </c>
      <c r="D19" s="71">
        <v>50</v>
      </c>
      <c r="E19" s="21" t="str">
        <f>"  "&amp;IF($D$12="N","nm","n/a")</f>
        <v xml:space="preserve">  n/a</v>
      </c>
      <c r="F19" s="17" t="s">
        <v>106</v>
      </c>
      <c r="I19" s="29" t="str">
        <f>Spectra!L10</f>
        <v>n/a</v>
      </c>
      <c r="S19" s="16"/>
      <c r="T19" s="16">
        <v>335</v>
      </c>
      <c r="U19" s="19">
        <f t="shared" si="0"/>
        <v>0</v>
      </c>
      <c r="V19" s="2"/>
      <c r="W19" s="16">
        <v>335</v>
      </c>
      <c r="X19" s="19">
        <f>Calculations!$C$11*Calculations!$C29*Calculations!$M29*Spectra!$C$9</f>
        <v>0</v>
      </c>
      <c r="Y19" s="19">
        <f>Calculations!$C$11*Calculations!$C29</f>
        <v>1.1646483282152789</v>
      </c>
      <c r="Z19" s="20">
        <f>Calculations!$C$11*Calculations!$C29*$W19*Spectra!$C$10</f>
        <v>1964096945807.2251</v>
      </c>
      <c r="AA19" s="2"/>
      <c r="AB19" s="16">
        <v>335</v>
      </c>
      <c r="AC19" s="2">
        <f>Calculations!$C$11*Calculations!$C29</f>
        <v>1.1646483282152789</v>
      </c>
      <c r="AD19" s="2">
        <f>HLOOKUP($N$4,Calculations!$I$21:$O$118,ROW()-10,FALSE)*5</f>
        <v>3.7164871466460444E-3</v>
      </c>
      <c r="AE19" s="2">
        <f t="shared" si="2"/>
        <v>0.1000639426208409</v>
      </c>
      <c r="AG19" s="2">
        <f t="shared" si="1"/>
        <v>335</v>
      </c>
      <c r="AH19" s="60">
        <v>0</v>
      </c>
      <c r="AI19" s="87" t="str">
        <f t="shared" si="3"/>
        <v/>
      </c>
    </row>
    <row r="20" spans="1:35" x14ac:dyDescent="0.25">
      <c r="I20" s="3"/>
      <c r="S20" s="16"/>
      <c r="T20" s="16">
        <v>340</v>
      </c>
      <c r="U20" s="19">
        <f t="shared" si="0"/>
        <v>0</v>
      </c>
      <c r="V20" s="2"/>
      <c r="W20" s="16">
        <v>340</v>
      </c>
      <c r="X20" s="19">
        <f>Calculations!$C$11*Calculations!$C30*Calculations!$M30*Spectra!$C$9</f>
        <v>0</v>
      </c>
      <c r="Y20" s="19">
        <f>Calculations!$C$11*Calculations!$C30</f>
        <v>1.1646483282152789</v>
      </c>
      <c r="Z20" s="20">
        <f>Calculations!$C$11*Calculations!$C30*$W20*Spectra!$C$10</f>
        <v>1993411825595.3926</v>
      </c>
      <c r="AA20" s="2"/>
      <c r="AB20" s="16">
        <v>340</v>
      </c>
      <c r="AC20" s="2">
        <f>Calculations!$C$11*Calculations!$C30</f>
        <v>1.1646483282152789</v>
      </c>
      <c r="AD20" s="2">
        <f>HLOOKUP($N$4,Calculations!$I$21:$O$118,ROW()-10,FALSE)*5</f>
        <v>4.1704526527397458E-3</v>
      </c>
      <c r="AE20" s="2">
        <f t="shared" si="2"/>
        <v>0.11228666169968814</v>
      </c>
      <c r="AG20" s="2">
        <f t="shared" si="1"/>
        <v>340</v>
      </c>
      <c r="AH20" s="60">
        <v>0</v>
      </c>
      <c r="AI20" s="87" t="str">
        <f t="shared" si="3"/>
        <v/>
      </c>
    </row>
    <row r="21" spans="1:35" ht="15.75" x14ac:dyDescent="0.25">
      <c r="A21" s="11" t="s">
        <v>31</v>
      </c>
      <c r="B21" s="75" t="s">
        <v>135</v>
      </c>
      <c r="I21" s="3"/>
      <c r="S21" s="16"/>
      <c r="T21" s="16">
        <v>345</v>
      </c>
      <c r="U21" s="19">
        <f t="shared" si="0"/>
        <v>0</v>
      </c>
      <c r="V21" s="2"/>
      <c r="W21" s="16">
        <v>345</v>
      </c>
      <c r="X21" s="19">
        <f>Calculations!$C$11*Calculations!$C31*Calculations!$M31*Spectra!$C$9</f>
        <v>0</v>
      </c>
      <c r="Y21" s="19">
        <f>Calculations!$C$11*Calculations!$C31</f>
        <v>1.1646483282152789</v>
      </c>
      <c r="Z21" s="20">
        <f>Calculations!$C$11*Calculations!$C31*$W21*Spectra!$C$10</f>
        <v>2022726705383.5603</v>
      </c>
      <c r="AA21" s="2"/>
      <c r="AB21" s="16">
        <v>345</v>
      </c>
      <c r="AC21" s="2">
        <f>Calculations!$C$11*Calculations!$C31</f>
        <v>1.1646483282152789</v>
      </c>
      <c r="AD21" s="2">
        <f>HLOOKUP($N$4,Calculations!$I$21:$O$118,ROW()-10,FALSE)*5</f>
        <v>4.5856998599219838E-3</v>
      </c>
      <c r="AE21" s="2">
        <f t="shared" si="2"/>
        <v>0.12346691635237704</v>
      </c>
      <c r="AG21" s="2">
        <f t="shared" si="1"/>
        <v>345</v>
      </c>
      <c r="AH21" s="60">
        <v>0</v>
      </c>
      <c r="AI21" s="87" t="str">
        <f t="shared" si="3"/>
        <v/>
      </c>
    </row>
    <row r="22" spans="1:35" ht="21" thickBot="1" x14ac:dyDescent="0.4">
      <c r="A22" s="11"/>
      <c r="D22" s="12" t="s">
        <v>93</v>
      </c>
      <c r="E22" s="150" t="s">
        <v>120</v>
      </c>
      <c r="F22" s="30" t="s">
        <v>98</v>
      </c>
      <c r="G22" s="30" t="s">
        <v>99</v>
      </c>
      <c r="I22" s="30" t="s">
        <v>92</v>
      </c>
      <c r="S22" s="16"/>
      <c r="T22" s="16">
        <v>350</v>
      </c>
      <c r="U22" s="19">
        <f t="shared" si="0"/>
        <v>0</v>
      </c>
      <c r="V22" s="2"/>
      <c r="W22" s="16">
        <v>350</v>
      </c>
      <c r="X22" s="19">
        <f>Calculations!$C$11*Calculations!$C32*Calculations!$M32*Spectra!$C$9</f>
        <v>0</v>
      </c>
      <c r="Y22" s="19">
        <f>Calculations!$C$11*Calculations!$C32</f>
        <v>1.1646483282152789</v>
      </c>
      <c r="Z22" s="20">
        <f>Calculations!$C$11*Calculations!$C32*$W22*Spectra!$C$10</f>
        <v>2052041585171.7278</v>
      </c>
      <c r="AA22" s="2"/>
      <c r="AB22" s="16">
        <v>350</v>
      </c>
      <c r="AC22" s="2">
        <f>Calculations!$C$11*Calculations!$C32</f>
        <v>1.1646483282152789</v>
      </c>
      <c r="AD22" s="2">
        <f>HLOOKUP($N$4,Calculations!$I$21:$O$118,ROW()-10,FALSE)*5</f>
        <v>4.9680844027694803E-3</v>
      </c>
      <c r="AE22" s="2">
        <f t="shared" si="2"/>
        <v>0.13376236564220409</v>
      </c>
      <c r="AG22" s="2">
        <f t="shared" si="1"/>
        <v>350</v>
      </c>
      <c r="AH22" s="60">
        <v>0</v>
      </c>
      <c r="AI22" s="87" t="str">
        <f t="shared" si="3"/>
        <v/>
      </c>
    </row>
    <row r="23" spans="1:35" ht="16.5" thickBot="1" x14ac:dyDescent="0.3">
      <c r="A23" s="11"/>
      <c r="D23" s="31" t="s">
        <v>95</v>
      </c>
      <c r="E23" s="148">
        <v>555</v>
      </c>
      <c r="F23" s="3" t="s">
        <v>97</v>
      </c>
      <c r="G23" s="16" t="s">
        <v>94</v>
      </c>
      <c r="I23" s="63">
        <f>Spectra!L5</f>
        <v>170</v>
      </c>
      <c r="J23" s="33"/>
      <c r="K23" s="33"/>
      <c r="S23" s="16"/>
      <c r="T23" s="16">
        <v>355</v>
      </c>
      <c r="U23" s="19">
        <f t="shared" si="0"/>
        <v>0</v>
      </c>
      <c r="V23" s="2"/>
      <c r="W23" s="16">
        <v>355</v>
      </c>
      <c r="X23" s="19">
        <f>Calculations!$C$11*Calculations!$C33*Calculations!$M33*Spectra!$C$9</f>
        <v>0</v>
      </c>
      <c r="Y23" s="19">
        <f>Calculations!$C$11*Calculations!$C33</f>
        <v>1.1646483282152789</v>
      </c>
      <c r="Z23" s="20">
        <f>Calculations!$C$11*Calculations!$C33*$W23*Spectra!$C$10</f>
        <v>2081356464959.8953</v>
      </c>
      <c r="AA23" s="2"/>
      <c r="AB23" s="16">
        <v>355</v>
      </c>
      <c r="AC23" s="2">
        <f>Calculations!$C$11*Calculations!$C33</f>
        <v>1.1646483282152789</v>
      </c>
      <c r="AD23" s="2">
        <f>HLOOKUP($N$4,Calculations!$I$21:$O$118,ROW()-10,FALSE)*5</f>
        <v>5.2883213599932543E-3</v>
      </c>
      <c r="AE23" s="2">
        <f t="shared" si="2"/>
        <v>0.14238453255636407</v>
      </c>
      <c r="AG23" s="2">
        <f t="shared" si="1"/>
        <v>355</v>
      </c>
      <c r="AH23" s="60">
        <v>0</v>
      </c>
      <c r="AI23" s="87" t="str">
        <f t="shared" si="3"/>
        <v/>
      </c>
    </row>
    <row r="24" spans="1:35" ht="15.75" x14ac:dyDescent="0.25">
      <c r="A24" s="11"/>
      <c r="C24" s="13"/>
      <c r="H24" s="32"/>
      <c r="I24" s="3"/>
      <c r="J24" s="33"/>
      <c r="K24" s="33"/>
      <c r="S24" s="16"/>
      <c r="T24" s="16">
        <v>360</v>
      </c>
      <c r="U24" s="19">
        <f t="shared" si="0"/>
        <v>0</v>
      </c>
      <c r="V24" s="2"/>
      <c r="W24" s="16">
        <v>360</v>
      </c>
      <c r="X24" s="19">
        <f>Calculations!$C$11*Calculations!$C34*Calculations!$M34*Spectra!$C$9</f>
        <v>3.115803544512748E-5</v>
      </c>
      <c r="Y24" s="19">
        <f>Calculations!$C$11*Calculations!$C34</f>
        <v>1.1646483282152789</v>
      </c>
      <c r="Z24" s="20">
        <f>Calculations!$C$11*Calculations!$C34*$W24*Spectra!$C$10</f>
        <v>2110671344748.0627</v>
      </c>
      <c r="AA24" s="2"/>
      <c r="AB24" s="16">
        <v>360</v>
      </c>
      <c r="AC24" s="2">
        <f>Calculations!$C$11*Calculations!$C34</f>
        <v>1.1646483282152789</v>
      </c>
      <c r="AD24" s="2">
        <f>HLOOKUP($N$4,Calculations!$I$21:$O$118,ROW()-10,FALSE)*5</f>
        <v>5.5203091468602247E-3</v>
      </c>
      <c r="AE24" s="2">
        <f t="shared" si="2"/>
        <v>0.14863064929989744</v>
      </c>
      <c r="AG24" s="2">
        <f t="shared" si="1"/>
        <v>360</v>
      </c>
      <c r="AH24" s="60">
        <v>0</v>
      </c>
      <c r="AI24" s="87" t="str">
        <f t="shared" si="3"/>
        <v/>
      </c>
    </row>
    <row r="25" spans="1:35" ht="15.75" x14ac:dyDescent="0.25">
      <c r="A25" s="11" t="s">
        <v>96</v>
      </c>
      <c r="B25" s="75" t="s">
        <v>144</v>
      </c>
      <c r="C25" s="33"/>
      <c r="D25" s="33"/>
      <c r="E25" s="33"/>
      <c r="F25" s="33"/>
      <c r="H25" s="34"/>
      <c r="I25" s="30"/>
      <c r="J25" s="33"/>
      <c r="K25" s="33"/>
      <c r="S25" s="16"/>
      <c r="T25" s="16">
        <v>365</v>
      </c>
      <c r="U25" s="19">
        <f t="shared" si="0"/>
        <v>0</v>
      </c>
      <c r="V25" s="2"/>
      <c r="W25" s="16">
        <v>365</v>
      </c>
      <c r="X25" s="19">
        <f>Calculations!$C$11*Calculations!$C35*Calculations!$M35*Spectra!$C$9</f>
        <v>5.5403552942382668E-5</v>
      </c>
      <c r="Y25" s="19">
        <f>Calculations!$C$11*Calculations!$C35</f>
        <v>1.1646483282152789</v>
      </c>
      <c r="Z25" s="20">
        <f>Calculations!$C$11*Calculations!$C35*$W25*Spectra!$C$10</f>
        <v>2139986224536.2305</v>
      </c>
      <c r="AA25" s="2"/>
      <c r="AB25" s="16">
        <v>365</v>
      </c>
      <c r="AC25" s="2">
        <f>Calculations!$C$11*Calculations!$C35</f>
        <v>1.1646483282152789</v>
      </c>
      <c r="AD25" s="2">
        <f>HLOOKUP($N$4,Calculations!$I$21:$O$118,ROW()-10,FALSE)*5</f>
        <v>5.6519297658087445E-3</v>
      </c>
      <c r="AE25" s="2">
        <f t="shared" si="2"/>
        <v>0.15217444685455064</v>
      </c>
      <c r="AG25" s="2">
        <f t="shared" si="1"/>
        <v>365</v>
      </c>
      <c r="AH25" s="60">
        <v>0</v>
      </c>
      <c r="AI25" s="87" t="str">
        <f t="shared" si="3"/>
        <v/>
      </c>
    </row>
    <row r="26" spans="1:35" ht="18" customHeight="1" thickBot="1" x14ac:dyDescent="0.4">
      <c r="B26" s="33"/>
      <c r="D26" s="12" t="s">
        <v>93</v>
      </c>
      <c r="E26" s="150" t="s">
        <v>120</v>
      </c>
      <c r="F26" s="146" t="s">
        <v>146</v>
      </c>
      <c r="G26" s="30" t="s">
        <v>99</v>
      </c>
      <c r="I26" s="146" t="s">
        <v>142</v>
      </c>
      <c r="J26" s="33"/>
      <c r="K26" s="33"/>
      <c r="S26" s="16"/>
      <c r="T26" s="16">
        <v>370</v>
      </c>
      <c r="U26" s="19">
        <f t="shared" si="0"/>
        <v>0</v>
      </c>
      <c r="V26" s="2"/>
      <c r="W26" s="16">
        <v>370</v>
      </c>
      <c r="X26" s="19">
        <f>Calculations!$C$11*Calculations!$C36*Calculations!$M36*Spectra!$C$9</f>
        <v>9.8557074078409367E-5</v>
      </c>
      <c r="Y26" s="19">
        <f>Calculations!$C$11*Calculations!$C36</f>
        <v>1.1646483282152789</v>
      </c>
      <c r="Z26" s="20">
        <f>Calculations!$C$11*Calculations!$C36*$W26*Spectra!$C$10</f>
        <v>2169301104324.3979</v>
      </c>
      <c r="AA26" s="2"/>
      <c r="AB26" s="16">
        <v>370</v>
      </c>
      <c r="AC26" s="2">
        <f>Calculations!$C$11*Calculations!$C36</f>
        <v>1.1646483282152789</v>
      </c>
      <c r="AD26" s="2">
        <f>HLOOKUP($N$4,Calculations!$I$21:$O$118,ROW()-10,FALSE)*5</f>
        <v>5.7090241769749521E-3</v>
      </c>
      <c r="AE26" s="2">
        <f t="shared" si="2"/>
        <v>0.1537116758714899</v>
      </c>
      <c r="AG26" s="2">
        <f t="shared" si="1"/>
        <v>370</v>
      </c>
      <c r="AH26" s="60">
        <v>0</v>
      </c>
      <c r="AI26" s="87" t="str">
        <f t="shared" si="3"/>
        <v/>
      </c>
    </row>
    <row r="27" spans="1:35" ht="18" customHeight="1" thickBot="1" x14ac:dyDescent="0.4">
      <c r="B27" s="33"/>
      <c r="D27" s="143" t="s">
        <v>147</v>
      </c>
      <c r="E27" s="73">
        <v>360</v>
      </c>
      <c r="F27" s="142" t="s">
        <v>58</v>
      </c>
      <c r="G27" s="146" t="s">
        <v>138</v>
      </c>
      <c r="I27" s="64">
        <f>Calculations!I12</f>
        <v>170</v>
      </c>
      <c r="J27" s="33"/>
      <c r="K27" s="33"/>
      <c r="S27" s="16"/>
      <c r="T27" s="16">
        <v>375</v>
      </c>
      <c r="U27" s="19">
        <f t="shared" si="0"/>
        <v>0</v>
      </c>
      <c r="V27" s="2"/>
      <c r="W27" s="16">
        <v>375</v>
      </c>
      <c r="X27" s="19">
        <f>Calculations!$C$11*Calculations!$C37*Calculations!$M37*Spectra!$C$9</f>
        <v>1.7515954569867424E-4</v>
      </c>
      <c r="Y27" s="19">
        <f>Calculations!$C$11*Calculations!$C37</f>
        <v>1.1646483282152789</v>
      </c>
      <c r="Z27" s="20">
        <f>Calculations!$C$11*Calculations!$C37*$W27*Spectra!$C$10</f>
        <v>2198615984112.5654</v>
      </c>
      <c r="AA27" s="2"/>
      <c r="AB27" s="16">
        <v>375</v>
      </c>
      <c r="AC27" s="2">
        <f>Calculations!$C$11*Calculations!$C37</f>
        <v>1.1646483282152789</v>
      </c>
      <c r="AD27" s="2">
        <f>HLOOKUP($N$4,Calculations!$I$21:$O$118,ROW()-10,FALSE)*5</f>
        <v>5.7237314708693358E-3</v>
      </c>
      <c r="AE27" s="2">
        <f t="shared" si="2"/>
        <v>0.15410765996999096</v>
      </c>
      <c r="AG27" s="2">
        <f t="shared" si="1"/>
        <v>375</v>
      </c>
      <c r="AH27" s="60">
        <v>0</v>
      </c>
      <c r="AI27" s="87" t="str">
        <f t="shared" si="3"/>
        <v/>
      </c>
    </row>
    <row r="28" spans="1:35" ht="18" customHeight="1" thickBot="1" x14ac:dyDescent="0.4">
      <c r="B28" s="33"/>
      <c r="D28" s="37" t="s">
        <v>25</v>
      </c>
      <c r="E28" s="148">
        <v>480</v>
      </c>
      <c r="F28" s="153" t="s">
        <v>133</v>
      </c>
      <c r="G28" s="146" t="s">
        <v>139</v>
      </c>
      <c r="I28" s="65">
        <f>Calculations!J12</f>
        <v>169.99999999999986</v>
      </c>
      <c r="J28" s="33"/>
      <c r="K28" s="33"/>
      <c r="S28" s="16"/>
      <c r="T28" s="16">
        <v>380</v>
      </c>
      <c r="U28" s="19">
        <f t="shared" si="0"/>
        <v>0</v>
      </c>
      <c r="V28" s="2"/>
      <c r="W28" s="16">
        <v>380</v>
      </c>
      <c r="X28" s="19">
        <f>Calculations!$C$11*Calculations!$C38*Calculations!$M38*Spectra!$C$9</f>
        <v>3.1022807821291082E-4</v>
      </c>
      <c r="Y28" s="19">
        <f>Calculations!$C$11*Calculations!$C38</f>
        <v>1.1646483282152789</v>
      </c>
      <c r="Z28" s="20">
        <f>Calculations!$C$11*Calculations!$C38*$W28*Spectra!$C$10</f>
        <v>2227930863900.7329</v>
      </c>
      <c r="AA28" s="2"/>
      <c r="AB28" s="16">
        <v>380</v>
      </c>
      <c r="AC28" s="2">
        <f>Calculations!$C$11*Calculations!$C38</f>
        <v>1.1646483282152789</v>
      </c>
      <c r="AD28" s="2">
        <f>HLOOKUP($N$4,Calculations!$I$21:$O$118,ROW()-10,FALSE)*5</f>
        <v>5.7066686606553133E-3</v>
      </c>
      <c r="AE28" s="2">
        <f t="shared" si="2"/>
        <v>0.1536482551624842</v>
      </c>
      <c r="AG28" s="2">
        <f t="shared" si="1"/>
        <v>380</v>
      </c>
      <c r="AH28" s="60">
        <v>0</v>
      </c>
      <c r="AI28" s="87" t="str">
        <f t="shared" si="3"/>
        <v/>
      </c>
    </row>
    <row r="29" spans="1:35" ht="18" customHeight="1" thickBot="1" x14ac:dyDescent="0.4">
      <c r="B29" s="33"/>
      <c r="D29" s="31" t="s">
        <v>23</v>
      </c>
      <c r="E29" s="147">
        <v>498</v>
      </c>
      <c r="F29" s="22" t="s">
        <v>47</v>
      </c>
      <c r="G29" s="146" t="s">
        <v>140</v>
      </c>
      <c r="I29" s="65">
        <f>Calculations!K12</f>
        <v>169.99999999999989</v>
      </c>
      <c r="K29" s="33"/>
      <c r="S29" s="16"/>
      <c r="T29" s="16">
        <v>385</v>
      </c>
      <c r="U29" s="19">
        <f t="shared" si="0"/>
        <v>0</v>
      </c>
      <c r="V29" s="2"/>
      <c r="W29" s="16">
        <v>385</v>
      </c>
      <c r="X29" s="19">
        <f>Calculations!$C$11*Calculations!$C39*Calculations!$M39*Spectra!$C$9</f>
        <v>5.0909223091349465E-4</v>
      </c>
      <c r="Y29" s="19">
        <f>Calculations!$C$11*Calculations!$C39</f>
        <v>1.1646483282152789</v>
      </c>
      <c r="Z29" s="20">
        <f>Calculations!$C$11*Calculations!$C39*$W29*Spectra!$C$10</f>
        <v>2257245743688.9009</v>
      </c>
      <c r="AA29" s="2"/>
      <c r="AB29" s="16">
        <v>385</v>
      </c>
      <c r="AC29" s="2">
        <f>Calculations!$C$11*Calculations!$C39</f>
        <v>1.1646483282152789</v>
      </c>
      <c r="AD29" s="2">
        <f>HLOOKUP($N$4,Calculations!$I$21:$O$118,ROW()-10,FALSE)*5</f>
        <v>5.6717984080230134E-3</v>
      </c>
      <c r="AE29" s="2">
        <f t="shared" si="2"/>
        <v>0.15270939682102014</v>
      </c>
      <c r="AG29" s="2">
        <f t="shared" si="1"/>
        <v>385</v>
      </c>
      <c r="AH29" s="60">
        <v>0</v>
      </c>
      <c r="AI29" s="87" t="str">
        <f t="shared" si="3"/>
        <v/>
      </c>
    </row>
    <row r="30" spans="1:35" ht="18" customHeight="1" thickBot="1" x14ac:dyDescent="0.4">
      <c r="B30" s="33"/>
      <c r="D30" s="39" t="s">
        <v>24</v>
      </c>
      <c r="E30" s="73">
        <v>508</v>
      </c>
      <c r="F30" s="22" t="s">
        <v>57</v>
      </c>
      <c r="G30" s="146" t="s">
        <v>141</v>
      </c>
      <c r="I30" s="66">
        <f>Calculations!L12</f>
        <v>169.99999999999991</v>
      </c>
      <c r="J30" s="33"/>
      <c r="K30" s="33"/>
      <c r="S30" s="16"/>
      <c r="T30" s="16">
        <v>390</v>
      </c>
      <c r="U30" s="19">
        <f t="shared" si="0"/>
        <v>0</v>
      </c>
      <c r="V30" s="2"/>
      <c r="W30" s="16">
        <v>390</v>
      </c>
      <c r="X30" s="19">
        <f>Calculations!$C$11*Calculations!$C40*Calculations!$M40*Spectra!$C$9</f>
        <v>9.5454793296280264E-4</v>
      </c>
      <c r="Y30" s="19">
        <f>Calculations!$C$11*Calculations!$C40</f>
        <v>1.1646483282152789</v>
      </c>
      <c r="Z30" s="20">
        <f>Calculations!$C$11*Calculations!$C40*$W30*Spectra!$C$10</f>
        <v>2286560623477.0679</v>
      </c>
      <c r="AA30" s="2"/>
      <c r="AB30" s="16">
        <v>390</v>
      </c>
      <c r="AC30" s="2">
        <f>Calculations!$C$11*Calculations!$C40</f>
        <v>1.1646483282152789</v>
      </c>
      <c r="AD30" s="2">
        <f>HLOOKUP($N$4,Calculations!$I$21:$O$118,ROW()-10,FALSE)*5</f>
        <v>5.6518526141693792E-3</v>
      </c>
      <c r="AE30" s="2">
        <f t="shared" si="2"/>
        <v>0.15217236959801511</v>
      </c>
      <c r="AG30" s="2">
        <f t="shared" si="1"/>
        <v>390</v>
      </c>
      <c r="AH30" s="60">
        <v>0</v>
      </c>
      <c r="AI30" s="87" t="str">
        <f t="shared" si="3"/>
        <v/>
      </c>
    </row>
    <row r="31" spans="1:35" ht="15.75" x14ac:dyDescent="0.25">
      <c r="I31" s="41"/>
      <c r="K31" s="33"/>
      <c r="S31" s="16"/>
      <c r="T31" s="16">
        <v>395</v>
      </c>
      <c r="U31" s="19">
        <f t="shared" si="0"/>
        <v>0</v>
      </c>
      <c r="V31" s="2"/>
      <c r="W31" s="16">
        <v>395</v>
      </c>
      <c r="X31" s="19">
        <f>Calculations!$C$11*Calculations!$C41*Calculations!$M41*Spectra!$C$9</f>
        <v>1.7261408454410678E-3</v>
      </c>
      <c r="Y31" s="19">
        <f>Calculations!$C$11*Calculations!$C41</f>
        <v>1.1646483282152789</v>
      </c>
      <c r="Z31" s="20">
        <f>Calculations!$C$11*Calculations!$C41*$W31*Spectra!$C$10</f>
        <v>2315875503265.2354</v>
      </c>
      <c r="AA31" s="2"/>
      <c r="AB31" s="16">
        <v>395</v>
      </c>
      <c r="AC31" s="2">
        <f>Calculations!$C$11*Calculations!$C41</f>
        <v>1.1646483282152789</v>
      </c>
      <c r="AD31" s="2">
        <f>HLOOKUP($N$4,Calculations!$I$21:$O$118,ROW()-10,FALSE)*5</f>
        <v>5.6832748535029839E-3</v>
      </c>
      <c r="AE31" s="2">
        <f t="shared" si="2"/>
        <v>0.15301839247651036</v>
      </c>
      <c r="AG31" s="2">
        <f t="shared" si="1"/>
        <v>395</v>
      </c>
      <c r="AH31" s="60">
        <v>0</v>
      </c>
      <c r="AI31" s="87" t="str">
        <f t="shared" si="3"/>
        <v/>
      </c>
    </row>
    <row r="32" spans="1:35" ht="15.75" x14ac:dyDescent="0.25">
      <c r="A32" s="11" t="s">
        <v>100</v>
      </c>
      <c r="B32" s="75" t="s">
        <v>145</v>
      </c>
      <c r="I32" s="27"/>
      <c r="K32" s="33"/>
      <c r="S32" s="16"/>
      <c r="T32" s="16">
        <v>400</v>
      </c>
      <c r="U32" s="19">
        <f t="shared" si="0"/>
        <v>0</v>
      </c>
      <c r="V32" s="2"/>
      <c r="W32" s="16">
        <v>400</v>
      </c>
      <c r="X32" s="19">
        <f>Calculations!$C$11*Calculations!$C42*Calculations!$M42*Spectra!$C$9</f>
        <v>3.1500081787772484E-3</v>
      </c>
      <c r="Y32" s="19">
        <f>Calculations!$C$11*Calculations!$C42</f>
        <v>1.1646483282152789</v>
      </c>
      <c r="Z32" s="20">
        <f>Calculations!$C$11*Calculations!$C42*$W32*Spectra!$C$10</f>
        <v>2345190383053.4033</v>
      </c>
      <c r="AA32" s="2"/>
      <c r="AB32" s="16">
        <v>400</v>
      </c>
      <c r="AC32" s="2">
        <f>Calculations!$C$11*Calculations!$C42</f>
        <v>1.1646483282152789</v>
      </c>
      <c r="AD32" s="2">
        <f>HLOOKUP($N$4,Calculations!$I$21:$O$118,ROW()-10,FALSE)*5</f>
        <v>5.7947307574296985E-3</v>
      </c>
      <c r="AE32" s="2">
        <f t="shared" si="2"/>
        <v>0.15601926850142589</v>
      </c>
      <c r="AG32" s="2">
        <f t="shared" si="1"/>
        <v>400</v>
      </c>
      <c r="AH32" s="60">
        <v>0</v>
      </c>
      <c r="AI32" s="87" t="str">
        <f t="shared" si="3"/>
        <v/>
      </c>
    </row>
    <row r="33" spans="1:35" ht="16.5" thickBot="1" x14ac:dyDescent="0.3">
      <c r="D33" s="12" t="s">
        <v>50</v>
      </c>
      <c r="E33" s="12"/>
      <c r="F33" s="12" t="s">
        <v>49</v>
      </c>
      <c r="G33" s="33"/>
      <c r="H33" s="30"/>
      <c r="I33" s="30" t="s">
        <v>104</v>
      </c>
      <c r="K33" s="33"/>
      <c r="S33" s="16"/>
      <c r="T33" s="16">
        <v>405</v>
      </c>
      <c r="U33" s="19">
        <f t="shared" si="0"/>
        <v>0</v>
      </c>
      <c r="V33" s="2"/>
      <c r="W33" s="16">
        <v>405</v>
      </c>
      <c r="X33" s="19">
        <f>Calculations!$C$11*Calculations!$C43*Calculations!$M43*Spectra!$C$9</f>
        <v>5.0909223091349471E-3</v>
      </c>
      <c r="Y33" s="19">
        <f>Calculations!$C$11*Calculations!$C43</f>
        <v>1.1646483282152789</v>
      </c>
      <c r="Z33" s="20">
        <f>Calculations!$C$11*Calculations!$C43*$W33*Spectra!$C$10</f>
        <v>2374505262841.5708</v>
      </c>
      <c r="AA33" s="2"/>
      <c r="AB33" s="16">
        <v>405</v>
      </c>
      <c r="AC33" s="2">
        <f>Calculations!$C$11*Calculations!$C43</f>
        <v>1.1646483282152789</v>
      </c>
      <c r="AD33" s="2">
        <f>HLOOKUP($N$4,Calculations!$I$21:$O$118,ROW()-10,FALSE)*5</f>
        <v>6.0149567884049439E-3</v>
      </c>
      <c r="AE33" s="2">
        <f t="shared" si="2"/>
        <v>0.16194870779654347</v>
      </c>
      <c r="AG33" s="2">
        <f t="shared" si="1"/>
        <v>405</v>
      </c>
      <c r="AH33" s="60">
        <v>0</v>
      </c>
      <c r="AI33" s="87" t="str">
        <f t="shared" si="3"/>
        <v/>
      </c>
    </row>
    <row r="34" spans="1:35" ht="15.75" x14ac:dyDescent="0.25">
      <c r="A34" s="11"/>
      <c r="D34" s="17" t="s">
        <v>125</v>
      </c>
      <c r="F34" s="17" t="s">
        <v>118</v>
      </c>
      <c r="H34" s="30"/>
      <c r="I34" s="67">
        <f>Spectra!L6</f>
        <v>112.97088783688204</v>
      </c>
      <c r="K34" s="33"/>
      <c r="S34" s="16"/>
      <c r="T34" s="16">
        <v>410</v>
      </c>
      <c r="U34" s="19">
        <f t="shared" si="0"/>
        <v>0</v>
      </c>
      <c r="V34" s="2"/>
      <c r="W34" s="16">
        <v>410</v>
      </c>
      <c r="X34" s="19">
        <f>Calculations!$C$11*Calculations!$C44*Calculations!$M44*Spectra!$C$9</f>
        <v>9.6250249907082596E-3</v>
      </c>
      <c r="Y34" s="19">
        <f>Calculations!$C$11*Calculations!$C44</f>
        <v>1.1646483282152789</v>
      </c>
      <c r="Z34" s="20">
        <f>Calculations!$C$11*Calculations!$C44*$W34*Spectra!$C$10</f>
        <v>2403820142629.7383</v>
      </c>
      <c r="AA34" s="2"/>
      <c r="AB34" s="16">
        <v>410</v>
      </c>
      <c r="AC34" s="2">
        <f>Calculations!$C$11*Calculations!$C44</f>
        <v>1.1646483282152789</v>
      </c>
      <c r="AD34" s="2">
        <f>HLOOKUP($N$4,Calculations!$I$21:$O$118,ROW()-10,FALSE)*5</f>
        <v>6.3786772405521729E-3</v>
      </c>
      <c r="AE34" s="2">
        <f t="shared" si="2"/>
        <v>0.17174163886763077</v>
      </c>
      <c r="AG34" s="2">
        <f t="shared" si="1"/>
        <v>410</v>
      </c>
      <c r="AH34" s="60">
        <v>0</v>
      </c>
      <c r="AI34" s="87" t="str">
        <f t="shared" si="3"/>
        <v/>
      </c>
    </row>
    <row r="35" spans="1:35" ht="15.75" x14ac:dyDescent="0.25">
      <c r="D35" s="42" t="s">
        <v>102</v>
      </c>
      <c r="F35" s="90" t="s">
        <v>117</v>
      </c>
      <c r="H35" s="30"/>
      <c r="I35" s="43">
        <f>Spectra!L7</f>
        <v>307102680660843.56</v>
      </c>
      <c r="K35" s="33"/>
      <c r="S35" s="16"/>
      <c r="T35" s="16">
        <v>415</v>
      </c>
      <c r="U35" s="19">
        <f t="shared" si="0"/>
        <v>0</v>
      </c>
      <c r="V35" s="2"/>
      <c r="W35" s="16">
        <v>415</v>
      </c>
      <c r="X35" s="19">
        <f>Calculations!$C$11*Calculations!$C45*Calculations!$M45*Spectra!$C$9</f>
        <v>1.7340954115490914E-2</v>
      </c>
      <c r="Y35" s="19">
        <f>Calculations!$C$11*Calculations!$C45</f>
        <v>1.1646483282152789</v>
      </c>
      <c r="Z35" s="20">
        <f>Calculations!$C$11*Calculations!$C45*$W35*Spectra!$C$10</f>
        <v>2433135022417.9058</v>
      </c>
      <c r="AA35" s="2"/>
      <c r="AB35" s="16">
        <v>415</v>
      </c>
      <c r="AC35" s="2">
        <f>Calculations!$C$11*Calculations!$C45</f>
        <v>1.1646483282152789</v>
      </c>
      <c r="AD35" s="2">
        <f>HLOOKUP($N$4,Calculations!$I$21:$O$118,ROW()-10,FALSE)*5</f>
        <v>6.9193731290019336E-3</v>
      </c>
      <c r="AE35" s="2">
        <f t="shared" si="2"/>
        <v>0.18629951576113432</v>
      </c>
      <c r="AG35" s="2">
        <f t="shared" si="1"/>
        <v>415</v>
      </c>
      <c r="AH35" s="60">
        <v>0</v>
      </c>
      <c r="AI35" s="87" t="str">
        <f t="shared" si="3"/>
        <v/>
      </c>
    </row>
    <row r="36" spans="1:35" ht="16.5" thickBot="1" x14ac:dyDescent="0.3">
      <c r="D36" s="90" t="s">
        <v>103</v>
      </c>
      <c r="F36" s="90" t="s">
        <v>119</v>
      </c>
      <c r="H36" s="30"/>
      <c r="I36" s="68">
        <f>LOG(Spectra!L7,10)</f>
        <v>14.487283607361762</v>
      </c>
      <c r="K36" s="33"/>
      <c r="S36" s="16"/>
      <c r="T36" s="16">
        <v>420</v>
      </c>
      <c r="U36" s="19">
        <f t="shared" si="0"/>
        <v>0</v>
      </c>
      <c r="V36" s="2"/>
      <c r="W36" s="16">
        <v>420</v>
      </c>
      <c r="X36" s="19">
        <f>Calculations!$C$11*Calculations!$C46*Calculations!$M46*Spectra!$C$9</f>
        <v>3.1818264432093415E-2</v>
      </c>
      <c r="Y36" s="19">
        <f>Calculations!$C$11*Calculations!$C46</f>
        <v>1.1646483282152789</v>
      </c>
      <c r="Z36" s="20">
        <f>Calculations!$C$11*Calculations!$C46*$W36*Spectra!$C$10</f>
        <v>2462449902206.0732</v>
      </c>
      <c r="AA36" s="2"/>
      <c r="AB36" s="16">
        <v>420</v>
      </c>
      <c r="AC36" s="2">
        <f>Calculations!$C$11*Calculations!$C46</f>
        <v>1.1646483282152789</v>
      </c>
      <c r="AD36" s="2">
        <f>HLOOKUP($N$4,Calculations!$I$21:$O$118,ROW()-10,FALSE)*5</f>
        <v>7.6650440795001887E-3</v>
      </c>
      <c r="AE36" s="2">
        <f t="shared" si="2"/>
        <v>0.20637620976289395</v>
      </c>
      <c r="AG36" s="2">
        <f t="shared" si="1"/>
        <v>420</v>
      </c>
      <c r="AH36" s="60">
        <v>0</v>
      </c>
      <c r="AI36" s="87" t="str">
        <f t="shared" si="3"/>
        <v/>
      </c>
    </row>
    <row r="37" spans="1:35" x14ac:dyDescent="0.25">
      <c r="S37" s="16"/>
      <c r="T37" s="16">
        <v>425</v>
      </c>
      <c r="U37" s="19">
        <f t="shared" si="0"/>
        <v>0</v>
      </c>
      <c r="V37" s="2"/>
      <c r="W37" s="16">
        <v>425</v>
      </c>
      <c r="X37" s="19">
        <f>Calculations!$C$11*Calculations!$C47*Calculations!$M47*Spectra!$C$9</f>
        <v>5.8068332588570491E-2</v>
      </c>
      <c r="Y37" s="19">
        <f>Calculations!$C$11*Calculations!$C47</f>
        <v>1.1646483282152789</v>
      </c>
      <c r="Z37" s="20">
        <f>Calculations!$C$11*Calculations!$C47*$W37*Spectra!$C$10</f>
        <v>2491764781994.2407</v>
      </c>
      <c r="AA37" s="2"/>
      <c r="AB37" s="16">
        <v>425</v>
      </c>
      <c r="AC37" s="2">
        <f>Calculations!$C$11*Calculations!$C47</f>
        <v>1.1646483282152789</v>
      </c>
      <c r="AD37" s="2">
        <f>HLOOKUP($N$4,Calculations!$I$21:$O$118,ROW()-10,FALSE)*5</f>
        <v>8.6392640829402734E-3</v>
      </c>
      <c r="AE37" s="2">
        <f t="shared" si="2"/>
        <v>0.23260643488617438</v>
      </c>
      <c r="AG37" s="2">
        <f t="shared" si="1"/>
        <v>425</v>
      </c>
      <c r="AH37" s="60">
        <v>0</v>
      </c>
      <c r="AI37" s="87" t="str">
        <f t="shared" si="3"/>
        <v/>
      </c>
    </row>
    <row r="38" spans="1:35" x14ac:dyDescent="0.25">
      <c r="S38" s="16"/>
      <c r="T38" s="16">
        <v>430</v>
      </c>
      <c r="U38" s="19">
        <f t="shared" si="0"/>
        <v>0</v>
      </c>
      <c r="V38" s="2"/>
      <c r="W38" s="16">
        <v>430</v>
      </c>
      <c r="X38" s="19">
        <f>Calculations!$C$11*Calculations!$C48*Calculations!$M48*Spectra!$C$9</f>
        <v>9.2272966853070904E-2</v>
      </c>
      <c r="Y38" s="19">
        <f>Calculations!$C$11*Calculations!$C48</f>
        <v>1.1646483282152789</v>
      </c>
      <c r="Z38" s="20">
        <f>Calculations!$C$11*Calculations!$C48*$W38*Spectra!$C$10</f>
        <v>2521079661782.4082</v>
      </c>
      <c r="AA38" s="2"/>
      <c r="AB38" s="16">
        <v>430</v>
      </c>
      <c r="AC38" s="2">
        <f>Calculations!$C$11*Calculations!$C48</f>
        <v>1.1646483282152789</v>
      </c>
      <c r="AD38" s="2">
        <f>HLOOKUP($N$4,Calculations!$I$21:$O$118,ROW()-10,FALSE)*5</f>
        <v>9.8645816430951265E-3</v>
      </c>
      <c r="AE38" s="2">
        <f t="shared" si="2"/>
        <v>0.26559729458611819</v>
      </c>
      <c r="AG38" s="2">
        <f t="shared" si="1"/>
        <v>430</v>
      </c>
      <c r="AH38" s="60">
        <v>0</v>
      </c>
      <c r="AI38" s="87" t="str">
        <f t="shared" si="3"/>
        <v/>
      </c>
    </row>
    <row r="39" spans="1:35" x14ac:dyDescent="0.25">
      <c r="S39" s="16"/>
      <c r="T39" s="16">
        <v>435</v>
      </c>
      <c r="U39" s="19">
        <f t="shared" si="0"/>
        <v>0</v>
      </c>
      <c r="V39" s="2"/>
      <c r="W39" s="16">
        <v>435</v>
      </c>
      <c r="X39" s="19">
        <f>Calculations!$C$11*Calculations!$C49*Calculations!$M49*Spectra!$C$9</f>
        <v>0.13395489325911331</v>
      </c>
      <c r="Y39" s="19">
        <f>Calculations!$C$11*Calculations!$C49</f>
        <v>1.1646483282152789</v>
      </c>
      <c r="Z39" s="20">
        <f>Calculations!$C$11*Calculations!$C49*$W39*Spectra!$C$10</f>
        <v>2550394541570.5757</v>
      </c>
      <c r="AA39" s="2"/>
      <c r="AB39" s="16">
        <v>435</v>
      </c>
      <c r="AC39" s="2">
        <f>Calculations!$C$11*Calculations!$C49</f>
        <v>1.1646483282152789</v>
      </c>
      <c r="AD39" s="2">
        <f>HLOOKUP($N$4,Calculations!$I$21:$O$118,ROW()-10,FALSE)*5</f>
        <v>1.1357028883843745E-2</v>
      </c>
      <c r="AE39" s="2">
        <f t="shared" si="2"/>
        <v>0.30578044312671643</v>
      </c>
      <c r="AG39" s="2">
        <f t="shared" si="1"/>
        <v>435</v>
      </c>
      <c r="AH39" s="60">
        <v>0</v>
      </c>
      <c r="AI39" s="87" t="str">
        <f t="shared" si="3"/>
        <v/>
      </c>
    </row>
    <row r="40" spans="1:35" x14ac:dyDescent="0.25">
      <c r="S40" s="16"/>
      <c r="T40" s="16">
        <v>440</v>
      </c>
      <c r="U40" s="19">
        <f t="shared" si="0"/>
        <v>0</v>
      </c>
      <c r="V40" s="2"/>
      <c r="W40" s="16">
        <v>440</v>
      </c>
      <c r="X40" s="19">
        <f>Calculations!$C$11*Calculations!$C50*Calculations!$M50*Spectra!$C$9</f>
        <v>0.18295502048453716</v>
      </c>
      <c r="Y40" s="19">
        <f>Calculations!$C$11*Calculations!$C50</f>
        <v>1.1646483282152789</v>
      </c>
      <c r="Z40" s="20">
        <f>Calculations!$C$11*Calculations!$C50*$W40*Spectra!$C$10</f>
        <v>2579709421358.7437</v>
      </c>
      <c r="AA40" s="2"/>
      <c r="AB40" s="16">
        <v>440</v>
      </c>
      <c r="AC40" s="2">
        <f>Calculations!$C$11*Calculations!$C50</f>
        <v>1.1646483282152789</v>
      </c>
      <c r="AD40" s="2">
        <f>HLOOKUP($N$4,Calculations!$I$21:$O$118,ROW()-10,FALSE)*5</f>
        <v>1.3108547748391396E-2</v>
      </c>
      <c r="AE40" s="2">
        <f t="shared" si="2"/>
        <v>0.35293892269244936</v>
      </c>
      <c r="AG40" s="2">
        <f t="shared" si="1"/>
        <v>440</v>
      </c>
      <c r="AH40" s="60">
        <v>0</v>
      </c>
      <c r="AI40" s="87" t="str">
        <f t="shared" si="3"/>
        <v/>
      </c>
    </row>
    <row r="41" spans="1:35" x14ac:dyDescent="0.25">
      <c r="S41" s="16"/>
      <c r="T41" s="16">
        <v>445</v>
      </c>
      <c r="U41" s="19">
        <f t="shared" si="0"/>
        <v>0</v>
      </c>
      <c r="V41" s="2"/>
      <c r="W41" s="16">
        <v>445</v>
      </c>
      <c r="X41" s="19">
        <f>Calculations!$C$11*Calculations!$C51*Calculations!$M51*Spectra!$C$9</f>
        <v>0.23704607001909597</v>
      </c>
      <c r="Y41" s="19">
        <f>Calculations!$C$11*Calculations!$C51</f>
        <v>1.1646483282152789</v>
      </c>
      <c r="Z41" s="20">
        <f>Calculations!$C$11*Calculations!$C51*$W41*Spectra!$C$10</f>
        <v>2609024301146.9111</v>
      </c>
      <c r="AA41" s="2"/>
      <c r="AB41" s="16">
        <v>445</v>
      </c>
      <c r="AC41" s="2">
        <f>Calculations!$C$11*Calculations!$C51</f>
        <v>1.1646483282152789</v>
      </c>
      <c r="AD41" s="2">
        <f>HLOOKUP($N$4,Calculations!$I$21:$O$118,ROW()-10,FALSE)*5</f>
        <v>1.5095476253734889E-2</v>
      </c>
      <c r="AE41" s="2">
        <f t="shared" si="2"/>
        <v>0.40643565014106436</v>
      </c>
      <c r="AG41" s="2">
        <f t="shared" si="1"/>
        <v>445</v>
      </c>
      <c r="AH41" s="60">
        <v>0</v>
      </c>
      <c r="AI41" s="87" t="str">
        <f t="shared" si="3"/>
        <v/>
      </c>
    </row>
    <row r="42" spans="1:35" x14ac:dyDescent="0.25">
      <c r="S42" s="16"/>
      <c r="T42" s="16">
        <v>450</v>
      </c>
      <c r="U42" s="19">
        <f t="shared" si="0"/>
        <v>0</v>
      </c>
      <c r="V42" s="2"/>
      <c r="W42" s="16">
        <v>450</v>
      </c>
      <c r="X42" s="19">
        <f>Calculations!$C$11*Calculations!$C52*Calculations!$M52*Spectra!$C$9</f>
        <v>0.30227351210488745</v>
      </c>
      <c r="Y42" s="19">
        <f>Calculations!$C$11*Calculations!$C52</f>
        <v>1.1646483282152789</v>
      </c>
      <c r="Z42" s="20">
        <f>Calculations!$C$11*Calculations!$C52*$W42*Spectra!$C$10</f>
        <v>2638339180935.0786</v>
      </c>
      <c r="AA42" s="2"/>
      <c r="AB42" s="16">
        <v>450</v>
      </c>
      <c r="AC42" s="2">
        <f>Calculations!$C$11*Calculations!$C52</f>
        <v>1.1646483282152789</v>
      </c>
      <c r="AD42" s="2">
        <f>HLOOKUP($N$4,Calculations!$I$21:$O$118,ROW()-10,FALSE)*5</f>
        <v>1.7300500865659228E-2</v>
      </c>
      <c r="AE42" s="2">
        <f t="shared" si="2"/>
        <v>0.46580447008821785</v>
      </c>
      <c r="AG42" s="2">
        <f t="shared" si="1"/>
        <v>450</v>
      </c>
      <c r="AH42" s="60">
        <v>0</v>
      </c>
      <c r="AI42" s="87" t="str">
        <f t="shared" si="3"/>
        <v/>
      </c>
    </row>
    <row r="43" spans="1:35" x14ac:dyDescent="0.25">
      <c r="S43" s="16"/>
      <c r="T43" s="16">
        <v>455</v>
      </c>
      <c r="U43" s="19">
        <f t="shared" si="0"/>
        <v>0</v>
      </c>
      <c r="V43" s="2"/>
      <c r="W43" s="16">
        <v>455</v>
      </c>
      <c r="X43" s="19">
        <f>Calculations!$C$11*Calculations!$C53*Calculations!$M53*Spectra!$C$9</f>
        <v>0.38181917318512104</v>
      </c>
      <c r="Y43" s="19">
        <f>Calculations!$C$11*Calculations!$C53</f>
        <v>1.1646483282152789</v>
      </c>
      <c r="Z43" s="20">
        <f>Calculations!$C$11*Calculations!$C53*$W43*Spectra!$C$10</f>
        <v>2667654060723.2461</v>
      </c>
      <c r="AA43" s="2"/>
      <c r="AB43" s="16">
        <v>455</v>
      </c>
      <c r="AC43" s="2">
        <f>Calculations!$C$11*Calculations!$C53</f>
        <v>1.1646483282152789</v>
      </c>
      <c r="AD43" s="2">
        <f>HLOOKUP($N$4,Calculations!$I$21:$O$118,ROW()-10,FALSE)*5</f>
        <v>1.9703045954270811E-2</v>
      </c>
      <c r="AE43" s="2">
        <f t="shared" si="2"/>
        <v>0.53049139739476581</v>
      </c>
      <c r="AG43" s="2">
        <f t="shared" si="1"/>
        <v>455</v>
      </c>
      <c r="AH43" s="60">
        <v>0</v>
      </c>
      <c r="AI43" s="87" t="str">
        <f t="shared" si="3"/>
        <v/>
      </c>
    </row>
    <row r="44" spans="1:35" x14ac:dyDescent="0.25">
      <c r="S44" s="16"/>
      <c r="T44" s="16">
        <v>460</v>
      </c>
      <c r="U44" s="19">
        <f t="shared" ref="U44:U75" si="4">VLOOKUP($T44,$AG$12:$AI$496,IF($D$6="1nm spectral data",3,2),0)</f>
        <v>0</v>
      </c>
      <c r="V44" s="2"/>
      <c r="W44" s="16">
        <v>460</v>
      </c>
      <c r="X44" s="19">
        <f>Calculations!$C$11*Calculations!$C54*Calculations!$M54*Spectra!$C$9</f>
        <v>0.4772739664814013</v>
      </c>
      <c r="Y44" s="19">
        <f>Calculations!$C$11*Calculations!$C54</f>
        <v>1.1646483282152789</v>
      </c>
      <c r="Z44" s="20">
        <f>Calculations!$C$11*Calculations!$C54*$W44*Spectra!$C$10</f>
        <v>2696968940511.4136</v>
      </c>
      <c r="AA44" s="2"/>
      <c r="AB44" s="16">
        <v>460</v>
      </c>
      <c r="AC44" s="2">
        <f>Calculations!$C$11*Calculations!$C54</f>
        <v>1.1646483282152789</v>
      </c>
      <c r="AD44" s="2">
        <f>HLOOKUP($N$4,Calculations!$I$21:$O$118,ROW()-10,FALSE)*5</f>
        <v>2.2263937171238778E-2</v>
      </c>
      <c r="AE44" s="2">
        <f t="shared" si="2"/>
        <v>0.5994416888074926</v>
      </c>
      <c r="AG44" s="2">
        <f t="shared" si="1"/>
        <v>460</v>
      </c>
      <c r="AH44" s="60">
        <v>0</v>
      </c>
      <c r="AI44" s="87" t="str">
        <f t="shared" si="3"/>
        <v/>
      </c>
    </row>
    <row r="45" spans="1:35" ht="15.75" x14ac:dyDescent="0.25">
      <c r="A45" s="11"/>
      <c r="B45" s="8"/>
      <c r="C45" s="33"/>
      <c r="D45" s="33"/>
      <c r="E45" s="33"/>
      <c r="F45" s="33"/>
      <c r="G45" s="33"/>
      <c r="H45" s="33"/>
      <c r="S45" s="16"/>
      <c r="T45" s="16">
        <v>465</v>
      </c>
      <c r="U45" s="19">
        <f t="shared" si="4"/>
        <v>0</v>
      </c>
      <c r="V45" s="2"/>
      <c r="W45" s="16">
        <v>465</v>
      </c>
      <c r="X45" s="19">
        <f>Calculations!$C$11*Calculations!$C55*Calculations!$M55*Spectra!$C$9</f>
        <v>0.58784243538292591</v>
      </c>
      <c r="Y45" s="19">
        <f>Calculations!$C$11*Calculations!$C55</f>
        <v>1.1646483282152789</v>
      </c>
      <c r="Z45" s="20">
        <f>Calculations!$C$11*Calculations!$C55*$W45*Spectra!$C$10</f>
        <v>2726283820299.5815</v>
      </c>
      <c r="AA45" s="2"/>
      <c r="AB45" s="16">
        <v>465</v>
      </c>
      <c r="AC45" s="2">
        <f>Calculations!$C$11*Calculations!$C55</f>
        <v>1.1646483282152789</v>
      </c>
      <c r="AD45" s="2">
        <f>HLOOKUP($N$4,Calculations!$I$21:$O$118,ROW()-10,FALSE)*5</f>
        <v>2.4932404778660482E-2</v>
      </c>
      <c r="AE45" s="2">
        <f t="shared" si="2"/>
        <v>0.67128840292719261</v>
      </c>
      <c r="AG45" s="2">
        <f t="shared" si="1"/>
        <v>465</v>
      </c>
      <c r="AH45" s="60">
        <v>0</v>
      </c>
      <c r="AI45" s="87" t="str">
        <f t="shared" si="3"/>
        <v/>
      </c>
    </row>
    <row r="46" spans="1:35" ht="15.75" x14ac:dyDescent="0.25">
      <c r="A46" s="11"/>
      <c r="B46" s="33"/>
      <c r="C46" s="13"/>
      <c r="E46" s="9"/>
      <c r="F46" s="24"/>
      <c r="G46" s="44"/>
      <c r="H46" s="45"/>
      <c r="S46" s="16"/>
      <c r="T46" s="16">
        <v>470</v>
      </c>
      <c r="U46" s="19">
        <f t="shared" si="4"/>
        <v>0</v>
      </c>
      <c r="V46" s="2"/>
      <c r="W46" s="16">
        <v>470</v>
      </c>
      <c r="X46" s="19">
        <f>Calculations!$C$11*Calculations!$C56*Calculations!$M56*Spectra!$C$9</f>
        <v>0.72370642450796485</v>
      </c>
      <c r="Y46" s="19">
        <f>Calculations!$C$11*Calculations!$C56</f>
        <v>1.1646483282152789</v>
      </c>
      <c r="Z46" s="20">
        <f>Calculations!$C$11*Calculations!$C56*$W46*Spectra!$C$10</f>
        <v>2755598700087.749</v>
      </c>
      <c r="AA46" s="2"/>
      <c r="AB46" s="16">
        <v>470</v>
      </c>
      <c r="AC46" s="2">
        <f>Calculations!$C$11*Calculations!$C56</f>
        <v>1.1646483282152789</v>
      </c>
      <c r="AD46" s="2">
        <f>HLOOKUP($N$4,Calculations!$I$21:$O$118,ROW()-10,FALSE)*5</f>
        <v>2.7654015951642859E-2</v>
      </c>
      <c r="AE46" s="2">
        <f t="shared" si="2"/>
        <v>0.74456597217570142</v>
      </c>
      <c r="AG46" s="2">
        <f t="shared" si="1"/>
        <v>470</v>
      </c>
      <c r="AH46" s="60">
        <v>0</v>
      </c>
      <c r="AI46" s="87" t="str">
        <f t="shared" ref="AI46:AI77" si="5">IF(AND($D$6="1nm spectral data",$AG46&lt;&gt;""),IF($AG46/5=INT($AG46/5),SUM($AH44:$AH48),""),"")</f>
        <v/>
      </c>
    </row>
    <row r="47" spans="1:35" ht="15.75" x14ac:dyDescent="0.25">
      <c r="A47" s="11"/>
      <c r="B47" s="46"/>
      <c r="E47" s="47"/>
      <c r="F47" s="48"/>
      <c r="G47" s="49"/>
      <c r="H47" s="50"/>
      <c r="S47" s="16"/>
      <c r="T47" s="16">
        <v>475</v>
      </c>
      <c r="U47" s="19">
        <f t="shared" si="4"/>
        <v>0</v>
      </c>
      <c r="V47" s="2"/>
      <c r="W47" s="16">
        <v>475</v>
      </c>
      <c r="X47" s="19">
        <f>Calculations!$C$11*Calculations!$C57*Calculations!$M57*Spectra!$C$9</f>
        <v>0.89568414376342986</v>
      </c>
      <c r="Y47" s="19">
        <f>Calculations!$C$11*Calculations!$C57</f>
        <v>1.1646483282152789</v>
      </c>
      <c r="Z47" s="20">
        <f>Calculations!$C$11*Calculations!$C57*$W47*Spectra!$C$10</f>
        <v>2784913579875.9165</v>
      </c>
      <c r="AA47" s="2"/>
      <c r="AB47" s="16">
        <v>475</v>
      </c>
      <c r="AC47" s="2">
        <f>Calculations!$C$11*Calculations!$C57</f>
        <v>1.1646483282152789</v>
      </c>
      <c r="AD47" s="2">
        <f>HLOOKUP($N$4,Calculations!$I$21:$O$118,ROW()-10,FALSE)*5</f>
        <v>3.0365346468539393E-2</v>
      </c>
      <c r="AE47" s="2">
        <f t="shared" si="2"/>
        <v>0.81756674160220422</v>
      </c>
      <c r="AG47" s="2">
        <f t="shared" si="1"/>
        <v>475</v>
      </c>
      <c r="AH47" s="60">
        <v>0</v>
      </c>
      <c r="AI47" s="87" t="str">
        <f t="shared" si="5"/>
        <v/>
      </c>
    </row>
    <row r="48" spans="1:35" ht="15.75" x14ac:dyDescent="0.25">
      <c r="A48" s="11"/>
      <c r="B48" s="23"/>
      <c r="E48" s="51"/>
      <c r="F48" s="52"/>
      <c r="G48" s="49"/>
      <c r="H48" s="50"/>
      <c r="S48" s="16"/>
      <c r="T48" s="16">
        <v>480</v>
      </c>
      <c r="U48" s="19">
        <f t="shared" si="4"/>
        <v>0</v>
      </c>
      <c r="V48" s="2"/>
      <c r="W48" s="16">
        <v>480</v>
      </c>
      <c r="X48" s="19">
        <f>Calculations!$C$11*Calculations!$C58*Calculations!$M58*Spectra!$C$9</f>
        <v>1.1058437803374068</v>
      </c>
      <c r="Y48" s="19">
        <f>Calculations!$C$11*Calculations!$C58</f>
        <v>1.1646483282152789</v>
      </c>
      <c r="Z48" s="20">
        <f>Calculations!$C$11*Calculations!$C58*$W48*Spectra!$C$10</f>
        <v>2814228459664.084</v>
      </c>
      <c r="AA48" s="2"/>
      <c r="AB48" s="16">
        <v>480</v>
      </c>
      <c r="AC48" s="2">
        <f>Calculations!$C$11*Calculations!$C58</f>
        <v>1.1646483282152789</v>
      </c>
      <c r="AD48" s="2">
        <f>HLOOKUP($N$4,Calculations!$I$21:$O$118,ROW()-10,FALSE)*5</f>
        <v>3.2976941472072599E-2</v>
      </c>
      <c r="AE48" s="2">
        <f t="shared" si="2"/>
        <v>0.88788219871827589</v>
      </c>
      <c r="AG48" s="2">
        <f t="shared" si="1"/>
        <v>480</v>
      </c>
      <c r="AH48" s="60">
        <v>0</v>
      </c>
      <c r="AI48" s="87" t="str">
        <f t="shared" si="5"/>
        <v/>
      </c>
    </row>
    <row r="49" spans="1:35" x14ac:dyDescent="0.25">
      <c r="S49" s="16"/>
      <c r="T49" s="16">
        <v>485</v>
      </c>
      <c r="U49" s="19">
        <f t="shared" si="4"/>
        <v>0</v>
      </c>
      <c r="V49" s="2"/>
      <c r="W49" s="16">
        <v>485</v>
      </c>
      <c r="X49" s="19">
        <f>Calculations!$C$11*Calculations!$C59*Calculations!$M59*Spectra!$C$9</f>
        <v>1.3467080420883539</v>
      </c>
      <c r="Y49" s="19">
        <f>Calculations!$C$11*Calculations!$C59</f>
        <v>1.1646483282152789</v>
      </c>
      <c r="Z49" s="20">
        <f>Calculations!$C$11*Calculations!$C59*$W49*Spectra!$C$10</f>
        <v>2843543339452.2515</v>
      </c>
      <c r="AA49" s="2"/>
      <c r="AB49" s="16">
        <v>485</v>
      </c>
      <c r="AC49" s="2">
        <f>Calculations!$C$11*Calculations!$C59</f>
        <v>1.1646483282152789</v>
      </c>
      <c r="AD49" s="2">
        <f>HLOOKUP($N$4,Calculations!$I$21:$O$118,ROW()-10,FALSE)*5</f>
        <v>3.5403009080075855E-2</v>
      </c>
      <c r="AE49" s="2">
        <f t="shared" si="2"/>
        <v>0.95320245420216743</v>
      </c>
      <c r="AG49" s="2">
        <f t="shared" si="1"/>
        <v>485</v>
      </c>
      <c r="AH49" s="60">
        <v>0</v>
      </c>
      <c r="AI49" s="87" t="str">
        <f t="shared" si="5"/>
        <v/>
      </c>
    </row>
    <row r="50" spans="1:35" x14ac:dyDescent="0.25">
      <c r="S50" s="16"/>
      <c r="T50" s="16">
        <v>490</v>
      </c>
      <c r="U50" s="19">
        <f t="shared" si="4"/>
        <v>0</v>
      </c>
      <c r="V50" s="2"/>
      <c r="W50" s="16">
        <v>490</v>
      </c>
      <c r="X50" s="19">
        <f>Calculations!$C$11*Calculations!$C60*Calculations!$M60*Spectra!$C$9</f>
        <v>1.6547088417910183</v>
      </c>
      <c r="Y50" s="19">
        <f>Calculations!$C$11*Calculations!$C60</f>
        <v>1.1646483282152789</v>
      </c>
      <c r="Z50" s="20">
        <f>Calculations!$C$11*Calculations!$C60*$W50*Spectra!$C$10</f>
        <v>2872858219240.4189</v>
      </c>
      <c r="AA50" s="2"/>
      <c r="AB50" s="16">
        <v>490</v>
      </c>
      <c r="AC50" s="2">
        <f>Calculations!$C$11*Calculations!$C60</f>
        <v>1.1646483282152789</v>
      </c>
      <c r="AD50" s="2">
        <f>HLOOKUP($N$4,Calculations!$I$21:$O$118,ROW()-10,FALSE)*5</f>
        <v>3.7636783152152624E-2</v>
      </c>
      <c r="AE50" s="2">
        <f t="shared" si="2"/>
        <v>1.0133453342274432</v>
      </c>
      <c r="AG50" s="2">
        <f t="shared" si="1"/>
        <v>490</v>
      </c>
      <c r="AH50" s="60">
        <v>0</v>
      </c>
      <c r="AI50" s="87" t="str">
        <f t="shared" si="5"/>
        <v/>
      </c>
    </row>
    <row r="51" spans="1:35" x14ac:dyDescent="0.25">
      <c r="S51" s="16"/>
      <c r="T51" s="16">
        <v>495</v>
      </c>
      <c r="U51" s="19">
        <f t="shared" si="4"/>
        <v>0</v>
      </c>
      <c r="V51" s="2"/>
      <c r="W51" s="16">
        <v>495</v>
      </c>
      <c r="X51" s="19">
        <f>Calculations!$C$11*Calculations!$C61*Calculations!$M61*Spectra!$C$9</f>
        <v>2.0570507955348396</v>
      </c>
      <c r="Y51" s="19">
        <f>Calculations!$C$11*Calculations!$C61</f>
        <v>1.1646483282152789</v>
      </c>
      <c r="Z51" s="20">
        <f>Calculations!$C$11*Calculations!$C61*$W51*Spectra!$C$10</f>
        <v>2902173099028.5864</v>
      </c>
      <c r="AA51" s="2"/>
      <c r="AB51" s="16">
        <v>495</v>
      </c>
      <c r="AC51" s="2">
        <f>Calculations!$C$11*Calculations!$C61</f>
        <v>1.1646483282152789</v>
      </c>
      <c r="AD51" s="2">
        <f>HLOOKUP($N$4,Calculations!$I$21:$O$118,ROW()-10,FALSE)*5</f>
        <v>3.9672605986943554E-2</v>
      </c>
      <c r="AE51" s="2">
        <f t="shared" si="2"/>
        <v>1.0681585089509338</v>
      </c>
      <c r="AG51" s="2">
        <f t="shared" si="1"/>
        <v>495</v>
      </c>
      <c r="AH51" s="60">
        <v>0</v>
      </c>
      <c r="AI51" s="87" t="str">
        <f t="shared" si="5"/>
        <v/>
      </c>
    </row>
    <row r="52" spans="1:35" x14ac:dyDescent="0.25">
      <c r="S52" s="16"/>
      <c r="T52" s="16">
        <v>500</v>
      </c>
      <c r="U52" s="19">
        <f t="shared" si="4"/>
        <v>0</v>
      </c>
      <c r="V52" s="2"/>
      <c r="W52" s="16">
        <v>500</v>
      </c>
      <c r="X52" s="19">
        <f>Calculations!$C$11*Calculations!$C62*Calculations!$M62*Spectra!$C$9</f>
        <v>2.5693248528915436</v>
      </c>
      <c r="Y52" s="19">
        <f>Calculations!$C$11*Calculations!$C62</f>
        <v>1.1646483282152789</v>
      </c>
      <c r="Z52" s="20">
        <f>Calculations!$C$11*Calculations!$C62*$W52*Spectra!$C$10</f>
        <v>2931487978816.7539</v>
      </c>
      <c r="AA52" s="2"/>
      <c r="AB52" s="16">
        <v>500</v>
      </c>
      <c r="AC52" s="2">
        <f>Calculations!$C$11*Calculations!$C62</f>
        <v>1.1646483282152789</v>
      </c>
      <c r="AD52" s="2">
        <f>HLOOKUP($N$4,Calculations!$I$21:$O$118,ROW()-10,FALSE)*5</f>
        <v>4.1371306154362318E-2</v>
      </c>
      <c r="AE52" s="2">
        <f t="shared" si="2"/>
        <v>1.113894880254142</v>
      </c>
      <c r="AG52" s="2">
        <f t="shared" si="1"/>
        <v>500</v>
      </c>
      <c r="AH52" s="60">
        <v>0</v>
      </c>
      <c r="AI52" s="87" t="str">
        <f t="shared" si="5"/>
        <v/>
      </c>
    </row>
    <row r="53" spans="1:35" x14ac:dyDescent="0.25">
      <c r="S53" s="16"/>
      <c r="T53" s="16">
        <v>505</v>
      </c>
      <c r="U53" s="19">
        <f t="shared" si="4"/>
        <v>0</v>
      </c>
      <c r="V53" s="2"/>
      <c r="W53" s="16">
        <v>505</v>
      </c>
      <c r="X53" s="19">
        <f>Calculations!$C$11*Calculations!$C63*Calculations!$M63*Spectra!$C$9</f>
        <v>3.2398947757979122</v>
      </c>
      <c r="Y53" s="19">
        <f>Calculations!$C$11*Calculations!$C63</f>
        <v>1.1646483282152789</v>
      </c>
      <c r="Z53" s="20">
        <f>Calculations!$C$11*Calculations!$C63*$W53*Spectra!$C$10</f>
        <v>2960802858604.9219</v>
      </c>
      <c r="AA53" s="2"/>
      <c r="AB53" s="16">
        <v>505</v>
      </c>
      <c r="AC53" s="2">
        <f>Calculations!$C$11*Calculations!$C63</f>
        <v>1.1646483282152789</v>
      </c>
      <c r="AD53" s="2">
        <f>HLOOKUP($N$4,Calculations!$I$21:$O$118,ROW()-10,FALSE)*5</f>
        <v>4.257021596837407E-2</v>
      </c>
      <c r="AE53" s="2">
        <f t="shared" si="2"/>
        <v>1.1461747289669513</v>
      </c>
      <c r="AG53" s="2">
        <f t="shared" si="1"/>
        <v>505</v>
      </c>
      <c r="AH53" s="60">
        <v>0</v>
      </c>
      <c r="AI53" s="87" t="str">
        <f t="shared" si="5"/>
        <v/>
      </c>
    </row>
    <row r="54" spans="1:35" x14ac:dyDescent="0.25">
      <c r="S54" s="16"/>
      <c r="T54" s="16">
        <v>510</v>
      </c>
      <c r="U54" s="19">
        <f t="shared" si="4"/>
        <v>0</v>
      </c>
      <c r="V54" s="2"/>
      <c r="W54" s="16">
        <v>510</v>
      </c>
      <c r="X54" s="19">
        <f>Calculations!$C$11*Calculations!$C64*Calculations!$M64*Spectra!$C$9</f>
        <v>4.0011467523357478</v>
      </c>
      <c r="Y54" s="19">
        <f>Calculations!$C$11*Calculations!$C64</f>
        <v>1.1646483282152789</v>
      </c>
      <c r="Z54" s="20">
        <f>Calculations!$C$11*Calculations!$C64*$W54*Spectra!$C$10</f>
        <v>2990117738393.0894</v>
      </c>
      <c r="AA54" s="2"/>
      <c r="AB54" s="16">
        <v>510</v>
      </c>
      <c r="AC54" s="2">
        <f>Calculations!$C$11*Calculations!$C64</f>
        <v>1.1646483282152789</v>
      </c>
      <c r="AD54" s="2">
        <f>HLOOKUP($N$4,Calculations!$I$21:$O$118,ROW()-10,FALSE)*5</f>
        <v>4.3208564453964746E-2</v>
      </c>
      <c r="AE54" s="2">
        <f t="shared" si="2"/>
        <v>1.1633618370380476</v>
      </c>
      <c r="AG54" s="2">
        <f t="shared" si="1"/>
        <v>510</v>
      </c>
      <c r="AH54" s="60">
        <v>0</v>
      </c>
      <c r="AI54" s="87" t="str">
        <f t="shared" si="5"/>
        <v/>
      </c>
    </row>
    <row r="55" spans="1:35" ht="15.75" x14ac:dyDescent="0.25">
      <c r="A55" s="11"/>
      <c r="B55" s="8"/>
      <c r="S55" s="16"/>
      <c r="T55" s="16">
        <v>515</v>
      </c>
      <c r="U55" s="19">
        <f t="shared" si="4"/>
        <v>1</v>
      </c>
      <c r="V55" s="2"/>
      <c r="W55" s="16">
        <v>515</v>
      </c>
      <c r="X55" s="19">
        <f>Calculations!$C$11*Calculations!$C65*Calculations!$M65*Spectra!$C$9</f>
        <v>4.8379671068998045</v>
      </c>
      <c r="Y55" s="19">
        <f>Calculations!$C$11*Calculations!$C65</f>
        <v>1.1646483282152789</v>
      </c>
      <c r="Z55" s="20">
        <f>Calculations!$C$11*Calculations!$C65*$W55*Spectra!$C$10</f>
        <v>3019432618181.2568</v>
      </c>
      <c r="AA55" s="2"/>
      <c r="AB55" s="16">
        <v>515</v>
      </c>
      <c r="AC55" s="2">
        <f>Calculations!$C$11*Calculations!$C65</f>
        <v>1.1646483282152789</v>
      </c>
      <c r="AD55" s="2">
        <f>HLOOKUP($N$4,Calculations!$I$21:$O$118,ROW()-10,FALSE)*5</f>
        <v>4.3256346180321162E-2</v>
      </c>
      <c r="AE55" s="2">
        <f t="shared" si="2"/>
        <v>1.1646483282152789</v>
      </c>
      <c r="AG55" s="2">
        <f t="shared" si="1"/>
        <v>515</v>
      </c>
      <c r="AH55" s="60">
        <v>1</v>
      </c>
      <c r="AI55" s="87" t="str">
        <f t="shared" si="5"/>
        <v/>
      </c>
    </row>
    <row r="56" spans="1:35" ht="15.75" x14ac:dyDescent="0.25">
      <c r="C56" s="53"/>
      <c r="D56" s="28"/>
      <c r="E56" s="31"/>
      <c r="F56" s="24"/>
      <c r="G56" s="44"/>
      <c r="H56" s="45"/>
      <c r="I56" s="54"/>
      <c r="S56" s="16"/>
      <c r="T56" s="16">
        <v>520</v>
      </c>
      <c r="U56" s="19">
        <f t="shared" si="4"/>
        <v>0</v>
      </c>
      <c r="V56" s="2"/>
      <c r="W56" s="16">
        <v>520</v>
      </c>
      <c r="X56" s="19">
        <f>Calculations!$C$11*Calculations!$C66*Calculations!$M66*Spectra!$C$9</f>
        <v>5.6477419366965815</v>
      </c>
      <c r="Y56" s="19">
        <f>Calculations!$C$11*Calculations!$C66</f>
        <v>1.1646483282152789</v>
      </c>
      <c r="Z56" s="20">
        <f>Calculations!$C$11*Calculations!$C66*$W56*Spectra!$C$10</f>
        <v>3048747497969.4243</v>
      </c>
      <c r="AA56" s="2"/>
      <c r="AB56" s="16">
        <v>520</v>
      </c>
      <c r="AC56" s="2">
        <f>Calculations!$C$11*Calculations!$C66</f>
        <v>1.1646483282152789</v>
      </c>
      <c r="AD56" s="2">
        <f>HLOOKUP($N$4,Calculations!$I$21:$O$118,ROW()-10,FALSE)*5</f>
        <v>4.2665498075842224E-2</v>
      </c>
      <c r="AE56" s="2">
        <f t="shared" si="2"/>
        <v>1.1487401362879723</v>
      </c>
      <c r="AG56" s="2">
        <f t="shared" si="1"/>
        <v>520</v>
      </c>
      <c r="AH56" s="60">
        <v>0</v>
      </c>
      <c r="AI56" s="87" t="str">
        <f t="shared" si="5"/>
        <v/>
      </c>
    </row>
    <row r="57" spans="1:35" ht="15.75" x14ac:dyDescent="0.25">
      <c r="C57" s="25"/>
      <c r="D57" s="35"/>
      <c r="E57" s="36"/>
      <c r="F57" s="55"/>
      <c r="G57" s="56"/>
      <c r="H57" s="56"/>
      <c r="I57" s="57"/>
      <c r="K57" s="152" t="s">
        <v>172</v>
      </c>
      <c r="S57" s="16"/>
      <c r="T57" s="16">
        <v>525</v>
      </c>
      <c r="U57" s="19">
        <f t="shared" si="4"/>
        <v>0</v>
      </c>
      <c r="V57" s="2"/>
      <c r="W57" s="16">
        <v>525</v>
      </c>
      <c r="X57" s="19">
        <f>Calculations!$C$11*Calculations!$C67*Calculations!$M67*Spectra!$C$9</f>
        <v>6.3095618368841251</v>
      </c>
      <c r="Y57" s="19">
        <f>Calculations!$C$11*Calculations!$C67</f>
        <v>1.1646483282152789</v>
      </c>
      <c r="Z57" s="20">
        <f>Calculations!$C$11*Calculations!$C67*$W57*Spectra!$C$10</f>
        <v>3078062377757.5918</v>
      </c>
      <c r="AA57" s="2"/>
      <c r="AB57" s="16">
        <v>525</v>
      </c>
      <c r="AC57" s="2">
        <f>Calculations!$C$11*Calculations!$C67</f>
        <v>1.1646483282152789</v>
      </c>
      <c r="AD57" s="2">
        <f>HLOOKUP($N$4,Calculations!$I$21:$O$118,ROW()-10,FALSE)*5</f>
        <v>4.1409736730313854E-2</v>
      </c>
      <c r="AE57" s="2">
        <f t="shared" si="2"/>
        <v>1.1149295979311211</v>
      </c>
      <c r="AG57" s="2">
        <f t="shared" si="1"/>
        <v>525</v>
      </c>
      <c r="AH57" s="60">
        <v>0</v>
      </c>
      <c r="AI57" s="87" t="str">
        <f t="shared" si="5"/>
        <v/>
      </c>
    </row>
    <row r="58" spans="1:35" ht="15.75" x14ac:dyDescent="0.25">
      <c r="C58" s="13"/>
      <c r="D58" s="28"/>
      <c r="E58" s="31"/>
      <c r="F58" s="55"/>
      <c r="G58" s="56"/>
      <c r="H58" s="56"/>
      <c r="I58" s="57"/>
      <c r="S58" s="16"/>
      <c r="T58" s="16">
        <v>530</v>
      </c>
      <c r="U58" s="19">
        <f t="shared" si="4"/>
        <v>0</v>
      </c>
      <c r="V58" s="2"/>
      <c r="W58" s="16">
        <v>530</v>
      </c>
      <c r="X58" s="19">
        <f>Calculations!$C$11*Calculations!$C68*Calculations!$M68*Spectra!$C$9</f>
        <v>6.856835985116132</v>
      </c>
      <c r="Y58" s="19">
        <f>Calculations!$C$11*Calculations!$C68</f>
        <v>1.1646483282152789</v>
      </c>
      <c r="Z58" s="20">
        <f>Calculations!$C$11*Calculations!$C68*$W58*Spectra!$C$10</f>
        <v>3107377257545.7593</v>
      </c>
      <c r="AA58" s="2"/>
      <c r="AB58" s="16">
        <v>530</v>
      </c>
      <c r="AC58" s="2">
        <f>Calculations!$C$11*Calculations!$C68</f>
        <v>1.1646483282152789</v>
      </c>
      <c r="AD58" s="2">
        <f>HLOOKUP($N$4,Calculations!$I$21:$O$118,ROW()-10,FALSE)*5</f>
        <v>3.9507150370456372E-2</v>
      </c>
      <c r="AE58" s="2">
        <f t="shared" si="2"/>
        <v>1.0637037266091165</v>
      </c>
      <c r="AG58" s="2">
        <f t="shared" si="1"/>
        <v>530</v>
      </c>
      <c r="AH58" s="60">
        <v>0</v>
      </c>
      <c r="AI58" s="87" t="str">
        <f t="shared" si="5"/>
        <v/>
      </c>
    </row>
    <row r="59" spans="1:35" ht="15.75" x14ac:dyDescent="0.25">
      <c r="C59" s="13"/>
      <c r="D59" s="28"/>
      <c r="E59" s="31"/>
      <c r="F59" s="55"/>
      <c r="G59" s="56"/>
      <c r="H59" s="56"/>
      <c r="I59" s="57"/>
      <c r="S59" s="16"/>
      <c r="T59" s="16">
        <v>535</v>
      </c>
      <c r="U59" s="19">
        <f t="shared" si="4"/>
        <v>0</v>
      </c>
      <c r="V59" s="2"/>
      <c r="W59" s="16">
        <v>535</v>
      </c>
      <c r="X59" s="19">
        <f>Calculations!$C$11*Calculations!$C69*Calculations!$M69*Spectra!$C$9</f>
        <v>7.2772355993817763</v>
      </c>
      <c r="Y59" s="19">
        <f>Calculations!$C$11*Calculations!$C69</f>
        <v>1.1646483282152789</v>
      </c>
      <c r="Z59" s="20">
        <f>Calculations!$C$11*Calculations!$C69*$W59*Spectra!$C$10</f>
        <v>3136692137333.9268</v>
      </c>
      <c r="AA59" s="2"/>
      <c r="AB59" s="16">
        <v>535</v>
      </c>
      <c r="AC59" s="2">
        <f>Calculations!$C$11*Calculations!$C69</f>
        <v>1.1646483282152789</v>
      </c>
      <c r="AD59" s="2">
        <f>HLOOKUP($N$4,Calculations!$I$21:$O$118,ROW()-10,FALSE)*5</f>
        <v>3.7024465041787261E-2</v>
      </c>
      <c r="AE59" s="2">
        <f t="shared" si="2"/>
        <v>0.99685907668270879</v>
      </c>
      <c r="AG59" s="2">
        <f t="shared" si="1"/>
        <v>535</v>
      </c>
      <c r="AH59" s="60">
        <v>0</v>
      </c>
      <c r="AI59" s="87" t="str">
        <f t="shared" si="5"/>
        <v/>
      </c>
    </row>
    <row r="60" spans="1:35" ht="15.75" x14ac:dyDescent="0.25">
      <c r="C60" s="13"/>
      <c r="D60" s="38"/>
      <c r="E60" s="39"/>
      <c r="F60" s="55"/>
      <c r="G60" s="56"/>
      <c r="H60" s="56"/>
      <c r="I60" s="57"/>
      <c r="S60" s="16"/>
      <c r="T60" s="16">
        <v>540</v>
      </c>
      <c r="U60" s="19">
        <f t="shared" si="4"/>
        <v>0</v>
      </c>
      <c r="V60" s="2"/>
      <c r="W60" s="16">
        <v>540</v>
      </c>
      <c r="X60" s="19">
        <f>Calculations!$C$11*Calculations!$C70*Calculations!$M70*Spectra!$C$9</f>
        <v>7.5886560670542806</v>
      </c>
      <c r="Y60" s="19">
        <f>Calculations!$C$11*Calculations!$C70</f>
        <v>1.1646483282152789</v>
      </c>
      <c r="Z60" s="20">
        <f>Calculations!$C$11*Calculations!$C70*$W60*Spectra!$C$10</f>
        <v>3166007017122.0947</v>
      </c>
      <c r="AA60" s="2"/>
      <c r="AB60" s="16">
        <v>540</v>
      </c>
      <c r="AC60" s="2">
        <f>Calculations!$C$11*Calculations!$C70</f>
        <v>1.1646483282152789</v>
      </c>
      <c r="AD60" s="2">
        <f>HLOOKUP($N$4,Calculations!$I$21:$O$118,ROW()-10,FALSE)*5</f>
        <v>3.4082114957958813E-2</v>
      </c>
      <c r="AE60" s="2">
        <f t="shared" si="2"/>
        <v>0.91763825918994835</v>
      </c>
      <c r="AG60" s="2">
        <f t="shared" si="1"/>
        <v>540</v>
      </c>
      <c r="AH60" s="60">
        <v>0</v>
      </c>
      <c r="AI60" s="87" t="str">
        <f t="shared" si="5"/>
        <v/>
      </c>
    </row>
    <row r="61" spans="1:35" ht="15.75" x14ac:dyDescent="0.25">
      <c r="C61" s="13"/>
      <c r="D61" s="8"/>
      <c r="E61" s="40"/>
      <c r="F61" s="55"/>
      <c r="G61" s="56"/>
      <c r="H61" s="56"/>
      <c r="I61" s="57"/>
      <c r="S61" s="16"/>
      <c r="T61" s="16">
        <v>545</v>
      </c>
      <c r="U61" s="19">
        <f t="shared" si="4"/>
        <v>0</v>
      </c>
      <c r="V61" s="2"/>
      <c r="W61" s="16">
        <v>545</v>
      </c>
      <c r="X61" s="19">
        <f>Calculations!$C$11*Calculations!$C71*Calculations!$M71*Spectra!$C$9</f>
        <v>7.7978611556952941</v>
      </c>
      <c r="Y61" s="19">
        <f>Calculations!$C$11*Calculations!$C71</f>
        <v>1.1646483282152789</v>
      </c>
      <c r="Z61" s="20">
        <f>Calculations!$C$11*Calculations!$C71*$W61*Spectra!$C$10</f>
        <v>3195321896910.2622</v>
      </c>
      <c r="AA61" s="2"/>
      <c r="AB61" s="16">
        <v>545</v>
      </c>
      <c r="AC61" s="2">
        <f>Calculations!$C$11*Calculations!$C71</f>
        <v>1.1646483282152789</v>
      </c>
      <c r="AD61" s="2">
        <f>HLOOKUP($N$4,Calculations!$I$21:$O$118,ROW()-10,FALSE)*5</f>
        <v>3.0819940159051804E-2</v>
      </c>
      <c r="AE61" s="2">
        <f t="shared" si="2"/>
        <v>0.82980637412838731</v>
      </c>
      <c r="AG61" s="2">
        <f t="shared" si="1"/>
        <v>545</v>
      </c>
      <c r="AH61" s="60">
        <v>0</v>
      </c>
      <c r="AI61" s="87" t="str">
        <f t="shared" si="5"/>
        <v/>
      </c>
    </row>
    <row r="62" spans="1:35" x14ac:dyDescent="0.25">
      <c r="S62" s="16"/>
      <c r="T62" s="16">
        <v>550</v>
      </c>
      <c r="U62" s="19">
        <f t="shared" si="4"/>
        <v>0</v>
      </c>
      <c r="V62" s="2"/>
      <c r="W62" s="16">
        <v>550</v>
      </c>
      <c r="X62" s="19">
        <f>Calculations!$C$11*Calculations!$C72*Calculations!$M72*Spectra!$C$9</f>
        <v>7.9143963446344472</v>
      </c>
      <c r="Y62" s="19">
        <f>Calculations!$C$11*Calculations!$C72</f>
        <v>1.1646483282152789</v>
      </c>
      <c r="Z62" s="20">
        <f>Calculations!$C$11*Calculations!$C72*$W62*Spectra!$C$10</f>
        <v>3224636776698.4297</v>
      </c>
      <c r="AA62" s="2"/>
      <c r="AB62" s="16">
        <v>550</v>
      </c>
      <c r="AC62" s="2">
        <f>Calculations!$C$11*Calculations!$C72</f>
        <v>1.1646483282152789</v>
      </c>
      <c r="AD62" s="2">
        <f>HLOOKUP($N$4,Calculations!$I$21:$O$118,ROW()-10,FALSE)*5</f>
        <v>2.7363391051237921E-2</v>
      </c>
      <c r="AE62" s="2">
        <f t="shared" si="2"/>
        <v>0.73674109018073686</v>
      </c>
      <c r="AG62" s="2">
        <f t="shared" si="1"/>
        <v>550</v>
      </c>
      <c r="AH62" s="60">
        <v>0</v>
      </c>
      <c r="AI62" s="87" t="str">
        <f t="shared" si="5"/>
        <v/>
      </c>
    </row>
    <row r="63" spans="1:35" x14ac:dyDescent="0.25">
      <c r="G63" s="58"/>
      <c r="S63" s="16"/>
      <c r="T63" s="16">
        <v>555</v>
      </c>
      <c r="U63" s="19">
        <f t="shared" si="4"/>
        <v>0</v>
      </c>
      <c r="V63" s="2"/>
      <c r="W63" s="16">
        <v>555</v>
      </c>
      <c r="X63" s="19">
        <f>Calculations!$C$11*Calculations!$C73*Calculations!$M73*Spectra!$C$9</f>
        <v>7.9545661080233545</v>
      </c>
      <c r="Y63" s="19">
        <f>Calculations!$C$11*Calculations!$C73</f>
        <v>1.1646483282152789</v>
      </c>
      <c r="Z63" s="20">
        <f>Calculations!$C$11*Calculations!$C73*$W63*Spectra!$C$10</f>
        <v>3253951656486.5972</v>
      </c>
      <c r="AA63" s="2"/>
      <c r="AB63" s="16">
        <v>555</v>
      </c>
      <c r="AC63" s="2">
        <f>Calculations!$C$11*Calculations!$C73</f>
        <v>1.1646483282152789</v>
      </c>
      <c r="AD63" s="2">
        <f>HLOOKUP($N$4,Calculations!$I$21:$O$118,ROW()-10,FALSE)*5</f>
        <v>2.3839605938787766E-2</v>
      </c>
      <c r="AE63" s="2">
        <f t="shared" si="2"/>
        <v>0.64186552156250709</v>
      </c>
      <c r="AG63" s="2">
        <f t="shared" si="1"/>
        <v>555</v>
      </c>
      <c r="AH63" s="60">
        <v>0</v>
      </c>
      <c r="AI63" s="87" t="str">
        <f t="shared" si="5"/>
        <v/>
      </c>
    </row>
    <row r="64" spans="1:35" x14ac:dyDescent="0.25">
      <c r="S64" s="16"/>
      <c r="T64" s="16">
        <v>560</v>
      </c>
      <c r="U64" s="19">
        <f t="shared" si="4"/>
        <v>0</v>
      </c>
      <c r="V64" s="2"/>
      <c r="W64" s="16">
        <v>560</v>
      </c>
      <c r="X64" s="19">
        <f>Calculations!$C$11*Calculations!$C74*Calculations!$M74*Spectra!$C$9</f>
        <v>7.9147932774832377</v>
      </c>
      <c r="Y64" s="19">
        <f>Calculations!$C$11*Calculations!$C74</f>
        <v>1.1646483282152789</v>
      </c>
      <c r="Z64" s="20">
        <f>Calculations!$C$11*Calculations!$C74*$W64*Spectra!$C$10</f>
        <v>3283266536274.7646</v>
      </c>
      <c r="AA64" s="2"/>
      <c r="AB64" s="16">
        <v>560</v>
      </c>
      <c r="AC64" s="2">
        <f>Calculations!$C$11*Calculations!$C74</f>
        <v>1.1646483282152789</v>
      </c>
      <c r="AD64" s="2">
        <f>HLOOKUP($N$4,Calculations!$I$21:$O$118,ROW()-10,FALSE)*5</f>
        <v>2.03790508042173E-2</v>
      </c>
      <c r="AE64" s="2">
        <f t="shared" si="2"/>
        <v>0.54869237801096438</v>
      </c>
      <c r="AG64" s="2">
        <f t="shared" si="1"/>
        <v>560</v>
      </c>
      <c r="AH64" s="60">
        <v>0</v>
      </c>
      <c r="AI64" s="87" t="str">
        <f t="shared" si="5"/>
        <v/>
      </c>
    </row>
    <row r="65" spans="19:35" x14ac:dyDescent="0.25">
      <c r="S65" s="16"/>
      <c r="T65" s="16">
        <v>565</v>
      </c>
      <c r="U65" s="19">
        <f t="shared" si="4"/>
        <v>0</v>
      </c>
      <c r="V65" s="2"/>
      <c r="W65" s="16">
        <v>565</v>
      </c>
      <c r="X65" s="19">
        <f>Calculations!$C$11*Calculations!$C75*Calculations!$M75*Spectra!$C$9</f>
        <v>7.7843383933116552</v>
      </c>
      <c r="Y65" s="19">
        <f>Calculations!$C$11*Calculations!$C75</f>
        <v>1.1646483282152789</v>
      </c>
      <c r="Z65" s="20">
        <f>Calculations!$C$11*Calculations!$C75*$W65*Spectra!$C$10</f>
        <v>3312581416062.9321</v>
      </c>
      <c r="AA65" s="2"/>
      <c r="AB65" s="16">
        <v>565</v>
      </c>
      <c r="AC65" s="2">
        <f>Calculations!$C$11*Calculations!$C75</f>
        <v>1.1646483282152789</v>
      </c>
      <c r="AD65" s="2">
        <f>HLOOKUP($N$4,Calculations!$I$21:$O$118,ROW()-10,FALSE)*5</f>
        <v>1.7090004918161983E-2</v>
      </c>
      <c r="AE65" s="2">
        <f t="shared" si="2"/>
        <v>0.46013700681411712</v>
      </c>
      <c r="AG65" s="2">
        <f t="shared" si="1"/>
        <v>565</v>
      </c>
      <c r="AH65" s="60">
        <v>0</v>
      </c>
      <c r="AI65" s="87" t="str">
        <f t="shared" si="5"/>
        <v/>
      </c>
    </row>
    <row r="66" spans="19:35" x14ac:dyDescent="0.25">
      <c r="S66" s="16"/>
      <c r="T66" s="16">
        <v>570</v>
      </c>
      <c r="U66" s="19">
        <f t="shared" si="4"/>
        <v>0</v>
      </c>
      <c r="V66" s="2"/>
      <c r="W66" s="16">
        <v>570</v>
      </c>
      <c r="X66" s="19">
        <f>Calculations!$C$11*Calculations!$C76*Calculations!$M76*Spectra!$C$9</f>
        <v>7.5727469348382339</v>
      </c>
      <c r="Y66" s="19">
        <f>Calculations!$C$11*Calculations!$C76</f>
        <v>1.1646483282152789</v>
      </c>
      <c r="Z66" s="20">
        <f>Calculations!$C$11*Calculations!$C76*$W66*Spectra!$C$10</f>
        <v>3341896295851.0991</v>
      </c>
      <c r="AA66" s="2"/>
      <c r="AB66" s="16">
        <v>570</v>
      </c>
      <c r="AC66" s="2">
        <f>Calculations!$C$11*Calculations!$C76</f>
        <v>1.1646483282152789</v>
      </c>
      <c r="AD66" s="2">
        <f>HLOOKUP($N$4,Calculations!$I$21:$O$118,ROW()-10,FALSE)*5</f>
        <v>1.4052350102340339E-2</v>
      </c>
      <c r="AE66" s="2">
        <f t="shared" si="2"/>
        <v>0.37835017285005851</v>
      </c>
      <c r="AG66" s="2">
        <f t="shared" si="1"/>
        <v>570</v>
      </c>
      <c r="AH66" s="60">
        <v>0</v>
      </c>
      <c r="AI66" s="87" t="str">
        <f t="shared" si="5"/>
        <v/>
      </c>
    </row>
    <row r="67" spans="19:35" x14ac:dyDescent="0.25">
      <c r="S67" s="16"/>
      <c r="T67" s="16">
        <v>575</v>
      </c>
      <c r="U67" s="19">
        <f t="shared" si="4"/>
        <v>0</v>
      </c>
      <c r="V67" s="2"/>
      <c r="W67" s="16">
        <v>575</v>
      </c>
      <c r="X67" s="19">
        <f>Calculations!$C$11*Calculations!$C77*Calculations!$M77*Spectra!$C$9</f>
        <v>7.281609815284579</v>
      </c>
      <c r="Y67" s="19">
        <f>Calculations!$C$11*Calculations!$C77</f>
        <v>1.1646483282152789</v>
      </c>
      <c r="Z67" s="20">
        <f>Calculations!$C$11*Calculations!$C77*$W67*Spectra!$C$10</f>
        <v>3371211175639.2666</v>
      </c>
      <c r="AA67" s="2"/>
      <c r="AB67" s="16">
        <v>575</v>
      </c>
      <c r="AC67" s="2">
        <f>Calculations!$C$11*Calculations!$C77</f>
        <v>1.1646483282152789</v>
      </c>
      <c r="AD67" s="2">
        <f>HLOOKUP($N$4,Calculations!$I$21:$O$118,ROW()-10,FALSE)*5</f>
        <v>1.1318930148129871E-2</v>
      </c>
      <c r="AE67" s="2">
        <f t="shared" si="2"/>
        <v>0.30475466002725377</v>
      </c>
      <c r="AG67" s="2">
        <f t="shared" si="1"/>
        <v>575</v>
      </c>
      <c r="AH67" s="60">
        <v>0</v>
      </c>
      <c r="AI67" s="87" t="str">
        <f t="shared" si="5"/>
        <v/>
      </c>
    </row>
    <row r="68" spans="19:35" x14ac:dyDescent="0.25">
      <c r="S68" s="16"/>
      <c r="T68" s="16">
        <v>580</v>
      </c>
      <c r="U68" s="19">
        <f t="shared" si="4"/>
        <v>0</v>
      </c>
      <c r="V68" s="2"/>
      <c r="W68" s="16">
        <v>580</v>
      </c>
      <c r="X68" s="19">
        <f>Calculations!$C$11*Calculations!$C78*Calculations!$M78*Spectra!$C$9</f>
        <v>6.9204725139803189</v>
      </c>
      <c r="Y68" s="19">
        <f>Calculations!$C$11*Calculations!$C78</f>
        <v>1.1646483282152789</v>
      </c>
      <c r="Z68" s="20">
        <f>Calculations!$C$11*Calculations!$C78*$W68*Spectra!$C$10</f>
        <v>3400526055427.4351</v>
      </c>
      <c r="AA68" s="2"/>
      <c r="AB68" s="16">
        <v>580</v>
      </c>
      <c r="AC68" s="2">
        <f>Calculations!$C$11*Calculations!$C78</f>
        <v>1.1646483282152789</v>
      </c>
      <c r="AD68" s="2">
        <f>HLOOKUP($N$4,Calculations!$I$21:$O$118,ROW()-10,FALSE)*5</f>
        <v>8.9175475674949205E-3</v>
      </c>
      <c r="AE68" s="2">
        <f t="shared" si="2"/>
        <v>0.2400990324741773</v>
      </c>
      <c r="AG68" s="2">
        <f t="shared" si="1"/>
        <v>580</v>
      </c>
      <c r="AH68" s="60">
        <v>0</v>
      </c>
      <c r="AI68" s="87" t="str">
        <f t="shared" si="5"/>
        <v/>
      </c>
    </row>
    <row r="69" spans="19:35" x14ac:dyDescent="0.25">
      <c r="S69" s="16"/>
      <c r="T69" s="16">
        <v>585</v>
      </c>
      <c r="U69" s="19">
        <f t="shared" si="4"/>
        <v>0</v>
      </c>
      <c r="V69" s="2"/>
      <c r="W69" s="16">
        <v>585</v>
      </c>
      <c r="X69" s="19">
        <f>Calculations!$C$11*Calculations!$C79*Calculations!$M79*Spectra!$C$9</f>
        <v>6.4933123139794651</v>
      </c>
      <c r="Y69" s="19">
        <f>Calculations!$C$11*Calculations!$C79</f>
        <v>1.1646483282152789</v>
      </c>
      <c r="Z69" s="20">
        <f>Calculations!$C$11*Calculations!$C79*$W69*Spectra!$C$10</f>
        <v>3429840935215.6025</v>
      </c>
      <c r="AA69" s="2"/>
      <c r="AB69" s="16">
        <v>585</v>
      </c>
      <c r="AC69" s="2">
        <f>Calculations!$C$11*Calculations!$C79</f>
        <v>1.1646483282152789</v>
      </c>
      <c r="AD69" s="2">
        <f>HLOOKUP($N$4,Calculations!$I$21:$O$118,ROW()-10,FALSE)*5</f>
        <v>6.8627642580009456E-3</v>
      </c>
      <c r="AE69" s="2">
        <f t="shared" si="2"/>
        <v>0.18477535958995389</v>
      </c>
      <c r="AG69" s="2">
        <f t="shared" si="1"/>
        <v>585</v>
      </c>
      <c r="AH69" s="60">
        <v>0</v>
      </c>
      <c r="AI69" s="87" t="str">
        <f t="shared" si="5"/>
        <v/>
      </c>
    </row>
    <row r="70" spans="19:35" x14ac:dyDescent="0.25">
      <c r="S70" s="16"/>
      <c r="T70" s="16">
        <v>590</v>
      </c>
      <c r="U70" s="19">
        <f t="shared" si="4"/>
        <v>0</v>
      </c>
      <c r="V70" s="2"/>
      <c r="W70" s="16">
        <v>590</v>
      </c>
      <c r="X70" s="19">
        <f>Calculations!$C$11*Calculations!$C80*Calculations!$M80*Spectra!$C$9</f>
        <v>6.0216065437736797</v>
      </c>
      <c r="Y70" s="19">
        <f>Calculations!$C$11*Calculations!$C80</f>
        <v>1.1646483282152789</v>
      </c>
      <c r="Z70" s="20">
        <f>Calculations!$C$11*Calculations!$C80*$W70*Spectra!$C$10</f>
        <v>3459155815003.77</v>
      </c>
      <c r="AA70" s="2"/>
      <c r="AB70" s="16">
        <v>590</v>
      </c>
      <c r="AC70" s="2">
        <f>Calculations!$C$11*Calculations!$C80</f>
        <v>1.1646483282152789</v>
      </c>
      <c r="AD70" s="2">
        <f>HLOOKUP($N$4,Calculations!$I$21:$O$118,ROW()-10,FALSE)*5</f>
        <v>5.1579895207179063E-3</v>
      </c>
      <c r="AE70" s="2">
        <f t="shared" si="2"/>
        <v>0.13887543453656159</v>
      </c>
      <c r="AG70" s="2">
        <f t="shared" si="1"/>
        <v>590</v>
      </c>
      <c r="AH70" s="60">
        <v>0</v>
      </c>
      <c r="AI70" s="87" t="str">
        <f t="shared" si="5"/>
        <v/>
      </c>
    </row>
    <row r="71" spans="19:35" x14ac:dyDescent="0.25">
      <c r="S71" s="16"/>
      <c r="T71" s="16">
        <v>595</v>
      </c>
      <c r="U71" s="19">
        <f t="shared" si="4"/>
        <v>0</v>
      </c>
      <c r="V71" s="2"/>
      <c r="W71" s="16">
        <v>595</v>
      </c>
      <c r="X71" s="19">
        <f>Calculations!$C$11*Calculations!$C81*Calculations!$M81*Spectra!$C$9</f>
        <v>5.5276279884654285</v>
      </c>
      <c r="Y71" s="19">
        <f>Calculations!$C$11*Calculations!$C81</f>
        <v>1.1646483282152789</v>
      </c>
      <c r="Z71" s="20">
        <f>Calculations!$C$11*Calculations!$C81*$W71*Spectra!$C$10</f>
        <v>3488470694791.937</v>
      </c>
      <c r="AA71" s="2"/>
      <c r="AB71" s="16">
        <v>595</v>
      </c>
      <c r="AC71" s="2">
        <f>Calculations!$C$11*Calculations!$C81</f>
        <v>1.1646483282152789</v>
      </c>
      <c r="AD71" s="2">
        <f>HLOOKUP($N$4,Calculations!$I$21:$O$118,ROW()-10,FALSE)*5</f>
        <v>3.7887938628678175E-3</v>
      </c>
      <c r="AE71" s="2">
        <f t="shared" si="2"/>
        <v>0.10201075282564584</v>
      </c>
      <c r="AG71" s="2">
        <f t="shared" si="1"/>
        <v>595</v>
      </c>
      <c r="AH71" s="60">
        <v>0</v>
      </c>
      <c r="AI71" s="87" t="str">
        <f t="shared" si="5"/>
        <v/>
      </c>
    </row>
    <row r="72" spans="19:35" x14ac:dyDescent="0.25">
      <c r="S72" s="16"/>
      <c r="T72" s="16">
        <v>600</v>
      </c>
      <c r="U72" s="19">
        <f t="shared" si="4"/>
        <v>0</v>
      </c>
      <c r="V72" s="2"/>
      <c r="W72" s="16">
        <v>600</v>
      </c>
      <c r="X72" s="19">
        <f>Calculations!$C$11*Calculations!$C82*Calculations!$M82*Spectra!$C$9</f>
        <v>5.0193312141627366</v>
      </c>
      <c r="Y72" s="19">
        <f>Calculations!$C$11*Calculations!$C82</f>
        <v>1.1646483282152789</v>
      </c>
      <c r="Z72" s="20">
        <f>Calculations!$C$11*Calculations!$C82*$W72*Spectra!$C$10</f>
        <v>3517785574580.1045</v>
      </c>
      <c r="AA72" s="2"/>
      <c r="AB72" s="16">
        <v>600</v>
      </c>
      <c r="AC72" s="2">
        <f>Calculations!$C$11*Calculations!$C82</f>
        <v>1.1646483282152789</v>
      </c>
      <c r="AD72" s="2">
        <f>HLOOKUP($N$4,Calculations!$I$21:$O$118,ROW()-10,FALSE)*5</f>
        <v>2.7239580084594036E-3</v>
      </c>
      <c r="AE72" s="2">
        <f t="shared" si="2"/>
        <v>7.3340756231605284E-2</v>
      </c>
      <c r="AG72" s="2">
        <f t="shared" si="1"/>
        <v>600</v>
      </c>
      <c r="AH72" s="60">
        <v>0</v>
      </c>
      <c r="AI72" s="87" t="str">
        <f t="shared" si="5"/>
        <v/>
      </c>
    </row>
    <row r="73" spans="19:35" x14ac:dyDescent="0.25">
      <c r="S73" s="16"/>
      <c r="T73" s="16">
        <v>605</v>
      </c>
      <c r="U73" s="19">
        <f t="shared" si="4"/>
        <v>0</v>
      </c>
      <c r="V73" s="2"/>
      <c r="W73" s="16">
        <v>605</v>
      </c>
      <c r="X73" s="19">
        <f>Calculations!$C$11*Calculations!$C83*Calculations!$M83*Spectra!$C$9</f>
        <v>4.5086480700276379</v>
      </c>
      <c r="Y73" s="19">
        <f>Calculations!$C$11*Calculations!$C83</f>
        <v>1.1646483282152789</v>
      </c>
      <c r="Z73" s="20">
        <f>Calculations!$C$11*Calculations!$C83*$W73*Spectra!$C$10</f>
        <v>3547100454368.272</v>
      </c>
      <c r="AA73" s="2"/>
      <c r="AB73" s="16">
        <v>605</v>
      </c>
      <c r="AC73" s="2">
        <f>Calculations!$C$11*Calculations!$C83</f>
        <v>1.1646483282152789</v>
      </c>
      <c r="AD73" s="2">
        <f>HLOOKUP($N$4,Calculations!$I$21:$O$118,ROW()-10,FALSE)*5</f>
        <v>1.9211038338211341E-3</v>
      </c>
      <c r="AE73" s="2">
        <f t="shared" si="2"/>
        <v>5.1724441982703186E-2</v>
      </c>
      <c r="AG73" s="2">
        <f t="shared" si="1"/>
        <v>605</v>
      </c>
      <c r="AH73" s="60">
        <v>0</v>
      </c>
      <c r="AI73" s="87" t="str">
        <f t="shared" si="5"/>
        <v/>
      </c>
    </row>
    <row r="74" spans="19:35" x14ac:dyDescent="0.25">
      <c r="S74" s="16"/>
      <c r="T74" s="16">
        <v>610</v>
      </c>
      <c r="U74" s="19">
        <f t="shared" si="4"/>
        <v>0</v>
      </c>
      <c r="V74" s="2"/>
      <c r="W74" s="16">
        <v>610</v>
      </c>
      <c r="X74" s="19">
        <f>Calculations!$C$11*Calculations!$C84*Calculations!$M84*Spectra!$C$9</f>
        <v>4.0011467523357478</v>
      </c>
      <c r="Y74" s="19">
        <f>Calculations!$C$11*Calculations!$C84</f>
        <v>1.1646483282152789</v>
      </c>
      <c r="Z74" s="20">
        <f>Calculations!$C$11*Calculations!$C84*$W74*Spectra!$C$10</f>
        <v>3576415334156.4395</v>
      </c>
      <c r="AA74" s="2"/>
      <c r="AB74" s="16">
        <v>610</v>
      </c>
      <c r="AC74" s="2">
        <f>Calculations!$C$11*Calculations!$C84</f>
        <v>1.1646483282152789</v>
      </c>
      <c r="AD74" s="2">
        <f>HLOOKUP($N$4,Calculations!$I$21:$O$118,ROW()-10,FALSE)*5</f>
        <v>1.3325385603129253E-3</v>
      </c>
      <c r="AE74" s="2">
        <f t="shared" si="2"/>
        <v>3.5877713759764451E-2</v>
      </c>
      <c r="AG74" s="2">
        <f t="shared" si="1"/>
        <v>610</v>
      </c>
      <c r="AH74" s="60">
        <v>0</v>
      </c>
      <c r="AI74" s="87" t="str">
        <f t="shared" si="5"/>
        <v/>
      </c>
    </row>
    <row r="75" spans="19:35" x14ac:dyDescent="0.25">
      <c r="S75" s="16"/>
      <c r="T75" s="16">
        <v>615</v>
      </c>
      <c r="U75" s="19">
        <f t="shared" si="4"/>
        <v>0</v>
      </c>
      <c r="V75" s="2"/>
      <c r="W75" s="16">
        <v>615</v>
      </c>
      <c r="X75" s="19">
        <f>Calculations!$C$11*Calculations!$C85*Calculations!$M85*Spectra!$C$9</f>
        <v>3.509554566859904</v>
      </c>
      <c r="Y75" s="19">
        <f>Calculations!$C$11*Calculations!$C85</f>
        <v>1.1646483282152789</v>
      </c>
      <c r="Z75" s="20">
        <f>Calculations!$C$11*Calculations!$C85*$W75*Spectra!$C$10</f>
        <v>3605730213944.6074</v>
      </c>
      <c r="AA75" s="2"/>
      <c r="AB75" s="16">
        <v>615</v>
      </c>
      <c r="AC75" s="2">
        <f>Calculations!$C$11*Calculations!$C85</f>
        <v>1.1646483282152789</v>
      </c>
      <c r="AD75" s="2">
        <f>HLOOKUP($N$4,Calculations!$I$21:$O$118,ROW()-10,FALSE)*5</f>
        <v>9.1172095710285994E-4</v>
      </c>
      <c r="AE75" s="2">
        <f t="shared" si="2"/>
        <v>2.4547479901844915E-2</v>
      </c>
      <c r="AG75" s="2">
        <f t="shared" si="1"/>
        <v>615</v>
      </c>
      <c r="AH75" s="60">
        <v>0</v>
      </c>
      <c r="AI75" s="87" t="str">
        <f t="shared" si="5"/>
        <v/>
      </c>
    </row>
    <row r="76" spans="19:35" x14ac:dyDescent="0.25">
      <c r="S76" s="16"/>
      <c r="T76" s="16">
        <v>620</v>
      </c>
      <c r="U76" s="19">
        <f t="shared" ref="U76:U108" si="6">VLOOKUP($T76,$AG$12:$AI$496,IF($D$6="1nm spectral data",3,2),0)</f>
        <v>0</v>
      </c>
      <c r="V76" s="2"/>
      <c r="W76" s="16">
        <v>620</v>
      </c>
      <c r="X76" s="19">
        <f>Calculations!$C$11*Calculations!$C86*Calculations!$M86*Spectra!$C$9</f>
        <v>3.0306896871568982</v>
      </c>
      <c r="Y76" s="19">
        <f>Calculations!$C$11*Calculations!$C86</f>
        <v>1.1646483282152789</v>
      </c>
      <c r="Z76" s="20">
        <f>Calculations!$C$11*Calculations!$C86*$W76*Spectra!$C$10</f>
        <v>3635045093732.7749</v>
      </c>
      <c r="AA76" s="2"/>
      <c r="AB76" s="16">
        <v>620</v>
      </c>
      <c r="AC76" s="2">
        <f>Calculations!$C$11*Calculations!$C86</f>
        <v>1.1646483282152789</v>
      </c>
      <c r="AD76" s="2">
        <f>HLOOKUP($N$4,Calculations!$I$21:$O$118,ROW()-10,FALSE)*5</f>
        <v>6.1733786686648878E-4</v>
      </c>
      <c r="AE76" s="2">
        <f t="shared" si="2"/>
        <v>1.662141114723029E-2</v>
      </c>
      <c r="AG76" s="2">
        <f t="shared" ref="AG76:AG139" si="7">IF(ROW()&gt;IF($D$6="1nm spectral data",496,108),"",IF($D$6="1nm spectral data",298,300)+IF($D$6="1nm spectral data",1,5)*(ROW()-ROW($AG$12)))</f>
        <v>620</v>
      </c>
      <c r="AH76" s="60">
        <v>0</v>
      </c>
      <c r="AI76" s="87" t="str">
        <f t="shared" si="5"/>
        <v/>
      </c>
    </row>
    <row r="77" spans="19:35" x14ac:dyDescent="0.25">
      <c r="S77" s="16"/>
      <c r="T77" s="16">
        <v>625</v>
      </c>
      <c r="U77" s="19">
        <f t="shared" si="6"/>
        <v>0</v>
      </c>
      <c r="V77" s="2"/>
      <c r="W77" s="16">
        <v>625</v>
      </c>
      <c r="X77" s="19">
        <f>Calculations!$C$11*Calculations!$C87*Calculations!$M87*Spectra!$C$9</f>
        <v>2.5534157206754968</v>
      </c>
      <c r="Y77" s="19">
        <f>Calculations!$C$11*Calculations!$C87</f>
        <v>1.1646483282152789</v>
      </c>
      <c r="Z77" s="20">
        <f>Calculations!$C$11*Calculations!$C87*$W77*Spectra!$C$10</f>
        <v>3664359973520.9424</v>
      </c>
      <c r="AA77" s="2"/>
      <c r="AB77" s="16">
        <v>625</v>
      </c>
      <c r="AC77" s="2">
        <f>Calculations!$C$11*Calculations!$C87</f>
        <v>1.1646483282152789</v>
      </c>
      <c r="AD77" s="2">
        <f>HLOOKUP($N$4,Calculations!$I$21:$O$118,ROW()-10,FALSE)*5</f>
        <v>4.1502451994243319E-4</v>
      </c>
      <c r="AE77" s="2">
        <f t="shared" ref="AE77:AE108" si="8">AC77*AD77/MAX(AD$12:AD$108)</f>
        <v>1.1174258946984289E-2</v>
      </c>
      <c r="AG77" s="2">
        <f t="shared" si="7"/>
        <v>625</v>
      </c>
      <c r="AH77" s="60">
        <v>0</v>
      </c>
      <c r="AI77" s="87" t="str">
        <f t="shared" si="5"/>
        <v/>
      </c>
    </row>
    <row r="78" spans="19:35" x14ac:dyDescent="0.25">
      <c r="S78" s="16"/>
      <c r="T78" s="16">
        <v>630</v>
      </c>
      <c r="U78" s="19">
        <f t="shared" si="6"/>
        <v>0</v>
      </c>
      <c r="V78" s="2"/>
      <c r="W78" s="16">
        <v>630</v>
      </c>
      <c r="X78" s="19">
        <f>Calculations!$C$11*Calculations!$C88*Calculations!$M88*Spectra!$C$9</f>
        <v>2.1079600186261889</v>
      </c>
      <c r="Y78" s="19">
        <f>Calculations!$C$11*Calculations!$C88</f>
        <v>1.1646483282152789</v>
      </c>
      <c r="Z78" s="20">
        <f>Calculations!$C$11*Calculations!$C88*$W78*Spectra!$C$10</f>
        <v>3693674853309.1099</v>
      </c>
      <c r="AA78" s="2"/>
      <c r="AB78" s="16">
        <v>630</v>
      </c>
      <c r="AC78" s="2">
        <f>Calculations!$C$11*Calculations!$C88</f>
        <v>1.1646483282152789</v>
      </c>
      <c r="AD78" s="2">
        <f>HLOOKUP($N$4,Calculations!$I$21:$O$118,ROW()-10,FALSE)*5</f>
        <v>2.7794835358152574E-4</v>
      </c>
      <c r="AE78" s="2">
        <f t="shared" si="8"/>
        <v>7.4835744096245754E-3</v>
      </c>
      <c r="AG78" s="2">
        <f t="shared" si="7"/>
        <v>630</v>
      </c>
      <c r="AH78" s="60">
        <v>0</v>
      </c>
      <c r="AI78" s="87" t="str">
        <f t="shared" ref="AI78:AI108" si="9">IF(AND($D$6="1nm spectral data",$AG78&lt;&gt;""),IF($AG78/5=INT($AG78/5),SUM($AH76:$AH80),""),"")</f>
        <v/>
      </c>
    </row>
    <row r="79" spans="19:35" x14ac:dyDescent="0.25">
      <c r="S79" s="16"/>
      <c r="T79" s="16">
        <v>635</v>
      </c>
      <c r="U79" s="19">
        <f t="shared" si="6"/>
        <v>0</v>
      </c>
      <c r="V79" s="2"/>
      <c r="W79" s="16">
        <v>635</v>
      </c>
      <c r="X79" s="19">
        <f>Calculations!$C$11*Calculations!$C89*Calculations!$M89*Spectra!$C$9</f>
        <v>1.7261408454410681</v>
      </c>
      <c r="Y79" s="19">
        <f>Calculations!$C$11*Calculations!$C89</f>
        <v>1.1646483282152789</v>
      </c>
      <c r="Z79" s="20">
        <f>Calculations!$C$11*Calculations!$C89*$W79*Spectra!$C$10</f>
        <v>3722989733097.2773</v>
      </c>
      <c r="AA79" s="2"/>
      <c r="AB79" s="16">
        <v>635</v>
      </c>
      <c r="AC79" s="2">
        <f>Calculations!$C$11*Calculations!$C89</f>
        <v>1.1646483282152789</v>
      </c>
      <c r="AD79" s="2">
        <f>HLOOKUP($N$4,Calculations!$I$21:$O$118,ROW()-10,FALSE)*5</f>
        <v>1.8594099338151658E-4</v>
      </c>
      <c r="AE79" s="2">
        <f t="shared" si="8"/>
        <v>5.0063374790307747E-3</v>
      </c>
      <c r="AG79" s="2">
        <f t="shared" si="7"/>
        <v>635</v>
      </c>
      <c r="AH79" s="60">
        <v>0</v>
      </c>
      <c r="AI79" s="87" t="str">
        <f t="shared" si="9"/>
        <v/>
      </c>
    </row>
    <row r="80" spans="19:35" x14ac:dyDescent="0.25">
      <c r="S80" s="16"/>
      <c r="T80" s="16">
        <v>640</v>
      </c>
      <c r="U80" s="19">
        <f t="shared" si="6"/>
        <v>0</v>
      </c>
      <c r="V80" s="2"/>
      <c r="W80" s="16">
        <v>640</v>
      </c>
      <c r="X80" s="19">
        <f>Calculations!$C$11*Calculations!$C90*Calculations!$M90*Spectra!$C$9</f>
        <v>1.392049068904087</v>
      </c>
      <c r="Y80" s="19">
        <f>Calculations!$C$11*Calculations!$C90</f>
        <v>1.1646483282152789</v>
      </c>
      <c r="Z80" s="20">
        <f>Calculations!$C$11*Calculations!$C90*$W80*Spectra!$C$10</f>
        <v>3752304612885.4448</v>
      </c>
      <c r="AA80" s="2"/>
      <c r="AB80" s="16">
        <v>640</v>
      </c>
      <c r="AC80" s="2">
        <f>Calculations!$C$11*Calculations!$C90</f>
        <v>1.1646483282152789</v>
      </c>
      <c r="AD80" s="2">
        <f>HLOOKUP($N$4,Calculations!$I$21:$O$118,ROW()-10,FALSE)*5</f>
        <v>1.2438980857374499E-4</v>
      </c>
      <c r="AE80" s="2">
        <f t="shared" si="8"/>
        <v>3.349112798351362E-3</v>
      </c>
      <c r="AG80" s="2">
        <f t="shared" si="7"/>
        <v>640</v>
      </c>
      <c r="AH80" s="60">
        <v>0</v>
      </c>
      <c r="AI80" s="87" t="str">
        <f t="shared" si="9"/>
        <v/>
      </c>
    </row>
    <row r="81" spans="19:35" x14ac:dyDescent="0.25">
      <c r="S81" s="16"/>
      <c r="T81" s="16">
        <v>645</v>
      </c>
      <c r="U81" s="19">
        <f t="shared" si="6"/>
        <v>0</v>
      </c>
      <c r="V81" s="2"/>
      <c r="W81" s="16">
        <v>645</v>
      </c>
      <c r="X81" s="19">
        <f>Calculations!$C$11*Calculations!$C91*Calculations!$M91*Spectra!$C$9</f>
        <v>1.0993210361288275</v>
      </c>
      <c r="Y81" s="19">
        <f>Calculations!$C$11*Calculations!$C91</f>
        <v>1.1646483282152789</v>
      </c>
      <c r="Z81" s="20">
        <f>Calculations!$C$11*Calculations!$C91*$W81*Spectra!$C$10</f>
        <v>3781619492673.6123</v>
      </c>
      <c r="AA81" s="2"/>
      <c r="AB81" s="16">
        <v>645</v>
      </c>
      <c r="AC81" s="2">
        <f>Calculations!$C$11*Calculations!$C91</f>
        <v>1.1646483282152789</v>
      </c>
      <c r="AD81" s="2">
        <f>HLOOKUP($N$4,Calculations!$I$21:$O$118,ROW()-10,FALSE)*5</f>
        <v>8.3274240349098794E-5</v>
      </c>
      <c r="AE81" s="2">
        <f t="shared" si="8"/>
        <v>2.242103491628177E-3</v>
      </c>
      <c r="AG81" s="2">
        <f t="shared" si="7"/>
        <v>645</v>
      </c>
      <c r="AH81" s="60">
        <v>0</v>
      </c>
      <c r="AI81" s="87" t="str">
        <f t="shared" si="9"/>
        <v/>
      </c>
    </row>
    <row r="82" spans="19:35" x14ac:dyDescent="0.25">
      <c r="S82" s="16"/>
      <c r="T82" s="16">
        <v>650</v>
      </c>
      <c r="U82" s="19">
        <f t="shared" si="6"/>
        <v>0</v>
      </c>
      <c r="V82" s="2"/>
      <c r="W82" s="16">
        <v>650</v>
      </c>
      <c r="X82" s="19">
        <f>Calculations!$C$11*Calculations!$C92*Calculations!$M92*Spectra!$C$9</f>
        <v>0.85113857355849898</v>
      </c>
      <c r="Y82" s="19">
        <f>Calculations!$C$11*Calculations!$C92</f>
        <v>1.1646483282152789</v>
      </c>
      <c r="Z82" s="20">
        <f>Calculations!$C$11*Calculations!$C92*$W82*Spectra!$C$10</f>
        <v>3810934372461.7803</v>
      </c>
      <c r="AA82" s="2"/>
      <c r="AB82" s="16">
        <v>650</v>
      </c>
      <c r="AC82" s="2">
        <f>Calculations!$C$11*Calculations!$C92</f>
        <v>1.1646483282152789</v>
      </c>
      <c r="AD82" s="2">
        <f>HLOOKUP($N$4,Calculations!$I$21:$O$118,ROW()-10,FALSE)*5</f>
        <v>5.5880963096514838E-5</v>
      </c>
      <c r="AE82" s="2">
        <f t="shared" si="8"/>
        <v>1.5045577353693283E-3</v>
      </c>
      <c r="AG82" s="2">
        <f t="shared" si="7"/>
        <v>650</v>
      </c>
      <c r="AH82" s="60">
        <v>0</v>
      </c>
      <c r="AI82" s="87" t="str">
        <f t="shared" si="9"/>
        <v/>
      </c>
    </row>
    <row r="83" spans="19:35" x14ac:dyDescent="0.25">
      <c r="S83" s="16"/>
      <c r="T83" s="16">
        <v>655</v>
      </c>
      <c r="U83" s="19">
        <f t="shared" si="6"/>
        <v>0</v>
      </c>
      <c r="V83" s="2"/>
      <c r="W83" s="16">
        <v>655</v>
      </c>
      <c r="X83" s="19">
        <f>Calculations!$C$11*Calculations!$C93*Calculations!$M93*Spectra!$C$9</f>
        <v>0.64909259441470579</v>
      </c>
      <c r="Y83" s="19">
        <f>Calculations!$C$11*Calculations!$C93</f>
        <v>1.1646483282152789</v>
      </c>
      <c r="Z83" s="20">
        <f>Calculations!$C$11*Calculations!$C93*$W83*Spectra!$C$10</f>
        <v>3840249252249.9478</v>
      </c>
      <c r="AA83" s="2"/>
      <c r="AB83" s="16">
        <v>655</v>
      </c>
      <c r="AC83" s="2">
        <f>Calculations!$C$11*Calculations!$C93</f>
        <v>1.1646483282152789</v>
      </c>
      <c r="AD83" s="2">
        <f>HLOOKUP($N$4,Calculations!$I$21:$O$118,ROW()-10,FALSE)*5</f>
        <v>3.763911543985653E-5</v>
      </c>
      <c r="AE83" s="2">
        <f t="shared" si="8"/>
        <v>1.0134081295214319E-3</v>
      </c>
      <c r="AG83" s="2">
        <f t="shared" si="7"/>
        <v>655</v>
      </c>
      <c r="AH83" s="60">
        <v>0</v>
      </c>
      <c r="AI83" s="87" t="str">
        <f t="shared" si="9"/>
        <v/>
      </c>
    </row>
    <row r="84" spans="19:35" x14ac:dyDescent="0.25">
      <c r="S84" s="16"/>
      <c r="T84" s="16">
        <v>660</v>
      </c>
      <c r="U84" s="19">
        <f t="shared" si="6"/>
        <v>0</v>
      </c>
      <c r="V84" s="2"/>
      <c r="W84" s="16">
        <v>660</v>
      </c>
      <c r="X84" s="19">
        <f>Calculations!$C$11*Calculations!$C94*Calculations!$M94*Spectra!$C$9</f>
        <v>0.48522853258942467</v>
      </c>
      <c r="Y84" s="19">
        <f>Calculations!$C$11*Calculations!$C94</f>
        <v>1.1646483282152789</v>
      </c>
      <c r="Z84" s="20">
        <f>Calculations!$C$11*Calculations!$C94*$W84*Spectra!$C$10</f>
        <v>3869564132038.1152</v>
      </c>
      <c r="AA84" s="2"/>
      <c r="AB84" s="16">
        <v>660</v>
      </c>
      <c r="AC84" s="2">
        <f>Calculations!$C$11*Calculations!$C94</f>
        <v>1.1646483282152789</v>
      </c>
      <c r="AD84" s="2">
        <f>HLOOKUP($N$4,Calculations!$I$21:$O$118,ROW()-10,FALSE)*5</f>
        <v>2.5445701152525994E-5</v>
      </c>
      <c r="AE84" s="2">
        <f t="shared" si="8"/>
        <v>6.8510856612843398E-4</v>
      </c>
      <c r="AG84" s="2">
        <f t="shared" si="7"/>
        <v>660</v>
      </c>
      <c r="AH84" s="60">
        <v>0</v>
      </c>
      <c r="AI84" s="87" t="str">
        <f t="shared" si="9"/>
        <v/>
      </c>
    </row>
    <row r="85" spans="19:35" x14ac:dyDescent="0.25">
      <c r="S85" s="16"/>
      <c r="T85" s="16">
        <v>665</v>
      </c>
      <c r="U85" s="19">
        <f t="shared" si="6"/>
        <v>0</v>
      </c>
      <c r="V85" s="2"/>
      <c r="W85" s="16">
        <v>665</v>
      </c>
      <c r="X85" s="19">
        <f>Calculations!$C$11*Calculations!$C95*Calculations!$M95*Spectra!$C$9</f>
        <v>0.35461455709568118</v>
      </c>
      <c r="Y85" s="19">
        <f>Calculations!$C$11*Calculations!$C95</f>
        <v>1.1646483282152789</v>
      </c>
      <c r="Z85" s="20">
        <f>Calculations!$C$11*Calculations!$C95*$W85*Spectra!$C$10</f>
        <v>3898879011826.2827</v>
      </c>
      <c r="AA85" s="2"/>
      <c r="AB85" s="16">
        <v>665</v>
      </c>
      <c r="AC85" s="2">
        <f>Calculations!$C$11*Calculations!$C95</f>
        <v>1.1646483282152789</v>
      </c>
      <c r="AD85" s="2">
        <f>HLOOKUP($N$4,Calculations!$I$21:$O$118,ROW()-10,FALSE)*5</f>
        <v>1.7261593360596683E-5</v>
      </c>
      <c r="AE85" s="2">
        <f t="shared" si="8"/>
        <v>4.6475691141238277E-4</v>
      </c>
      <c r="AG85" s="2">
        <f t="shared" si="7"/>
        <v>665</v>
      </c>
      <c r="AH85" s="60">
        <v>0</v>
      </c>
      <c r="AI85" s="87" t="str">
        <f t="shared" si="9"/>
        <v/>
      </c>
    </row>
    <row r="86" spans="19:35" x14ac:dyDescent="0.25">
      <c r="S86" s="16"/>
      <c r="T86" s="16">
        <v>670</v>
      </c>
      <c r="U86" s="19">
        <f t="shared" si="6"/>
        <v>0</v>
      </c>
      <c r="V86" s="2"/>
      <c r="W86" s="16">
        <v>670</v>
      </c>
      <c r="X86" s="19">
        <f>Calculations!$C$11*Calculations!$C96*Calculations!$M96*Spectra!$C$9</f>
        <v>0.25454611545674732</v>
      </c>
      <c r="Y86" s="19">
        <f>Calculations!$C$11*Calculations!$C96</f>
        <v>1.1646483282152789</v>
      </c>
      <c r="Z86" s="20">
        <f>Calculations!$C$11*Calculations!$C96*$W86*Spectra!$C$10</f>
        <v>3928193891614.4502</v>
      </c>
      <c r="AA86" s="2"/>
      <c r="AB86" s="16">
        <v>670</v>
      </c>
      <c r="AC86" s="2">
        <f>Calculations!$C$11*Calculations!$C96</f>
        <v>1.1646483282152789</v>
      </c>
      <c r="AD86" s="2">
        <f>HLOOKUP($N$4,Calculations!$I$21:$O$118,ROW()-10,FALSE)*5</f>
        <v>1.1758160528197622E-5</v>
      </c>
      <c r="AE86" s="2">
        <f t="shared" si="8"/>
        <v>3.1658064564598341E-4</v>
      </c>
      <c r="AG86" s="2">
        <f t="shared" si="7"/>
        <v>670</v>
      </c>
      <c r="AH86" s="60">
        <v>0</v>
      </c>
      <c r="AI86" s="87" t="str">
        <f t="shared" si="9"/>
        <v/>
      </c>
    </row>
    <row r="87" spans="19:35" x14ac:dyDescent="0.25">
      <c r="S87" s="16"/>
      <c r="T87" s="16">
        <v>675</v>
      </c>
      <c r="U87" s="19">
        <f t="shared" si="6"/>
        <v>0</v>
      </c>
      <c r="V87" s="2"/>
      <c r="W87" s="16">
        <v>675</v>
      </c>
      <c r="X87" s="19">
        <f>Calculations!$C$11*Calculations!$C97*Calculations!$M97*Spectra!$C$9</f>
        <v>0.18454593370614181</v>
      </c>
      <c r="Y87" s="19">
        <f>Calculations!$C$11*Calculations!$C97</f>
        <v>1.1646483282152789</v>
      </c>
      <c r="Z87" s="20">
        <f>Calculations!$C$11*Calculations!$C97*$W87*Spectra!$C$10</f>
        <v>3957508771402.6177</v>
      </c>
      <c r="AA87" s="2"/>
      <c r="AB87" s="16">
        <v>675</v>
      </c>
      <c r="AC87" s="2">
        <f>Calculations!$C$11*Calculations!$C97</f>
        <v>1.1646483282152789</v>
      </c>
      <c r="AD87" s="2">
        <f>HLOOKUP($N$4,Calculations!$I$21:$O$118,ROW()-10,FALSE)*5</f>
        <v>8.0482720958763087E-6</v>
      </c>
      <c r="AE87" s="2">
        <f t="shared" si="8"/>
        <v>2.1669436901603851E-4</v>
      </c>
      <c r="AG87" s="2">
        <f t="shared" si="7"/>
        <v>675</v>
      </c>
      <c r="AH87" s="60">
        <v>0</v>
      </c>
      <c r="AI87" s="87" t="str">
        <f t="shared" si="9"/>
        <v/>
      </c>
    </row>
    <row r="88" spans="19:35" x14ac:dyDescent="0.25">
      <c r="S88" s="16"/>
      <c r="T88" s="16">
        <v>680</v>
      </c>
      <c r="U88" s="19">
        <f t="shared" si="6"/>
        <v>0</v>
      </c>
      <c r="V88" s="2"/>
      <c r="W88" s="16">
        <v>680</v>
      </c>
      <c r="X88" s="19">
        <f>Calculations!$C$11*Calculations!$C98*Calculations!$M98*Spectra!$C$9</f>
        <v>0.13522762383639703</v>
      </c>
      <c r="Y88" s="19">
        <f>Calculations!$C$11*Calculations!$C98</f>
        <v>1.1646483282152789</v>
      </c>
      <c r="Z88" s="20">
        <f>Calculations!$C$11*Calculations!$C98*$W88*Spectra!$C$10</f>
        <v>3986823651190.7852</v>
      </c>
      <c r="AA88" s="2"/>
      <c r="AB88" s="16">
        <v>680</v>
      </c>
      <c r="AC88" s="2">
        <f>Calculations!$C$11*Calculations!$C98</f>
        <v>1.1646483282152789</v>
      </c>
      <c r="AD88" s="2">
        <f>HLOOKUP($N$4,Calculations!$I$21:$O$118,ROW()-10,FALSE)*5</f>
        <v>5.5361840565364059E-6</v>
      </c>
      <c r="AE88" s="2">
        <f t="shared" si="8"/>
        <v>1.4905807067612417E-4</v>
      </c>
      <c r="AG88" s="2">
        <f t="shared" si="7"/>
        <v>680</v>
      </c>
      <c r="AH88" s="60">
        <v>0</v>
      </c>
      <c r="AI88" s="87" t="str">
        <f t="shared" si="9"/>
        <v/>
      </c>
    </row>
    <row r="89" spans="19:35" x14ac:dyDescent="0.25">
      <c r="S89" s="16"/>
      <c r="T89" s="16">
        <v>685</v>
      </c>
      <c r="U89" s="19">
        <f t="shared" si="6"/>
        <v>0</v>
      </c>
      <c r="V89" s="2"/>
      <c r="W89" s="16">
        <v>685</v>
      </c>
      <c r="X89" s="19">
        <f>Calculations!$C$11*Calculations!$C99*Calculations!$M99*Spectra!$C$9</f>
        <v>9.4818428007638386E-2</v>
      </c>
      <c r="Y89" s="19">
        <f>Calculations!$C$11*Calculations!$C99</f>
        <v>1.1646483282152789</v>
      </c>
      <c r="Z89" s="20">
        <f>Calculations!$C$11*Calculations!$C99*$W89*Spectra!$C$10</f>
        <v>4016138530978.9526</v>
      </c>
      <c r="AA89" s="2"/>
      <c r="AB89" s="16">
        <v>685</v>
      </c>
      <c r="AC89" s="2">
        <f>Calculations!$C$11*Calculations!$C99</f>
        <v>1.1646483282152789</v>
      </c>
      <c r="AD89" s="2">
        <f>HLOOKUP($N$4,Calculations!$I$21:$O$118,ROW()-10,FALSE)*5</f>
        <v>3.8267812943852201E-6</v>
      </c>
      <c r="AE89" s="2">
        <f t="shared" si="8"/>
        <v>1.0303353913370585E-4</v>
      </c>
      <c r="AG89" s="2">
        <f t="shared" si="7"/>
        <v>685</v>
      </c>
      <c r="AH89" s="60">
        <v>0</v>
      </c>
      <c r="AI89" s="87" t="str">
        <f t="shared" si="9"/>
        <v/>
      </c>
    </row>
    <row r="90" spans="19:35" x14ac:dyDescent="0.25">
      <c r="T90" s="16">
        <v>690</v>
      </c>
      <c r="U90" s="19">
        <f t="shared" si="6"/>
        <v>0</v>
      </c>
      <c r="W90" s="16">
        <v>690</v>
      </c>
      <c r="X90" s="19">
        <f>Calculations!$C$11*Calculations!$C100*Calculations!$M100*Spectra!$C$9</f>
        <v>6.5306987746871742E-2</v>
      </c>
      <c r="Y90" s="19">
        <f>Calculations!$C$11*Calculations!$C100</f>
        <v>1.1646483282152789</v>
      </c>
      <c r="Z90" s="20">
        <f>Calculations!$C$11*Calculations!$C100*$W90*Spectra!$C$10</f>
        <v>4045453410767.1206</v>
      </c>
      <c r="AB90" s="16">
        <v>690</v>
      </c>
      <c r="AC90" s="2">
        <f>Calculations!$C$11*Calculations!$C100</f>
        <v>1.1646483282152789</v>
      </c>
      <c r="AD90" s="2">
        <f>HLOOKUP($N$4,Calculations!$I$21:$O$118,ROW()-10,FALSE)*5</f>
        <v>2.6581804894965363E-6</v>
      </c>
      <c r="AE90" s="2">
        <f t="shared" si="8"/>
        <v>7.1569740316971617E-5</v>
      </c>
      <c r="AG90" s="2">
        <f t="shared" si="7"/>
        <v>690</v>
      </c>
      <c r="AH90" s="60">
        <v>0</v>
      </c>
      <c r="AI90" s="87" t="str">
        <f t="shared" si="9"/>
        <v/>
      </c>
    </row>
    <row r="91" spans="19:35" x14ac:dyDescent="0.25">
      <c r="T91" s="16">
        <v>695</v>
      </c>
      <c r="U91" s="19">
        <f t="shared" si="6"/>
        <v>0</v>
      </c>
      <c r="W91" s="16">
        <v>695</v>
      </c>
      <c r="X91" s="19">
        <f>Calculations!$C$11*Calculations!$C101*Calculations!$M101*Spectra!$C$9</f>
        <v>4.5523981836217656E-2</v>
      </c>
      <c r="Y91" s="19">
        <f>Calculations!$C$11*Calculations!$C101</f>
        <v>1.1646483282152789</v>
      </c>
      <c r="Z91" s="20">
        <f>Calculations!$C$11*Calculations!$C101*$W91*Spectra!$C$10</f>
        <v>4074768290555.2881</v>
      </c>
      <c r="AB91" s="16">
        <v>695</v>
      </c>
      <c r="AC91" s="2">
        <f>Calculations!$C$11*Calculations!$C101</f>
        <v>1.1646483282152789</v>
      </c>
      <c r="AD91" s="2">
        <f>HLOOKUP($N$4,Calculations!$I$21:$O$118,ROW()-10,FALSE)*5</f>
        <v>1.8555676674050924E-6</v>
      </c>
      <c r="AE91" s="2">
        <f t="shared" si="8"/>
        <v>4.9959924324741483E-5</v>
      </c>
      <c r="AG91" s="2">
        <f t="shared" si="7"/>
        <v>695</v>
      </c>
      <c r="AH91" s="60">
        <v>0</v>
      </c>
      <c r="AI91" s="87" t="str">
        <f t="shared" si="9"/>
        <v/>
      </c>
    </row>
    <row r="92" spans="19:35" x14ac:dyDescent="0.25">
      <c r="T92" s="16">
        <v>700</v>
      </c>
      <c r="U92" s="19">
        <f t="shared" si="6"/>
        <v>0</v>
      </c>
      <c r="W92" s="16">
        <v>700</v>
      </c>
      <c r="X92" s="19">
        <f>Calculations!$C$11*Calculations!$C102*Calculations!$M102*Spectra!$C$9</f>
        <v>3.26296301751118E-2</v>
      </c>
      <c r="Y92" s="19">
        <f>Calculations!$C$11*Calculations!$C102</f>
        <v>1.1646483282152789</v>
      </c>
      <c r="Z92" s="20">
        <f>Calculations!$C$11*Calculations!$C102*$W92*Spectra!$C$10</f>
        <v>4104083170343.4556</v>
      </c>
      <c r="AB92" s="16">
        <v>700</v>
      </c>
      <c r="AC92" s="2">
        <f>Calculations!$C$11*Calculations!$C102</f>
        <v>1.1646483282152789</v>
      </c>
      <c r="AD92" s="2">
        <f>HLOOKUP($N$4,Calculations!$I$21:$O$118,ROW()-10,FALSE)*5</f>
        <v>1.3017102769441099E-6</v>
      </c>
      <c r="AE92" s="2">
        <f t="shared" si="8"/>
        <v>3.5047682750266667E-5</v>
      </c>
      <c r="AG92" s="2">
        <f t="shared" si="7"/>
        <v>700</v>
      </c>
      <c r="AH92" s="60">
        <v>0</v>
      </c>
      <c r="AI92" s="87" t="str">
        <f t="shared" si="9"/>
        <v/>
      </c>
    </row>
    <row r="93" spans="19:35" x14ac:dyDescent="0.25">
      <c r="T93" s="16">
        <v>705</v>
      </c>
      <c r="U93" s="19">
        <f t="shared" si="6"/>
        <v>0</v>
      </c>
      <c r="W93" s="16">
        <v>705</v>
      </c>
      <c r="X93" s="19">
        <f>Calculations!$C$11*Calculations!$C103*Calculations!$M103*Spectra!$C$9</f>
        <v>2.3298924130400408E-2</v>
      </c>
      <c r="Y93" s="19">
        <f>Calculations!$C$11*Calculations!$C103</f>
        <v>1.1646483282152789</v>
      </c>
      <c r="Z93" s="20">
        <f>Calculations!$C$11*Calculations!$C103*$W93*Spectra!$C$10</f>
        <v>4133398050131.623</v>
      </c>
      <c r="AB93" s="16">
        <v>705</v>
      </c>
      <c r="AC93" s="2">
        <f>Calculations!$C$11*Calculations!$C103</f>
        <v>1.1646483282152789</v>
      </c>
      <c r="AD93" s="2">
        <f>HLOOKUP($N$4,Calculations!$I$21:$O$118,ROW()-10,FALSE)*5</f>
        <v>9.1668896873212049E-7</v>
      </c>
      <c r="AE93" s="2">
        <f t="shared" si="8"/>
        <v>2.468124030810883E-5</v>
      </c>
      <c r="AG93" s="2">
        <f t="shared" si="7"/>
        <v>705</v>
      </c>
      <c r="AH93" s="60">
        <v>0</v>
      </c>
      <c r="AI93" s="87" t="str">
        <f t="shared" si="9"/>
        <v/>
      </c>
    </row>
    <row r="94" spans="19:35" x14ac:dyDescent="0.25">
      <c r="T94" s="16">
        <v>710</v>
      </c>
      <c r="U94" s="19">
        <f t="shared" si="6"/>
        <v>0</v>
      </c>
      <c r="W94" s="16">
        <v>710</v>
      </c>
      <c r="X94" s="19">
        <f>Calculations!$C$11*Calculations!$C104*Calculations!$M104*Spectra!$C$9</f>
        <v>1.6632997731876834E-2</v>
      </c>
      <c r="Y94" s="19">
        <f>Calculations!$C$11*Calculations!$C104</f>
        <v>1.1646483282152789</v>
      </c>
      <c r="Z94" s="20">
        <f>Calculations!$C$11*Calculations!$C104*$W94*Spectra!$C$10</f>
        <v>4162712929919.7905</v>
      </c>
      <c r="AB94" s="16">
        <v>710</v>
      </c>
      <c r="AC94" s="2">
        <f>Calculations!$C$11*Calculations!$C104</f>
        <v>1.1646483282152789</v>
      </c>
      <c r="AD94" s="2">
        <f>HLOOKUP($N$4,Calculations!$I$21:$O$118,ROW()-10,FALSE)*5</f>
        <v>6.4866106361761527E-7</v>
      </c>
      <c r="AE94" s="2">
        <f t="shared" si="8"/>
        <v>1.7464767370117974E-5</v>
      </c>
      <c r="AG94" s="2">
        <f t="shared" si="7"/>
        <v>710</v>
      </c>
      <c r="AH94" s="60">
        <v>0</v>
      </c>
      <c r="AI94" s="87" t="str">
        <f t="shared" si="9"/>
        <v/>
      </c>
    </row>
    <row r="95" spans="19:35" x14ac:dyDescent="0.25">
      <c r="T95" s="16">
        <v>715</v>
      </c>
      <c r="U95" s="19">
        <f t="shared" si="6"/>
        <v>0</v>
      </c>
      <c r="W95" s="16">
        <v>715</v>
      </c>
      <c r="X95" s="19">
        <f>Calculations!$C$11*Calculations!$C105*Calculations!$M105*Spectra!$C$9</f>
        <v>1.1804576104306659E-2</v>
      </c>
      <c r="Y95" s="19">
        <f>Calculations!$C$11*Calculations!$C105</f>
        <v>1.1646483282152789</v>
      </c>
      <c r="Z95" s="20">
        <f>Calculations!$C$11*Calculations!$C105*$W95*Spectra!$C$10</f>
        <v>4192027809707.958</v>
      </c>
      <c r="AB95" s="16">
        <v>715</v>
      </c>
      <c r="AC95" s="2">
        <f>Calculations!$C$11*Calculations!$C105</f>
        <v>1.1646483282152789</v>
      </c>
      <c r="AD95" s="2">
        <f>HLOOKUP($N$4,Calculations!$I$21:$O$118,ROW()-10,FALSE)*5</f>
        <v>4.6118376066102804E-7</v>
      </c>
      <c r="AE95" s="2">
        <f t="shared" si="8"/>
        <v>1.2417065778391035E-5</v>
      </c>
      <c r="AG95" s="2">
        <f t="shared" si="7"/>
        <v>715</v>
      </c>
      <c r="AH95" s="60">
        <v>0</v>
      </c>
      <c r="AI95" s="87" t="str">
        <f t="shared" si="9"/>
        <v/>
      </c>
    </row>
    <row r="96" spans="19:35" x14ac:dyDescent="0.25">
      <c r="T96" s="16">
        <v>720</v>
      </c>
      <c r="U96" s="19">
        <f t="shared" si="6"/>
        <v>0</v>
      </c>
      <c r="W96" s="16">
        <v>720</v>
      </c>
      <c r="X96" s="19">
        <f>Calculations!$C$11*Calculations!$C106*Calculations!$M106*Spectra!$C$9</f>
        <v>8.3284307151004523E-3</v>
      </c>
      <c r="Y96" s="19">
        <f>Calculations!$C$11*Calculations!$C106</f>
        <v>1.1646483282152789</v>
      </c>
      <c r="Z96" s="20">
        <f>Calculations!$C$11*Calculations!$C106*$W96*Spectra!$C$10</f>
        <v>4221342689496.1255</v>
      </c>
      <c r="AB96" s="16">
        <v>720</v>
      </c>
      <c r="AC96" s="2">
        <f>Calculations!$C$11*Calculations!$C106</f>
        <v>1.1646483282152789</v>
      </c>
      <c r="AD96" s="2">
        <f>HLOOKUP($N$4,Calculations!$I$21:$O$118,ROW()-10,FALSE)*5</f>
        <v>3.294276430929439E-7</v>
      </c>
      <c r="AE96" s="2">
        <f t="shared" si="8"/>
        <v>8.8696200135979233E-6</v>
      </c>
      <c r="AG96" s="2">
        <f t="shared" si="7"/>
        <v>720</v>
      </c>
      <c r="AH96" s="60">
        <v>0</v>
      </c>
      <c r="AI96" s="87" t="str">
        <f t="shared" si="9"/>
        <v/>
      </c>
    </row>
    <row r="97" spans="20:35" x14ac:dyDescent="0.25">
      <c r="T97" s="16">
        <v>725</v>
      </c>
      <c r="U97" s="19">
        <f t="shared" si="6"/>
        <v>0</v>
      </c>
      <c r="W97" s="16">
        <v>725</v>
      </c>
      <c r="X97" s="19">
        <f>Calculations!$C$11*Calculations!$C107*Calculations!$M107*Spectra!$C$9</f>
        <v>5.8863789199372829E-3</v>
      </c>
      <c r="Y97" s="19">
        <f>Calculations!$C$11*Calculations!$C107</f>
        <v>1.1646483282152789</v>
      </c>
      <c r="Z97" s="20">
        <f>Calculations!$C$11*Calculations!$C107*$W97*Spectra!$C$10</f>
        <v>4250657569284.2935</v>
      </c>
      <c r="AB97" s="16">
        <v>725</v>
      </c>
      <c r="AC97" s="2">
        <f>Calculations!$C$11*Calculations!$C107</f>
        <v>1.1646483282152789</v>
      </c>
      <c r="AD97" s="2">
        <f>HLOOKUP($N$4,Calculations!$I$21:$O$118,ROW()-10,FALSE)*5</f>
        <v>2.3639789406231008E-7</v>
      </c>
      <c r="AE97" s="2">
        <f t="shared" si="8"/>
        <v>6.3648559442714792E-6</v>
      </c>
      <c r="AG97" s="2">
        <f t="shared" si="7"/>
        <v>725</v>
      </c>
      <c r="AH97" s="60">
        <v>0</v>
      </c>
      <c r="AI97" s="87" t="str">
        <f t="shared" si="9"/>
        <v/>
      </c>
    </row>
    <row r="98" spans="20:35" x14ac:dyDescent="0.25">
      <c r="T98" s="16">
        <v>730</v>
      </c>
      <c r="U98" s="19">
        <f t="shared" si="6"/>
        <v>0</v>
      </c>
      <c r="W98" s="16">
        <v>730</v>
      </c>
      <c r="X98" s="19">
        <f>Calculations!$C$11*Calculations!$C108*Calculations!$M108*Spectra!$C$9</f>
        <v>4.1363743761721446E-3</v>
      </c>
      <c r="Y98" s="19">
        <f>Calculations!$C$11*Calculations!$C108</f>
        <v>1.1646483282152789</v>
      </c>
      <c r="Z98" s="20">
        <f>Calculations!$C$11*Calculations!$C108*$W98*Spectra!$C$10</f>
        <v>4279972449072.4609</v>
      </c>
      <c r="AB98" s="16">
        <v>730</v>
      </c>
      <c r="AC98" s="2">
        <f>Calculations!$C$11*Calculations!$C108</f>
        <v>1.1646483282152789</v>
      </c>
      <c r="AD98" s="2">
        <f>HLOOKUP($N$4,Calculations!$I$21:$O$118,ROW()-10,FALSE)*5</f>
        <v>1.7040847812352884E-7</v>
      </c>
      <c r="AE98" s="2">
        <f t="shared" si="8"/>
        <v>4.5881348446061528E-6</v>
      </c>
      <c r="AG98" s="2">
        <f t="shared" si="7"/>
        <v>730</v>
      </c>
      <c r="AH98" s="60">
        <v>0</v>
      </c>
      <c r="AI98" s="87" t="str">
        <f t="shared" si="9"/>
        <v/>
      </c>
    </row>
    <row r="99" spans="20:35" x14ac:dyDescent="0.25">
      <c r="T99" s="16">
        <v>735</v>
      </c>
      <c r="U99" s="19">
        <f t="shared" si="6"/>
        <v>0</v>
      </c>
      <c r="W99" s="16">
        <v>735</v>
      </c>
      <c r="X99" s="19">
        <f>Calculations!$C$11*Calculations!$C109*Calculations!$M109*Spectra!$C$9</f>
        <v>2.8723938216072332E-3</v>
      </c>
      <c r="Y99" s="19">
        <f>Calculations!$C$11*Calculations!$C109</f>
        <v>1.1646483282152789</v>
      </c>
      <c r="Z99" s="20">
        <f>Calculations!$C$11*Calculations!$C109*$W99*Spectra!$C$10</f>
        <v>4309287328860.6284</v>
      </c>
      <c r="AB99" s="16">
        <v>735</v>
      </c>
      <c r="AC99" s="2">
        <f>Calculations!$C$11*Calculations!$C109</f>
        <v>1.1646483282152789</v>
      </c>
      <c r="AD99" s="2">
        <f>HLOOKUP($N$4,Calculations!$I$21:$O$118,ROW()-10,FALSE)*5</f>
        <v>1.2338678155016539E-7</v>
      </c>
      <c r="AE99" s="2">
        <f t="shared" si="8"/>
        <v>3.3221069633856205E-6</v>
      </c>
      <c r="AG99" s="2">
        <f t="shared" si="7"/>
        <v>735</v>
      </c>
      <c r="AH99" s="60">
        <v>0</v>
      </c>
      <c r="AI99" s="87" t="str">
        <f t="shared" si="9"/>
        <v/>
      </c>
    </row>
    <row r="100" spans="20:35" x14ac:dyDescent="0.25">
      <c r="T100" s="16">
        <v>740</v>
      </c>
      <c r="U100" s="19">
        <f t="shared" si="6"/>
        <v>0</v>
      </c>
      <c r="W100" s="16">
        <v>740</v>
      </c>
      <c r="X100" s="19">
        <f>Calculations!$C$11*Calculations!$C110*Calculations!$M110*Spectra!$C$9</f>
        <v>1.9822778741194198E-3</v>
      </c>
      <c r="Y100" s="19">
        <f>Calculations!$C$11*Calculations!$C110</f>
        <v>1.1646483282152789</v>
      </c>
      <c r="Z100" s="20">
        <f>Calculations!$C$11*Calculations!$C110*$W100*Spectra!$C$10</f>
        <v>4338602208648.7959</v>
      </c>
      <c r="AB100" s="16">
        <v>740</v>
      </c>
      <c r="AC100" s="2">
        <f>Calculations!$C$11*Calculations!$C110</f>
        <v>1.1646483282152789</v>
      </c>
      <c r="AD100" s="2">
        <f>HLOOKUP($N$4,Calculations!$I$21:$O$118,ROW()-10,FALSE)*5</f>
        <v>8.9730774297243606E-8</v>
      </c>
      <c r="AE100" s="2">
        <f t="shared" si="8"/>
        <v>2.4159413705240364E-6</v>
      </c>
      <c r="AG100" s="2">
        <f t="shared" si="7"/>
        <v>740</v>
      </c>
      <c r="AH100" s="60">
        <v>0</v>
      </c>
      <c r="AI100" s="87" t="str">
        <f t="shared" si="9"/>
        <v/>
      </c>
    </row>
    <row r="101" spans="20:35" x14ac:dyDescent="0.25">
      <c r="T101" s="16">
        <v>745</v>
      </c>
      <c r="U101" s="19">
        <f t="shared" si="6"/>
        <v>0</v>
      </c>
      <c r="W101" s="16">
        <v>745</v>
      </c>
      <c r="X101" s="19">
        <f>Calculations!$C$11*Calculations!$C111*Calculations!$M111*Spectra!$C$9</f>
        <v>1.3673899139692149E-3</v>
      </c>
      <c r="Y101" s="19">
        <f>Calculations!$C$11*Calculations!$C111</f>
        <v>1.1646483282152789</v>
      </c>
      <c r="Z101" s="20">
        <f>Calculations!$C$11*Calculations!$C111*$W101*Spectra!$C$10</f>
        <v>4367917088436.9634</v>
      </c>
      <c r="AB101" s="16">
        <v>745</v>
      </c>
      <c r="AC101" s="2">
        <f>Calculations!$C$11*Calculations!$C111</f>
        <v>1.1646483282152789</v>
      </c>
      <c r="AD101" s="2">
        <f>HLOOKUP($N$4,Calculations!$I$21:$O$118,ROW()-10,FALSE)*5</f>
        <v>6.5535254963123252E-8</v>
      </c>
      <c r="AE101" s="2">
        <f t="shared" si="8"/>
        <v>1.7644931176985709E-6</v>
      </c>
      <c r="AG101" s="2">
        <f t="shared" si="7"/>
        <v>745</v>
      </c>
      <c r="AH101" s="60">
        <v>0</v>
      </c>
      <c r="AI101" s="87" t="str">
        <f t="shared" si="9"/>
        <v/>
      </c>
    </row>
    <row r="102" spans="20:35" x14ac:dyDescent="0.25">
      <c r="T102" s="16">
        <v>750</v>
      </c>
      <c r="U102" s="19">
        <f t="shared" si="6"/>
        <v>0</v>
      </c>
      <c r="W102" s="16">
        <v>750</v>
      </c>
      <c r="X102" s="19">
        <f>Calculations!$C$11*Calculations!$C112*Calculations!$M112*Spectra!$C$9</f>
        <v>9.5454793296280264E-4</v>
      </c>
      <c r="Y102" s="19">
        <f>Calculations!$C$11*Calculations!$C112</f>
        <v>1.1646483282152789</v>
      </c>
      <c r="Z102" s="20">
        <f>Calculations!$C$11*Calculations!$C112*$W102*Spectra!$C$10</f>
        <v>4397231968225.1309</v>
      </c>
      <c r="AB102" s="16">
        <v>750</v>
      </c>
      <c r="AC102" s="2">
        <f>Calculations!$C$11*Calculations!$C112</f>
        <v>1.1646483282152789</v>
      </c>
      <c r="AD102" s="2">
        <f>HLOOKUP($N$4,Calculations!$I$21:$O$118,ROW()-10,FALSE)*5</f>
        <v>4.8065669425797261E-8</v>
      </c>
      <c r="AE102" s="2">
        <f t="shared" si="8"/>
        <v>1.2941361553734308E-6</v>
      </c>
      <c r="AG102" s="2">
        <f t="shared" si="7"/>
        <v>750</v>
      </c>
      <c r="AH102" s="60">
        <v>0</v>
      </c>
      <c r="AI102" s="87" t="str">
        <f t="shared" si="9"/>
        <v/>
      </c>
    </row>
    <row r="103" spans="20:35" x14ac:dyDescent="0.25">
      <c r="T103" s="16">
        <v>755</v>
      </c>
      <c r="U103" s="19">
        <f t="shared" si="6"/>
        <v>0</v>
      </c>
      <c r="W103" s="16">
        <v>755</v>
      </c>
      <c r="X103" s="19">
        <f>Calculations!$C$11*Calculations!$C113*Calculations!$M113*Spectra!$C$9</f>
        <v>6.7454720596038043E-4</v>
      </c>
      <c r="Y103" s="19">
        <f>Calculations!$C$11*Calculations!$C113</f>
        <v>1.1646483282152789</v>
      </c>
      <c r="Z103" s="20">
        <f>Calculations!$C$11*Calculations!$C113*$W103*Spectra!$C$10</f>
        <v>4426546848013.2988</v>
      </c>
      <c r="AB103" s="16">
        <v>755</v>
      </c>
      <c r="AC103" s="2">
        <f>Calculations!$C$11*Calculations!$C113</f>
        <v>1.1646483282152789</v>
      </c>
      <c r="AD103" s="2">
        <f>HLOOKUP($N$4,Calculations!$I$21:$O$118,ROW()-10,FALSE)*5</f>
        <v>3.5398704332363476E-8</v>
      </c>
      <c r="AE103" s="2">
        <f t="shared" si="8"/>
        <v>9.5308655173537765E-7</v>
      </c>
      <c r="AG103" s="2">
        <f t="shared" si="7"/>
        <v>755</v>
      </c>
      <c r="AH103" s="60">
        <v>0</v>
      </c>
      <c r="AI103" s="87" t="str">
        <f t="shared" si="9"/>
        <v/>
      </c>
    </row>
    <row r="104" spans="20:35" x14ac:dyDescent="0.25">
      <c r="T104" s="16">
        <v>760</v>
      </c>
      <c r="U104" s="19">
        <f t="shared" si="6"/>
        <v>0</v>
      </c>
      <c r="W104" s="16">
        <v>760</v>
      </c>
      <c r="X104" s="19">
        <f>Calculations!$C$11*Calculations!$C114*Calculations!$M114*Spectra!$C$9</f>
        <v>4.7727396648140132E-4</v>
      </c>
      <c r="Y104" s="19">
        <f>Calculations!$C$11*Calculations!$C114</f>
        <v>1.1646483282152789</v>
      </c>
      <c r="Z104" s="20">
        <f>Calculations!$C$11*Calculations!$C114*$W104*Spectra!$C$10</f>
        <v>4455861727801.4658</v>
      </c>
      <c r="AB104" s="16">
        <v>760</v>
      </c>
      <c r="AC104" s="2">
        <f>Calculations!$C$11*Calculations!$C114</f>
        <v>1.1646483282152789</v>
      </c>
      <c r="AD104" s="2">
        <f>HLOOKUP($N$4,Calculations!$I$21:$O$118,ROW()-10,FALSE)*5</f>
        <v>2.6175710833197219E-8</v>
      </c>
      <c r="AE104" s="2">
        <f t="shared" si="8"/>
        <v>7.0476359086470033E-7</v>
      </c>
      <c r="AG104" s="2">
        <f t="shared" si="7"/>
        <v>760</v>
      </c>
      <c r="AH104" s="60">
        <v>0</v>
      </c>
      <c r="AI104" s="87" t="str">
        <f t="shared" si="9"/>
        <v/>
      </c>
    </row>
    <row r="105" spans="20:35" x14ac:dyDescent="0.25">
      <c r="T105" s="16">
        <v>765</v>
      </c>
      <c r="U105" s="19">
        <f t="shared" si="6"/>
        <v>0</v>
      </c>
      <c r="W105" s="16">
        <v>765</v>
      </c>
      <c r="X105" s="19">
        <f>Calculations!$C$11*Calculations!$C115*Calculations!$M115*Spectra!$C$9</f>
        <v>3.3727360298019021E-4</v>
      </c>
      <c r="Y105" s="19">
        <f>Calculations!$C$11*Calculations!$C115</f>
        <v>1.1646483282152789</v>
      </c>
      <c r="Z105" s="20">
        <f>Calculations!$C$11*Calculations!$C115*$W105*Spectra!$C$10</f>
        <v>4485176607589.6338</v>
      </c>
      <c r="AB105" s="16">
        <v>765</v>
      </c>
      <c r="AC105" s="2">
        <f>Calculations!$C$11*Calculations!$C115</f>
        <v>1.1646483282152789</v>
      </c>
      <c r="AD105" s="2">
        <f>HLOOKUP($N$4,Calculations!$I$21:$O$118,ROW()-10,FALSE)*5</f>
        <v>1.9432793769985788E-8</v>
      </c>
      <c r="AE105" s="2">
        <f t="shared" si="8"/>
        <v>5.2321503722065403E-7</v>
      </c>
      <c r="AG105" s="2">
        <f t="shared" si="7"/>
        <v>765</v>
      </c>
      <c r="AH105" s="60">
        <v>0</v>
      </c>
      <c r="AI105" s="87" t="str">
        <f t="shared" si="9"/>
        <v/>
      </c>
    </row>
    <row r="106" spans="20:35" x14ac:dyDescent="0.25">
      <c r="T106" s="16">
        <v>770</v>
      </c>
      <c r="U106" s="19">
        <f t="shared" si="6"/>
        <v>0</v>
      </c>
      <c r="W106" s="16">
        <v>770</v>
      </c>
      <c r="X106" s="19">
        <f>Calculations!$C$11*Calculations!$C116*Calculations!$M116*Spectra!$C$9</f>
        <v>2.3863698324070066E-4</v>
      </c>
      <c r="Y106" s="19">
        <f>Calculations!$C$11*Calculations!$C116</f>
        <v>1.1646483282152789</v>
      </c>
      <c r="Z106" s="20">
        <f>Calculations!$C$11*Calculations!$C116*$W106*Spectra!$C$10</f>
        <v>4514491487377.8018</v>
      </c>
      <c r="AB106" s="16">
        <v>770</v>
      </c>
      <c r="AC106" s="2">
        <f>Calculations!$C$11*Calculations!$C116</f>
        <v>1.1646483282152789</v>
      </c>
      <c r="AD106" s="2">
        <f>HLOOKUP($N$4,Calculations!$I$21:$O$118,ROW()-10,FALSE)*5</f>
        <v>1.4483219174757115E-8</v>
      </c>
      <c r="AE106" s="2">
        <f t="shared" si="8"/>
        <v>3.8995103582581669E-7</v>
      </c>
      <c r="AG106" s="2">
        <f t="shared" si="7"/>
        <v>770</v>
      </c>
      <c r="AH106" s="60">
        <v>0</v>
      </c>
      <c r="AI106" s="87" t="str">
        <f t="shared" si="9"/>
        <v/>
      </c>
    </row>
    <row r="107" spans="20:35" x14ac:dyDescent="0.25">
      <c r="T107" s="16">
        <v>775</v>
      </c>
      <c r="U107" s="19">
        <f t="shared" si="6"/>
        <v>0</v>
      </c>
      <c r="W107" s="16">
        <v>775</v>
      </c>
      <c r="X107" s="19">
        <f>Calculations!$C$11*Calculations!$C117*Calculations!$M117*Spectra!$C$9</f>
        <v>1.6863680149009511E-4</v>
      </c>
      <c r="Y107" s="19">
        <f>Calculations!$C$11*Calculations!$C117</f>
        <v>1.1646483282152789</v>
      </c>
      <c r="Z107" s="20">
        <f>Calculations!$C$11*Calculations!$C117*$W107*Spectra!$C$10</f>
        <v>4543806367165.9688</v>
      </c>
      <c r="AB107" s="16">
        <v>775</v>
      </c>
      <c r="AC107" s="2">
        <f>Calculations!$C$11*Calculations!$C117</f>
        <v>1.1646483282152789</v>
      </c>
      <c r="AD107" s="2">
        <f>HLOOKUP($N$4,Calculations!$I$21:$O$118,ROW()-10,FALSE)*5</f>
        <v>1.083567932892069E-8</v>
      </c>
      <c r="AE107" s="2">
        <f t="shared" si="8"/>
        <v>2.9174345338593364E-7</v>
      </c>
      <c r="AG107" s="2">
        <f t="shared" si="7"/>
        <v>775</v>
      </c>
      <c r="AH107" s="60">
        <v>0</v>
      </c>
      <c r="AI107" s="87" t="str">
        <f t="shared" si="9"/>
        <v/>
      </c>
    </row>
    <row r="108" spans="20:35" x14ac:dyDescent="0.25">
      <c r="T108" s="16">
        <v>780</v>
      </c>
      <c r="U108" s="19">
        <f t="shared" si="6"/>
        <v>0</v>
      </c>
      <c r="W108" s="16">
        <v>780</v>
      </c>
      <c r="X108" s="19">
        <f>Calculations!$C$11*Calculations!$C118*Calculations!$M118*Spectra!$C$9</f>
        <v>1.1923894595927009E-4</v>
      </c>
      <c r="Y108" s="19">
        <f>Calculations!$C$11*Calculations!$C118</f>
        <v>1.1646483282152789</v>
      </c>
      <c r="Z108" s="20">
        <f>Calculations!$C$11*Calculations!$C118*$W108*Spectra!$C$10</f>
        <v>4573121246954.1357</v>
      </c>
      <c r="AB108" s="16">
        <v>780</v>
      </c>
      <c r="AC108" s="2">
        <f>Calculations!$C$11*Calculations!$C118</f>
        <v>1.1646483282152789</v>
      </c>
      <c r="AD108" s="2">
        <f>HLOOKUP($N$4,Calculations!$I$21:$O$118,ROW()-10,FALSE)*5</f>
        <v>8.1372391401390687E-9</v>
      </c>
      <c r="AE108" s="2">
        <f t="shared" si="8"/>
        <v>2.1908974746374513E-7</v>
      </c>
      <c r="AG108" s="2">
        <f t="shared" si="7"/>
        <v>780</v>
      </c>
      <c r="AH108" s="86">
        <v>0</v>
      </c>
      <c r="AI108" s="87" t="str">
        <f t="shared" si="9"/>
        <v/>
      </c>
    </row>
    <row r="109" spans="20:35" x14ac:dyDescent="0.25">
      <c r="AG109" s="2" t="str">
        <f t="shared" si="7"/>
        <v/>
      </c>
      <c r="AH109" s="60">
        <v>0</v>
      </c>
      <c r="AI109" s="87" t="str">
        <f t="shared" ref="AI109:AI141" si="10">IF(AND($D$6="1nm spectral data",$AG109&lt;&gt;""),IF($AG109/5=INT($AG109/5),SUM($AH107:$AH111),""),"")</f>
        <v/>
      </c>
    </row>
    <row r="110" spans="20:35" x14ac:dyDescent="0.25">
      <c r="AG110" s="2" t="str">
        <f t="shared" si="7"/>
        <v/>
      </c>
      <c r="AH110" s="60">
        <v>0</v>
      </c>
      <c r="AI110" s="87" t="str">
        <f t="shared" si="10"/>
        <v/>
      </c>
    </row>
    <row r="111" spans="20:35" x14ac:dyDescent="0.25">
      <c r="AG111" s="2" t="str">
        <f t="shared" si="7"/>
        <v/>
      </c>
      <c r="AH111" s="60">
        <v>0</v>
      </c>
      <c r="AI111" s="87" t="str">
        <f t="shared" si="10"/>
        <v/>
      </c>
    </row>
    <row r="112" spans="20:35" x14ac:dyDescent="0.25">
      <c r="AG112" s="2" t="str">
        <f t="shared" si="7"/>
        <v/>
      </c>
      <c r="AH112" s="60">
        <v>0</v>
      </c>
      <c r="AI112" s="87" t="str">
        <f t="shared" si="10"/>
        <v/>
      </c>
    </row>
    <row r="113" spans="33:35" x14ac:dyDescent="0.25">
      <c r="AG113" s="2" t="str">
        <f t="shared" si="7"/>
        <v/>
      </c>
      <c r="AH113" s="60">
        <v>0</v>
      </c>
      <c r="AI113" s="87" t="str">
        <f t="shared" si="10"/>
        <v/>
      </c>
    </row>
    <row r="114" spans="33:35" x14ac:dyDescent="0.25">
      <c r="AG114" s="2" t="str">
        <f t="shared" si="7"/>
        <v/>
      </c>
      <c r="AH114" s="60">
        <v>0</v>
      </c>
      <c r="AI114" s="87" t="str">
        <f t="shared" si="10"/>
        <v/>
      </c>
    </row>
    <row r="115" spans="33:35" x14ac:dyDescent="0.25">
      <c r="AG115" s="2" t="str">
        <f t="shared" si="7"/>
        <v/>
      </c>
      <c r="AH115" s="60">
        <v>0</v>
      </c>
      <c r="AI115" s="87" t="str">
        <f t="shared" si="10"/>
        <v/>
      </c>
    </row>
    <row r="116" spans="33:35" x14ac:dyDescent="0.25">
      <c r="AG116" s="2" t="str">
        <f t="shared" si="7"/>
        <v/>
      </c>
      <c r="AH116" s="60">
        <v>0</v>
      </c>
      <c r="AI116" s="87" t="str">
        <f t="shared" si="10"/>
        <v/>
      </c>
    </row>
    <row r="117" spans="33:35" x14ac:dyDescent="0.25">
      <c r="AG117" s="2" t="str">
        <f t="shared" si="7"/>
        <v/>
      </c>
      <c r="AH117" s="60">
        <v>0</v>
      </c>
      <c r="AI117" s="87" t="str">
        <f t="shared" si="10"/>
        <v/>
      </c>
    </row>
    <row r="118" spans="33:35" x14ac:dyDescent="0.25">
      <c r="AG118" s="2" t="str">
        <f t="shared" si="7"/>
        <v/>
      </c>
      <c r="AH118" s="60">
        <v>0</v>
      </c>
      <c r="AI118" s="87" t="str">
        <f t="shared" si="10"/>
        <v/>
      </c>
    </row>
    <row r="119" spans="33:35" x14ac:dyDescent="0.25">
      <c r="AG119" s="2" t="str">
        <f t="shared" si="7"/>
        <v/>
      </c>
      <c r="AH119" s="60">
        <v>0</v>
      </c>
      <c r="AI119" s="87" t="str">
        <f t="shared" si="10"/>
        <v/>
      </c>
    </row>
    <row r="120" spans="33:35" x14ac:dyDescent="0.25">
      <c r="AG120" s="2" t="str">
        <f t="shared" si="7"/>
        <v/>
      </c>
      <c r="AH120" s="60">
        <v>0</v>
      </c>
      <c r="AI120" s="87" t="str">
        <f t="shared" si="10"/>
        <v/>
      </c>
    </row>
    <row r="121" spans="33:35" x14ac:dyDescent="0.25">
      <c r="AG121" s="2" t="str">
        <f t="shared" si="7"/>
        <v/>
      </c>
      <c r="AH121" s="60">
        <v>0</v>
      </c>
      <c r="AI121" s="87" t="str">
        <f t="shared" si="10"/>
        <v/>
      </c>
    </row>
    <row r="122" spans="33:35" x14ac:dyDescent="0.25">
      <c r="AG122" s="2" t="str">
        <f t="shared" si="7"/>
        <v/>
      </c>
      <c r="AH122" s="60">
        <v>0</v>
      </c>
      <c r="AI122" s="87" t="str">
        <f t="shared" si="10"/>
        <v/>
      </c>
    </row>
    <row r="123" spans="33:35" x14ac:dyDescent="0.25">
      <c r="AG123" s="2" t="str">
        <f t="shared" si="7"/>
        <v/>
      </c>
      <c r="AH123" s="60">
        <v>0</v>
      </c>
      <c r="AI123" s="87" t="str">
        <f t="shared" si="10"/>
        <v/>
      </c>
    </row>
    <row r="124" spans="33:35" x14ac:dyDescent="0.25">
      <c r="AG124" s="2" t="str">
        <f t="shared" si="7"/>
        <v/>
      </c>
      <c r="AH124" s="60">
        <v>0</v>
      </c>
      <c r="AI124" s="87" t="str">
        <f t="shared" si="10"/>
        <v/>
      </c>
    </row>
    <row r="125" spans="33:35" x14ac:dyDescent="0.25">
      <c r="AG125" s="2" t="str">
        <f t="shared" si="7"/>
        <v/>
      </c>
      <c r="AH125" s="60">
        <v>0</v>
      </c>
      <c r="AI125" s="87" t="str">
        <f t="shared" si="10"/>
        <v/>
      </c>
    </row>
    <row r="126" spans="33:35" x14ac:dyDescent="0.25">
      <c r="AG126" s="2" t="str">
        <f t="shared" si="7"/>
        <v/>
      </c>
      <c r="AH126" s="60">
        <v>0</v>
      </c>
      <c r="AI126" s="87" t="str">
        <f t="shared" si="10"/>
        <v/>
      </c>
    </row>
    <row r="127" spans="33:35" x14ac:dyDescent="0.25">
      <c r="AG127" s="2" t="str">
        <f t="shared" si="7"/>
        <v/>
      </c>
      <c r="AH127" s="60">
        <v>0</v>
      </c>
      <c r="AI127" s="87" t="str">
        <f t="shared" si="10"/>
        <v/>
      </c>
    </row>
    <row r="128" spans="33:35" x14ac:dyDescent="0.25">
      <c r="AG128" s="2" t="str">
        <f t="shared" si="7"/>
        <v/>
      </c>
      <c r="AH128" s="60">
        <v>0</v>
      </c>
      <c r="AI128" s="87" t="str">
        <f t="shared" si="10"/>
        <v/>
      </c>
    </row>
    <row r="129" spans="33:35" x14ac:dyDescent="0.25">
      <c r="AG129" s="2" t="str">
        <f t="shared" si="7"/>
        <v/>
      </c>
      <c r="AH129" s="60">
        <v>0</v>
      </c>
      <c r="AI129" s="87" t="str">
        <f t="shared" si="10"/>
        <v/>
      </c>
    </row>
    <row r="130" spans="33:35" x14ac:dyDescent="0.25">
      <c r="AG130" s="2" t="str">
        <f t="shared" si="7"/>
        <v/>
      </c>
      <c r="AH130" s="60">
        <v>0</v>
      </c>
      <c r="AI130" s="87" t="str">
        <f t="shared" si="10"/>
        <v/>
      </c>
    </row>
    <row r="131" spans="33:35" x14ac:dyDescent="0.25">
      <c r="AG131" s="2" t="str">
        <f t="shared" si="7"/>
        <v/>
      </c>
      <c r="AH131" s="60">
        <v>0</v>
      </c>
      <c r="AI131" s="87" t="str">
        <f t="shared" si="10"/>
        <v/>
      </c>
    </row>
    <row r="132" spans="33:35" x14ac:dyDescent="0.25">
      <c r="AG132" s="2" t="str">
        <f t="shared" si="7"/>
        <v/>
      </c>
      <c r="AH132" s="60">
        <v>0</v>
      </c>
      <c r="AI132" s="87" t="str">
        <f t="shared" si="10"/>
        <v/>
      </c>
    </row>
    <row r="133" spans="33:35" x14ac:dyDescent="0.25">
      <c r="AG133" s="2" t="str">
        <f t="shared" si="7"/>
        <v/>
      </c>
      <c r="AH133" s="60">
        <v>0</v>
      </c>
      <c r="AI133" s="87" t="str">
        <f t="shared" si="10"/>
        <v/>
      </c>
    </row>
    <row r="134" spans="33:35" x14ac:dyDescent="0.25">
      <c r="AG134" s="2" t="str">
        <f t="shared" si="7"/>
        <v/>
      </c>
      <c r="AH134" s="60">
        <v>0</v>
      </c>
      <c r="AI134" s="87" t="str">
        <f t="shared" si="10"/>
        <v/>
      </c>
    </row>
    <row r="135" spans="33:35" x14ac:dyDescent="0.25">
      <c r="AG135" s="2" t="str">
        <f t="shared" si="7"/>
        <v/>
      </c>
      <c r="AH135" s="60">
        <v>0</v>
      </c>
      <c r="AI135" s="87" t="str">
        <f t="shared" si="10"/>
        <v/>
      </c>
    </row>
    <row r="136" spans="33:35" x14ac:dyDescent="0.25">
      <c r="AG136" s="2" t="str">
        <f t="shared" si="7"/>
        <v/>
      </c>
      <c r="AH136" s="60">
        <v>0</v>
      </c>
      <c r="AI136" s="87" t="str">
        <f t="shared" si="10"/>
        <v/>
      </c>
    </row>
    <row r="137" spans="33:35" x14ac:dyDescent="0.25">
      <c r="AG137" s="2" t="str">
        <f t="shared" si="7"/>
        <v/>
      </c>
      <c r="AH137" s="60">
        <v>0</v>
      </c>
      <c r="AI137" s="87" t="str">
        <f t="shared" si="10"/>
        <v/>
      </c>
    </row>
    <row r="138" spans="33:35" x14ac:dyDescent="0.25">
      <c r="AG138" s="2" t="str">
        <f t="shared" si="7"/>
        <v/>
      </c>
      <c r="AH138" s="60">
        <v>0</v>
      </c>
      <c r="AI138" s="87" t="str">
        <f t="shared" si="10"/>
        <v/>
      </c>
    </row>
    <row r="139" spans="33:35" x14ac:dyDescent="0.25">
      <c r="AG139" s="2" t="str">
        <f t="shared" si="7"/>
        <v/>
      </c>
      <c r="AH139" s="60">
        <v>0</v>
      </c>
      <c r="AI139" s="87" t="str">
        <f t="shared" si="10"/>
        <v/>
      </c>
    </row>
    <row r="140" spans="33:35" x14ac:dyDescent="0.25">
      <c r="AG140" s="2" t="str">
        <f t="shared" ref="AG140:AG203" si="11">IF(ROW()&gt;IF($D$6="1nm spectral data",496,108),"",IF($D$6="1nm spectral data",298,300)+IF($D$6="1nm spectral data",1,5)*(ROW()-ROW($AG$12)))</f>
        <v/>
      </c>
      <c r="AH140" s="60">
        <v>0</v>
      </c>
      <c r="AI140" s="87" t="str">
        <f t="shared" si="10"/>
        <v/>
      </c>
    </row>
    <row r="141" spans="33:35" x14ac:dyDescent="0.25">
      <c r="AG141" s="2" t="str">
        <f t="shared" si="11"/>
        <v/>
      </c>
      <c r="AH141" s="60">
        <v>0</v>
      </c>
      <c r="AI141" s="87" t="str">
        <f t="shared" si="10"/>
        <v/>
      </c>
    </row>
    <row r="142" spans="33:35" x14ac:dyDescent="0.25">
      <c r="AG142" s="2" t="str">
        <f t="shared" si="11"/>
        <v/>
      </c>
      <c r="AH142" s="60">
        <v>0</v>
      </c>
      <c r="AI142" s="87" t="str">
        <f t="shared" ref="AI142:AI205" si="12">IF(AND($D$6="1nm spectral data",$AG142&lt;&gt;""),IF($AG142/5=INT($AG142/5),SUM($AH140:$AH144),""),"")</f>
        <v/>
      </c>
    </row>
    <row r="143" spans="33:35" x14ac:dyDescent="0.25">
      <c r="AG143" s="2" t="str">
        <f t="shared" si="11"/>
        <v/>
      </c>
      <c r="AH143" s="60">
        <v>0</v>
      </c>
      <c r="AI143" s="87" t="str">
        <f t="shared" si="12"/>
        <v/>
      </c>
    </row>
    <row r="144" spans="33:35" x14ac:dyDescent="0.25">
      <c r="AG144" s="2" t="str">
        <f t="shared" si="11"/>
        <v/>
      </c>
      <c r="AH144" s="60">
        <v>0</v>
      </c>
      <c r="AI144" s="87" t="str">
        <f t="shared" si="12"/>
        <v/>
      </c>
    </row>
    <row r="145" spans="33:35" x14ac:dyDescent="0.25">
      <c r="AG145" s="2" t="str">
        <f t="shared" si="11"/>
        <v/>
      </c>
      <c r="AH145" s="60">
        <v>0</v>
      </c>
      <c r="AI145" s="87" t="str">
        <f t="shared" si="12"/>
        <v/>
      </c>
    </row>
    <row r="146" spans="33:35" x14ac:dyDescent="0.25">
      <c r="AG146" s="2" t="str">
        <f t="shared" si="11"/>
        <v/>
      </c>
      <c r="AH146" s="60">
        <v>0</v>
      </c>
      <c r="AI146" s="87" t="str">
        <f t="shared" si="12"/>
        <v/>
      </c>
    </row>
    <row r="147" spans="33:35" x14ac:dyDescent="0.25">
      <c r="AG147" s="2" t="str">
        <f t="shared" si="11"/>
        <v/>
      </c>
      <c r="AH147" s="60">
        <v>0</v>
      </c>
      <c r="AI147" s="87" t="str">
        <f t="shared" si="12"/>
        <v/>
      </c>
    </row>
    <row r="148" spans="33:35" x14ac:dyDescent="0.25">
      <c r="AG148" s="2" t="str">
        <f t="shared" si="11"/>
        <v/>
      </c>
      <c r="AH148" s="60">
        <v>0</v>
      </c>
      <c r="AI148" s="87" t="str">
        <f t="shared" si="12"/>
        <v/>
      </c>
    </row>
    <row r="149" spans="33:35" x14ac:dyDescent="0.25">
      <c r="AG149" s="2" t="str">
        <f t="shared" si="11"/>
        <v/>
      </c>
      <c r="AH149" s="60">
        <v>0</v>
      </c>
      <c r="AI149" s="87" t="str">
        <f t="shared" si="12"/>
        <v/>
      </c>
    </row>
    <row r="150" spans="33:35" x14ac:dyDescent="0.25">
      <c r="AG150" s="2" t="str">
        <f t="shared" si="11"/>
        <v/>
      </c>
      <c r="AH150" s="60">
        <v>0</v>
      </c>
      <c r="AI150" s="87" t="str">
        <f t="shared" si="12"/>
        <v/>
      </c>
    </row>
    <row r="151" spans="33:35" x14ac:dyDescent="0.25">
      <c r="AG151" s="2" t="str">
        <f t="shared" si="11"/>
        <v/>
      </c>
      <c r="AH151" s="60">
        <v>0</v>
      </c>
      <c r="AI151" s="87" t="str">
        <f t="shared" si="12"/>
        <v/>
      </c>
    </row>
    <row r="152" spans="33:35" x14ac:dyDescent="0.25">
      <c r="AG152" s="2" t="str">
        <f t="shared" si="11"/>
        <v/>
      </c>
      <c r="AH152" s="60">
        <v>0</v>
      </c>
      <c r="AI152" s="87" t="str">
        <f t="shared" si="12"/>
        <v/>
      </c>
    </row>
    <row r="153" spans="33:35" x14ac:dyDescent="0.25">
      <c r="AG153" s="2" t="str">
        <f t="shared" si="11"/>
        <v/>
      </c>
      <c r="AH153" s="60">
        <v>0</v>
      </c>
      <c r="AI153" s="87" t="str">
        <f t="shared" si="12"/>
        <v/>
      </c>
    </row>
    <row r="154" spans="33:35" x14ac:dyDescent="0.25">
      <c r="AG154" s="2" t="str">
        <f t="shared" si="11"/>
        <v/>
      </c>
      <c r="AH154" s="60">
        <v>0</v>
      </c>
      <c r="AI154" s="87" t="str">
        <f t="shared" si="12"/>
        <v/>
      </c>
    </row>
    <row r="155" spans="33:35" x14ac:dyDescent="0.25">
      <c r="AG155" s="2" t="str">
        <f t="shared" si="11"/>
        <v/>
      </c>
      <c r="AH155" s="60">
        <v>0</v>
      </c>
      <c r="AI155" s="87" t="str">
        <f t="shared" si="12"/>
        <v/>
      </c>
    </row>
    <row r="156" spans="33:35" x14ac:dyDescent="0.25">
      <c r="AG156" s="2" t="str">
        <f t="shared" si="11"/>
        <v/>
      </c>
      <c r="AH156" s="60">
        <v>0</v>
      </c>
      <c r="AI156" s="87" t="str">
        <f t="shared" si="12"/>
        <v/>
      </c>
    </row>
    <row r="157" spans="33:35" x14ac:dyDescent="0.25">
      <c r="AG157" s="2" t="str">
        <f t="shared" si="11"/>
        <v/>
      </c>
      <c r="AH157" s="60">
        <v>0</v>
      </c>
      <c r="AI157" s="87" t="str">
        <f t="shared" si="12"/>
        <v/>
      </c>
    </row>
    <row r="158" spans="33:35" x14ac:dyDescent="0.25">
      <c r="AG158" s="2" t="str">
        <f t="shared" si="11"/>
        <v/>
      </c>
      <c r="AH158" s="60">
        <v>0</v>
      </c>
      <c r="AI158" s="87" t="str">
        <f t="shared" si="12"/>
        <v/>
      </c>
    </row>
    <row r="159" spans="33:35" x14ac:dyDescent="0.25">
      <c r="AG159" s="2" t="str">
        <f t="shared" si="11"/>
        <v/>
      </c>
      <c r="AH159" s="60">
        <v>0</v>
      </c>
      <c r="AI159" s="87" t="str">
        <f t="shared" si="12"/>
        <v/>
      </c>
    </row>
    <row r="160" spans="33:35" x14ac:dyDescent="0.25">
      <c r="AG160" s="2" t="str">
        <f t="shared" si="11"/>
        <v/>
      </c>
      <c r="AH160" s="60">
        <v>0</v>
      </c>
      <c r="AI160" s="87" t="str">
        <f t="shared" si="12"/>
        <v/>
      </c>
    </row>
    <row r="161" spans="33:35" x14ac:dyDescent="0.25">
      <c r="AG161" s="2" t="str">
        <f t="shared" si="11"/>
        <v/>
      </c>
      <c r="AH161" s="60">
        <v>0</v>
      </c>
      <c r="AI161" s="87" t="str">
        <f t="shared" si="12"/>
        <v/>
      </c>
    </row>
    <row r="162" spans="33:35" x14ac:dyDescent="0.25">
      <c r="AG162" s="2" t="str">
        <f t="shared" si="11"/>
        <v/>
      </c>
      <c r="AH162" s="60">
        <v>0</v>
      </c>
      <c r="AI162" s="87" t="str">
        <f t="shared" si="12"/>
        <v/>
      </c>
    </row>
    <row r="163" spans="33:35" x14ac:dyDescent="0.25">
      <c r="AG163" s="2" t="str">
        <f t="shared" si="11"/>
        <v/>
      </c>
      <c r="AH163" s="60">
        <v>0</v>
      </c>
      <c r="AI163" s="87" t="str">
        <f t="shared" si="12"/>
        <v/>
      </c>
    </row>
    <row r="164" spans="33:35" x14ac:dyDescent="0.25">
      <c r="AG164" s="2" t="str">
        <f t="shared" si="11"/>
        <v/>
      </c>
      <c r="AH164" s="60">
        <v>0</v>
      </c>
      <c r="AI164" s="87" t="str">
        <f t="shared" si="12"/>
        <v/>
      </c>
    </row>
    <row r="165" spans="33:35" x14ac:dyDescent="0.25">
      <c r="AG165" s="2" t="str">
        <f t="shared" si="11"/>
        <v/>
      </c>
      <c r="AH165" s="60">
        <v>0</v>
      </c>
      <c r="AI165" s="87" t="str">
        <f t="shared" si="12"/>
        <v/>
      </c>
    </row>
    <row r="166" spans="33:35" x14ac:dyDescent="0.25">
      <c r="AG166" s="2" t="str">
        <f t="shared" si="11"/>
        <v/>
      </c>
      <c r="AH166" s="60">
        <v>0</v>
      </c>
      <c r="AI166" s="87" t="str">
        <f t="shared" si="12"/>
        <v/>
      </c>
    </row>
    <row r="167" spans="33:35" x14ac:dyDescent="0.25">
      <c r="AG167" s="2" t="str">
        <f t="shared" si="11"/>
        <v/>
      </c>
      <c r="AH167" s="60">
        <v>0</v>
      </c>
      <c r="AI167" s="87" t="str">
        <f t="shared" si="12"/>
        <v/>
      </c>
    </row>
    <row r="168" spans="33:35" x14ac:dyDescent="0.25">
      <c r="AG168" s="2" t="str">
        <f t="shared" si="11"/>
        <v/>
      </c>
      <c r="AH168" s="60">
        <v>0</v>
      </c>
      <c r="AI168" s="87" t="str">
        <f t="shared" si="12"/>
        <v/>
      </c>
    </row>
    <row r="169" spans="33:35" x14ac:dyDescent="0.25">
      <c r="AG169" s="2" t="str">
        <f t="shared" si="11"/>
        <v/>
      </c>
      <c r="AH169" s="60">
        <v>0</v>
      </c>
      <c r="AI169" s="87" t="str">
        <f t="shared" si="12"/>
        <v/>
      </c>
    </row>
    <row r="170" spans="33:35" x14ac:dyDescent="0.25">
      <c r="AG170" s="2" t="str">
        <f t="shared" si="11"/>
        <v/>
      </c>
      <c r="AH170" s="60">
        <v>0</v>
      </c>
      <c r="AI170" s="87" t="str">
        <f t="shared" si="12"/>
        <v/>
      </c>
    </row>
    <row r="171" spans="33:35" x14ac:dyDescent="0.25">
      <c r="AG171" s="2" t="str">
        <f t="shared" si="11"/>
        <v/>
      </c>
      <c r="AH171" s="60">
        <v>0</v>
      </c>
      <c r="AI171" s="87" t="str">
        <f t="shared" si="12"/>
        <v/>
      </c>
    </row>
    <row r="172" spans="33:35" x14ac:dyDescent="0.25">
      <c r="AG172" s="2" t="str">
        <f t="shared" si="11"/>
        <v/>
      </c>
      <c r="AH172" s="60">
        <v>0</v>
      </c>
      <c r="AI172" s="87" t="str">
        <f t="shared" si="12"/>
        <v/>
      </c>
    </row>
    <row r="173" spans="33:35" x14ac:dyDescent="0.25">
      <c r="AG173" s="2" t="str">
        <f t="shared" si="11"/>
        <v/>
      </c>
      <c r="AH173" s="60">
        <v>0</v>
      </c>
      <c r="AI173" s="87" t="str">
        <f t="shared" si="12"/>
        <v/>
      </c>
    </row>
    <row r="174" spans="33:35" x14ac:dyDescent="0.25">
      <c r="AG174" s="2" t="str">
        <f t="shared" si="11"/>
        <v/>
      </c>
      <c r="AH174" s="60">
        <v>0</v>
      </c>
      <c r="AI174" s="87" t="str">
        <f t="shared" si="12"/>
        <v/>
      </c>
    </row>
    <row r="175" spans="33:35" x14ac:dyDescent="0.25">
      <c r="AG175" s="2" t="str">
        <f t="shared" si="11"/>
        <v/>
      </c>
      <c r="AH175" s="60">
        <v>0</v>
      </c>
      <c r="AI175" s="87" t="str">
        <f t="shared" si="12"/>
        <v/>
      </c>
    </row>
    <row r="176" spans="33:35" x14ac:dyDescent="0.25">
      <c r="AG176" s="2" t="str">
        <f t="shared" si="11"/>
        <v/>
      </c>
      <c r="AH176" s="60">
        <v>0</v>
      </c>
      <c r="AI176" s="87" t="str">
        <f t="shared" si="12"/>
        <v/>
      </c>
    </row>
    <row r="177" spans="33:35" x14ac:dyDescent="0.25">
      <c r="AG177" s="2" t="str">
        <f t="shared" si="11"/>
        <v/>
      </c>
      <c r="AH177" s="60">
        <v>0</v>
      </c>
      <c r="AI177" s="87" t="str">
        <f t="shared" si="12"/>
        <v/>
      </c>
    </row>
    <row r="178" spans="33:35" x14ac:dyDescent="0.25">
      <c r="AG178" s="2" t="str">
        <f t="shared" si="11"/>
        <v/>
      </c>
      <c r="AH178" s="60">
        <v>0</v>
      </c>
      <c r="AI178" s="87" t="str">
        <f t="shared" si="12"/>
        <v/>
      </c>
    </row>
    <row r="179" spans="33:35" x14ac:dyDescent="0.25">
      <c r="AG179" s="2" t="str">
        <f t="shared" si="11"/>
        <v/>
      </c>
      <c r="AH179" s="60">
        <v>0</v>
      </c>
      <c r="AI179" s="87" t="str">
        <f t="shared" si="12"/>
        <v/>
      </c>
    </row>
    <row r="180" spans="33:35" x14ac:dyDescent="0.25">
      <c r="AG180" s="2" t="str">
        <f t="shared" si="11"/>
        <v/>
      </c>
      <c r="AH180" s="60">
        <v>0</v>
      </c>
      <c r="AI180" s="87" t="str">
        <f t="shared" si="12"/>
        <v/>
      </c>
    </row>
    <row r="181" spans="33:35" x14ac:dyDescent="0.25">
      <c r="AG181" s="2" t="str">
        <f t="shared" si="11"/>
        <v/>
      </c>
      <c r="AH181" s="60">
        <v>0</v>
      </c>
      <c r="AI181" s="87" t="str">
        <f t="shared" si="12"/>
        <v/>
      </c>
    </row>
    <row r="182" spans="33:35" x14ac:dyDescent="0.25">
      <c r="AG182" s="2" t="str">
        <f t="shared" si="11"/>
        <v/>
      </c>
      <c r="AH182" s="60">
        <v>0</v>
      </c>
      <c r="AI182" s="87" t="str">
        <f t="shared" si="12"/>
        <v/>
      </c>
    </row>
    <row r="183" spans="33:35" x14ac:dyDescent="0.25">
      <c r="AG183" s="2" t="str">
        <f t="shared" si="11"/>
        <v/>
      </c>
      <c r="AH183" s="60">
        <v>0</v>
      </c>
      <c r="AI183" s="87" t="str">
        <f t="shared" si="12"/>
        <v/>
      </c>
    </row>
    <row r="184" spans="33:35" x14ac:dyDescent="0.25">
      <c r="AG184" s="2" t="str">
        <f t="shared" si="11"/>
        <v/>
      </c>
      <c r="AH184" s="60">
        <v>0</v>
      </c>
      <c r="AI184" s="87" t="str">
        <f t="shared" si="12"/>
        <v/>
      </c>
    </row>
    <row r="185" spans="33:35" x14ac:dyDescent="0.25">
      <c r="AG185" s="2" t="str">
        <f t="shared" si="11"/>
        <v/>
      </c>
      <c r="AH185" s="60">
        <v>0</v>
      </c>
      <c r="AI185" s="87" t="str">
        <f t="shared" si="12"/>
        <v/>
      </c>
    </row>
    <row r="186" spans="33:35" x14ac:dyDescent="0.25">
      <c r="AG186" s="2" t="str">
        <f t="shared" si="11"/>
        <v/>
      </c>
      <c r="AH186" s="60">
        <v>0</v>
      </c>
      <c r="AI186" s="87" t="str">
        <f t="shared" si="12"/>
        <v/>
      </c>
    </row>
    <row r="187" spans="33:35" x14ac:dyDescent="0.25">
      <c r="AG187" s="2" t="str">
        <f t="shared" si="11"/>
        <v/>
      </c>
      <c r="AH187" s="60">
        <v>0</v>
      </c>
      <c r="AI187" s="87" t="str">
        <f t="shared" si="12"/>
        <v/>
      </c>
    </row>
    <row r="188" spans="33:35" x14ac:dyDescent="0.25">
      <c r="AG188" s="2" t="str">
        <f t="shared" si="11"/>
        <v/>
      </c>
      <c r="AH188" s="60">
        <v>0</v>
      </c>
      <c r="AI188" s="87" t="str">
        <f t="shared" si="12"/>
        <v/>
      </c>
    </row>
    <row r="189" spans="33:35" x14ac:dyDescent="0.25">
      <c r="AG189" s="2" t="str">
        <f t="shared" si="11"/>
        <v/>
      </c>
      <c r="AH189" s="60">
        <v>0</v>
      </c>
      <c r="AI189" s="87" t="str">
        <f t="shared" si="12"/>
        <v/>
      </c>
    </row>
    <row r="190" spans="33:35" x14ac:dyDescent="0.25">
      <c r="AG190" s="2" t="str">
        <f t="shared" si="11"/>
        <v/>
      </c>
      <c r="AH190" s="60">
        <v>0</v>
      </c>
      <c r="AI190" s="87" t="str">
        <f t="shared" si="12"/>
        <v/>
      </c>
    </row>
    <row r="191" spans="33:35" x14ac:dyDescent="0.25">
      <c r="AG191" s="2" t="str">
        <f t="shared" si="11"/>
        <v/>
      </c>
      <c r="AH191" s="60">
        <v>0</v>
      </c>
      <c r="AI191" s="87" t="str">
        <f t="shared" si="12"/>
        <v/>
      </c>
    </row>
    <row r="192" spans="33:35" x14ac:dyDescent="0.25">
      <c r="AG192" s="2" t="str">
        <f t="shared" si="11"/>
        <v/>
      </c>
      <c r="AH192" s="60">
        <v>0</v>
      </c>
      <c r="AI192" s="87" t="str">
        <f t="shared" si="12"/>
        <v/>
      </c>
    </row>
    <row r="193" spans="33:35" x14ac:dyDescent="0.25">
      <c r="AG193" s="2" t="str">
        <f t="shared" si="11"/>
        <v/>
      </c>
      <c r="AH193" s="60">
        <v>0</v>
      </c>
      <c r="AI193" s="87" t="str">
        <f t="shared" si="12"/>
        <v/>
      </c>
    </row>
    <row r="194" spans="33:35" x14ac:dyDescent="0.25">
      <c r="AG194" s="2" t="str">
        <f t="shared" si="11"/>
        <v/>
      </c>
      <c r="AH194" s="60">
        <v>0</v>
      </c>
      <c r="AI194" s="87" t="str">
        <f t="shared" si="12"/>
        <v/>
      </c>
    </row>
    <row r="195" spans="33:35" x14ac:dyDescent="0.25">
      <c r="AG195" s="2" t="str">
        <f t="shared" si="11"/>
        <v/>
      </c>
      <c r="AH195" s="60">
        <v>0</v>
      </c>
      <c r="AI195" s="87" t="str">
        <f t="shared" si="12"/>
        <v/>
      </c>
    </row>
    <row r="196" spans="33:35" x14ac:dyDescent="0.25">
      <c r="AG196" s="2" t="str">
        <f t="shared" si="11"/>
        <v/>
      </c>
      <c r="AH196" s="60">
        <v>0</v>
      </c>
      <c r="AI196" s="87" t="str">
        <f t="shared" si="12"/>
        <v/>
      </c>
    </row>
    <row r="197" spans="33:35" x14ac:dyDescent="0.25">
      <c r="AG197" s="2" t="str">
        <f t="shared" si="11"/>
        <v/>
      </c>
      <c r="AH197" s="60">
        <v>0</v>
      </c>
      <c r="AI197" s="87" t="str">
        <f t="shared" si="12"/>
        <v/>
      </c>
    </row>
    <row r="198" spans="33:35" x14ac:dyDescent="0.25">
      <c r="AG198" s="2" t="str">
        <f t="shared" si="11"/>
        <v/>
      </c>
      <c r="AH198" s="60">
        <v>0</v>
      </c>
      <c r="AI198" s="87" t="str">
        <f t="shared" si="12"/>
        <v/>
      </c>
    </row>
    <row r="199" spans="33:35" x14ac:dyDescent="0.25">
      <c r="AG199" s="2" t="str">
        <f t="shared" si="11"/>
        <v/>
      </c>
      <c r="AH199" s="60">
        <v>0</v>
      </c>
      <c r="AI199" s="87" t="str">
        <f t="shared" si="12"/>
        <v/>
      </c>
    </row>
    <row r="200" spans="33:35" x14ac:dyDescent="0.25">
      <c r="AG200" s="2" t="str">
        <f t="shared" si="11"/>
        <v/>
      </c>
      <c r="AH200" s="60">
        <v>0</v>
      </c>
      <c r="AI200" s="87" t="str">
        <f t="shared" si="12"/>
        <v/>
      </c>
    </row>
    <row r="201" spans="33:35" x14ac:dyDescent="0.25">
      <c r="AG201" s="2" t="str">
        <f t="shared" si="11"/>
        <v/>
      </c>
      <c r="AH201" s="60">
        <v>0</v>
      </c>
      <c r="AI201" s="87" t="str">
        <f t="shared" si="12"/>
        <v/>
      </c>
    </row>
    <row r="202" spans="33:35" x14ac:dyDescent="0.25">
      <c r="AG202" s="2" t="str">
        <f t="shared" si="11"/>
        <v/>
      </c>
      <c r="AH202" s="60">
        <v>0</v>
      </c>
      <c r="AI202" s="87" t="str">
        <f t="shared" si="12"/>
        <v/>
      </c>
    </row>
    <row r="203" spans="33:35" x14ac:dyDescent="0.25">
      <c r="AG203" s="2" t="str">
        <f t="shared" si="11"/>
        <v/>
      </c>
      <c r="AH203" s="60">
        <v>0</v>
      </c>
      <c r="AI203" s="87" t="str">
        <f t="shared" si="12"/>
        <v/>
      </c>
    </row>
    <row r="204" spans="33:35" x14ac:dyDescent="0.25">
      <c r="AG204" s="2" t="str">
        <f t="shared" ref="AG204:AG267" si="13">IF(ROW()&gt;IF($D$6="1nm spectral data",496,108),"",IF($D$6="1nm spectral data",298,300)+IF($D$6="1nm spectral data",1,5)*(ROW()-ROW($AG$12)))</f>
        <v/>
      </c>
      <c r="AH204" s="60">
        <v>0</v>
      </c>
      <c r="AI204" s="87" t="str">
        <f t="shared" si="12"/>
        <v/>
      </c>
    </row>
    <row r="205" spans="33:35" x14ac:dyDescent="0.25">
      <c r="AG205" s="2" t="str">
        <f t="shared" si="13"/>
        <v/>
      </c>
      <c r="AH205" s="60">
        <v>0</v>
      </c>
      <c r="AI205" s="87" t="str">
        <f t="shared" si="12"/>
        <v/>
      </c>
    </row>
    <row r="206" spans="33:35" x14ac:dyDescent="0.25">
      <c r="AG206" s="2" t="str">
        <f t="shared" si="13"/>
        <v/>
      </c>
      <c r="AH206" s="60">
        <v>0</v>
      </c>
      <c r="AI206" s="87" t="str">
        <f t="shared" ref="AI206:AI269" si="14">IF(AND($D$6="1nm spectral data",$AG206&lt;&gt;""),IF($AG206/5=INT($AG206/5),SUM($AH204:$AH208),""),"")</f>
        <v/>
      </c>
    </row>
    <row r="207" spans="33:35" x14ac:dyDescent="0.25">
      <c r="AG207" s="2" t="str">
        <f t="shared" si="13"/>
        <v/>
      </c>
      <c r="AH207" s="60">
        <v>0</v>
      </c>
      <c r="AI207" s="87" t="str">
        <f t="shared" si="14"/>
        <v/>
      </c>
    </row>
    <row r="208" spans="33:35" x14ac:dyDescent="0.25">
      <c r="AG208" s="2" t="str">
        <f t="shared" si="13"/>
        <v/>
      </c>
      <c r="AH208" s="60">
        <v>0</v>
      </c>
      <c r="AI208" s="87" t="str">
        <f t="shared" si="14"/>
        <v/>
      </c>
    </row>
    <row r="209" spans="33:35" x14ac:dyDescent="0.25">
      <c r="AG209" s="2" t="str">
        <f t="shared" si="13"/>
        <v/>
      </c>
      <c r="AH209" s="60">
        <v>0</v>
      </c>
      <c r="AI209" s="87" t="str">
        <f t="shared" si="14"/>
        <v/>
      </c>
    </row>
    <row r="210" spans="33:35" x14ac:dyDescent="0.25">
      <c r="AG210" s="2" t="str">
        <f t="shared" si="13"/>
        <v/>
      </c>
      <c r="AH210" s="60">
        <v>0</v>
      </c>
      <c r="AI210" s="87" t="str">
        <f t="shared" si="14"/>
        <v/>
      </c>
    </row>
    <row r="211" spans="33:35" x14ac:dyDescent="0.25">
      <c r="AG211" s="2" t="str">
        <f t="shared" si="13"/>
        <v/>
      </c>
      <c r="AH211" s="60">
        <v>0</v>
      </c>
      <c r="AI211" s="87" t="str">
        <f t="shared" si="14"/>
        <v/>
      </c>
    </row>
    <row r="212" spans="33:35" x14ac:dyDescent="0.25">
      <c r="AG212" s="2" t="str">
        <f t="shared" si="13"/>
        <v/>
      </c>
      <c r="AH212" s="60">
        <v>0</v>
      </c>
      <c r="AI212" s="87" t="str">
        <f t="shared" si="14"/>
        <v/>
      </c>
    </row>
    <row r="213" spans="33:35" x14ac:dyDescent="0.25">
      <c r="AG213" s="2" t="str">
        <f t="shared" si="13"/>
        <v/>
      </c>
      <c r="AH213" s="60">
        <v>0</v>
      </c>
      <c r="AI213" s="87" t="str">
        <f t="shared" si="14"/>
        <v/>
      </c>
    </row>
    <row r="214" spans="33:35" x14ac:dyDescent="0.25">
      <c r="AG214" s="2" t="str">
        <f t="shared" si="13"/>
        <v/>
      </c>
      <c r="AH214" s="60">
        <v>0</v>
      </c>
      <c r="AI214" s="87" t="str">
        <f t="shared" si="14"/>
        <v/>
      </c>
    </row>
    <row r="215" spans="33:35" x14ac:dyDescent="0.25">
      <c r="AG215" s="2" t="str">
        <f t="shared" si="13"/>
        <v/>
      </c>
      <c r="AH215" s="60">
        <v>0</v>
      </c>
      <c r="AI215" s="87" t="str">
        <f t="shared" si="14"/>
        <v/>
      </c>
    </row>
    <row r="216" spans="33:35" x14ac:dyDescent="0.25">
      <c r="AG216" s="2" t="str">
        <f t="shared" si="13"/>
        <v/>
      </c>
      <c r="AH216" s="60">
        <v>0</v>
      </c>
      <c r="AI216" s="87" t="str">
        <f t="shared" si="14"/>
        <v/>
      </c>
    </row>
    <row r="217" spans="33:35" x14ac:dyDescent="0.25">
      <c r="AG217" s="2" t="str">
        <f t="shared" si="13"/>
        <v/>
      </c>
      <c r="AH217" s="60">
        <v>0</v>
      </c>
      <c r="AI217" s="87" t="str">
        <f t="shared" si="14"/>
        <v/>
      </c>
    </row>
    <row r="218" spans="33:35" x14ac:dyDescent="0.25">
      <c r="AG218" s="2" t="str">
        <f t="shared" si="13"/>
        <v/>
      </c>
      <c r="AH218" s="60">
        <v>0</v>
      </c>
      <c r="AI218" s="87" t="str">
        <f t="shared" si="14"/>
        <v/>
      </c>
    </row>
    <row r="219" spans="33:35" x14ac:dyDescent="0.25">
      <c r="AG219" s="2" t="str">
        <f t="shared" si="13"/>
        <v/>
      </c>
      <c r="AH219" s="60">
        <v>0</v>
      </c>
      <c r="AI219" s="87" t="str">
        <f t="shared" si="14"/>
        <v/>
      </c>
    </row>
    <row r="220" spans="33:35" x14ac:dyDescent="0.25">
      <c r="AG220" s="2" t="str">
        <f t="shared" si="13"/>
        <v/>
      </c>
      <c r="AH220" s="60">
        <v>0</v>
      </c>
      <c r="AI220" s="87" t="str">
        <f t="shared" si="14"/>
        <v/>
      </c>
    </row>
    <row r="221" spans="33:35" x14ac:dyDescent="0.25">
      <c r="AG221" s="2" t="str">
        <f t="shared" si="13"/>
        <v/>
      </c>
      <c r="AH221" s="60">
        <v>0</v>
      </c>
      <c r="AI221" s="87" t="str">
        <f t="shared" si="14"/>
        <v/>
      </c>
    </row>
    <row r="222" spans="33:35" x14ac:dyDescent="0.25">
      <c r="AG222" s="2" t="str">
        <f t="shared" si="13"/>
        <v/>
      </c>
      <c r="AH222" s="60">
        <v>0</v>
      </c>
      <c r="AI222" s="87" t="str">
        <f t="shared" si="14"/>
        <v/>
      </c>
    </row>
    <row r="223" spans="33:35" x14ac:dyDescent="0.25">
      <c r="AG223" s="2" t="str">
        <f t="shared" si="13"/>
        <v/>
      </c>
      <c r="AH223" s="60">
        <v>0</v>
      </c>
      <c r="AI223" s="87" t="str">
        <f t="shared" si="14"/>
        <v/>
      </c>
    </row>
    <row r="224" spans="33:35" x14ac:dyDescent="0.25">
      <c r="AG224" s="2" t="str">
        <f t="shared" si="13"/>
        <v/>
      </c>
      <c r="AH224" s="60">
        <v>0</v>
      </c>
      <c r="AI224" s="87" t="str">
        <f t="shared" si="14"/>
        <v/>
      </c>
    </row>
    <row r="225" spans="33:35" x14ac:dyDescent="0.25">
      <c r="AG225" s="2" t="str">
        <f t="shared" si="13"/>
        <v/>
      </c>
      <c r="AH225" s="60">
        <v>0</v>
      </c>
      <c r="AI225" s="87" t="str">
        <f t="shared" si="14"/>
        <v/>
      </c>
    </row>
    <row r="226" spans="33:35" x14ac:dyDescent="0.25">
      <c r="AG226" s="2" t="str">
        <f t="shared" si="13"/>
        <v/>
      </c>
      <c r="AH226" s="60">
        <v>0</v>
      </c>
      <c r="AI226" s="87" t="str">
        <f t="shared" si="14"/>
        <v/>
      </c>
    </row>
    <row r="227" spans="33:35" x14ac:dyDescent="0.25">
      <c r="AG227" s="2" t="str">
        <f t="shared" si="13"/>
        <v/>
      </c>
      <c r="AH227" s="60">
        <v>0</v>
      </c>
      <c r="AI227" s="87" t="str">
        <f t="shared" si="14"/>
        <v/>
      </c>
    </row>
    <row r="228" spans="33:35" x14ac:dyDescent="0.25">
      <c r="AG228" s="2" t="str">
        <f t="shared" si="13"/>
        <v/>
      </c>
      <c r="AH228" s="60">
        <v>0</v>
      </c>
      <c r="AI228" s="87" t="str">
        <f t="shared" si="14"/>
        <v/>
      </c>
    </row>
    <row r="229" spans="33:35" x14ac:dyDescent="0.25">
      <c r="AG229" s="2" t="str">
        <f t="shared" si="13"/>
        <v/>
      </c>
      <c r="AH229" s="60">
        <v>0</v>
      </c>
      <c r="AI229" s="87" t="str">
        <f t="shared" si="14"/>
        <v/>
      </c>
    </row>
    <row r="230" spans="33:35" x14ac:dyDescent="0.25">
      <c r="AG230" s="2" t="str">
        <f t="shared" si="13"/>
        <v/>
      </c>
      <c r="AH230" s="60">
        <v>0</v>
      </c>
      <c r="AI230" s="87" t="str">
        <f t="shared" si="14"/>
        <v/>
      </c>
    </row>
    <row r="231" spans="33:35" x14ac:dyDescent="0.25">
      <c r="AG231" s="2" t="str">
        <f t="shared" si="13"/>
        <v/>
      </c>
      <c r="AH231" s="60">
        <v>0</v>
      </c>
      <c r="AI231" s="87" t="str">
        <f t="shared" si="14"/>
        <v/>
      </c>
    </row>
    <row r="232" spans="33:35" x14ac:dyDescent="0.25">
      <c r="AG232" s="2" t="str">
        <f t="shared" si="13"/>
        <v/>
      </c>
      <c r="AH232" s="60">
        <v>0</v>
      </c>
      <c r="AI232" s="87" t="str">
        <f t="shared" si="14"/>
        <v/>
      </c>
    </row>
    <row r="233" spans="33:35" x14ac:dyDescent="0.25">
      <c r="AG233" s="2" t="str">
        <f t="shared" si="13"/>
        <v/>
      </c>
      <c r="AH233" s="60">
        <v>0</v>
      </c>
      <c r="AI233" s="87" t="str">
        <f t="shared" si="14"/>
        <v/>
      </c>
    </row>
    <row r="234" spans="33:35" x14ac:dyDescent="0.25">
      <c r="AG234" s="2" t="str">
        <f t="shared" si="13"/>
        <v/>
      </c>
      <c r="AH234" s="60">
        <v>0</v>
      </c>
      <c r="AI234" s="87" t="str">
        <f t="shared" si="14"/>
        <v/>
      </c>
    </row>
    <row r="235" spans="33:35" x14ac:dyDescent="0.25">
      <c r="AG235" s="2" t="str">
        <f t="shared" si="13"/>
        <v/>
      </c>
      <c r="AH235" s="60">
        <v>0</v>
      </c>
      <c r="AI235" s="87" t="str">
        <f t="shared" si="14"/>
        <v/>
      </c>
    </row>
    <row r="236" spans="33:35" x14ac:dyDescent="0.25">
      <c r="AG236" s="2" t="str">
        <f t="shared" si="13"/>
        <v/>
      </c>
      <c r="AH236" s="60">
        <v>0</v>
      </c>
      <c r="AI236" s="87" t="str">
        <f t="shared" si="14"/>
        <v/>
      </c>
    </row>
    <row r="237" spans="33:35" x14ac:dyDescent="0.25">
      <c r="AG237" s="2" t="str">
        <f t="shared" si="13"/>
        <v/>
      </c>
      <c r="AH237" s="60">
        <v>0</v>
      </c>
      <c r="AI237" s="87" t="str">
        <f t="shared" si="14"/>
        <v/>
      </c>
    </row>
    <row r="238" spans="33:35" x14ac:dyDescent="0.25">
      <c r="AG238" s="2" t="str">
        <f t="shared" si="13"/>
        <v/>
      </c>
      <c r="AH238" s="60">
        <v>0</v>
      </c>
      <c r="AI238" s="87" t="str">
        <f t="shared" si="14"/>
        <v/>
      </c>
    </row>
    <row r="239" spans="33:35" x14ac:dyDescent="0.25">
      <c r="AG239" s="2" t="str">
        <f t="shared" si="13"/>
        <v/>
      </c>
      <c r="AH239" s="60">
        <v>0</v>
      </c>
      <c r="AI239" s="87" t="str">
        <f t="shared" si="14"/>
        <v/>
      </c>
    </row>
    <row r="240" spans="33:35" x14ac:dyDescent="0.25">
      <c r="AG240" s="2" t="str">
        <f t="shared" si="13"/>
        <v/>
      </c>
      <c r="AH240" s="60">
        <v>0</v>
      </c>
      <c r="AI240" s="87" t="str">
        <f t="shared" si="14"/>
        <v/>
      </c>
    </row>
    <row r="241" spans="33:35" x14ac:dyDescent="0.25">
      <c r="AG241" s="2" t="str">
        <f t="shared" si="13"/>
        <v/>
      </c>
      <c r="AH241" s="60">
        <v>0</v>
      </c>
      <c r="AI241" s="87" t="str">
        <f t="shared" si="14"/>
        <v/>
      </c>
    </row>
    <row r="242" spans="33:35" x14ac:dyDescent="0.25">
      <c r="AG242" s="2" t="str">
        <f t="shared" si="13"/>
        <v/>
      </c>
      <c r="AH242" s="60">
        <v>0</v>
      </c>
      <c r="AI242" s="87" t="str">
        <f t="shared" si="14"/>
        <v/>
      </c>
    </row>
    <row r="243" spans="33:35" x14ac:dyDescent="0.25">
      <c r="AG243" s="2" t="str">
        <f t="shared" si="13"/>
        <v/>
      </c>
      <c r="AH243" s="60">
        <v>0</v>
      </c>
      <c r="AI243" s="87" t="str">
        <f t="shared" si="14"/>
        <v/>
      </c>
    </row>
    <row r="244" spans="33:35" x14ac:dyDescent="0.25">
      <c r="AG244" s="2" t="str">
        <f t="shared" si="13"/>
        <v/>
      </c>
      <c r="AH244" s="60">
        <v>0</v>
      </c>
      <c r="AI244" s="87" t="str">
        <f t="shared" si="14"/>
        <v/>
      </c>
    </row>
    <row r="245" spans="33:35" x14ac:dyDescent="0.25">
      <c r="AG245" s="2" t="str">
        <f t="shared" si="13"/>
        <v/>
      </c>
      <c r="AH245" s="60">
        <v>0</v>
      </c>
      <c r="AI245" s="87" t="str">
        <f t="shared" si="14"/>
        <v/>
      </c>
    </row>
    <row r="246" spans="33:35" x14ac:dyDescent="0.25">
      <c r="AG246" s="2" t="str">
        <f t="shared" si="13"/>
        <v/>
      </c>
      <c r="AH246" s="60">
        <v>0</v>
      </c>
      <c r="AI246" s="87" t="str">
        <f t="shared" si="14"/>
        <v/>
      </c>
    </row>
    <row r="247" spans="33:35" x14ac:dyDescent="0.25">
      <c r="AG247" s="2" t="str">
        <f t="shared" si="13"/>
        <v/>
      </c>
      <c r="AH247" s="60">
        <v>0</v>
      </c>
      <c r="AI247" s="87" t="str">
        <f t="shared" si="14"/>
        <v/>
      </c>
    </row>
    <row r="248" spans="33:35" x14ac:dyDescent="0.25">
      <c r="AG248" s="2" t="str">
        <f t="shared" si="13"/>
        <v/>
      </c>
      <c r="AH248" s="60">
        <v>0</v>
      </c>
      <c r="AI248" s="87" t="str">
        <f t="shared" si="14"/>
        <v/>
      </c>
    </row>
    <row r="249" spans="33:35" x14ac:dyDescent="0.25">
      <c r="AG249" s="2" t="str">
        <f t="shared" si="13"/>
        <v/>
      </c>
      <c r="AH249" s="60">
        <v>0</v>
      </c>
      <c r="AI249" s="87" t="str">
        <f t="shared" si="14"/>
        <v/>
      </c>
    </row>
    <row r="250" spans="33:35" x14ac:dyDescent="0.25">
      <c r="AG250" s="2" t="str">
        <f t="shared" si="13"/>
        <v/>
      </c>
      <c r="AH250" s="60">
        <v>0</v>
      </c>
      <c r="AI250" s="87" t="str">
        <f t="shared" si="14"/>
        <v/>
      </c>
    </row>
    <row r="251" spans="33:35" x14ac:dyDescent="0.25">
      <c r="AG251" s="2" t="str">
        <f t="shared" si="13"/>
        <v/>
      </c>
      <c r="AH251" s="60">
        <v>0</v>
      </c>
      <c r="AI251" s="87" t="str">
        <f t="shared" si="14"/>
        <v/>
      </c>
    </row>
    <row r="252" spans="33:35" x14ac:dyDescent="0.25">
      <c r="AG252" s="2" t="str">
        <f t="shared" si="13"/>
        <v/>
      </c>
      <c r="AH252" s="60">
        <v>0</v>
      </c>
      <c r="AI252" s="87" t="str">
        <f t="shared" si="14"/>
        <v/>
      </c>
    </row>
    <row r="253" spans="33:35" x14ac:dyDescent="0.25">
      <c r="AG253" s="2" t="str">
        <f t="shared" si="13"/>
        <v/>
      </c>
      <c r="AH253" s="60">
        <v>0</v>
      </c>
      <c r="AI253" s="87" t="str">
        <f t="shared" si="14"/>
        <v/>
      </c>
    </row>
    <row r="254" spans="33:35" x14ac:dyDescent="0.25">
      <c r="AG254" s="2" t="str">
        <f t="shared" si="13"/>
        <v/>
      </c>
      <c r="AH254" s="60">
        <v>0</v>
      </c>
      <c r="AI254" s="87" t="str">
        <f t="shared" si="14"/>
        <v/>
      </c>
    </row>
    <row r="255" spans="33:35" x14ac:dyDescent="0.25">
      <c r="AG255" s="2" t="str">
        <f t="shared" si="13"/>
        <v/>
      </c>
      <c r="AH255" s="60">
        <v>0</v>
      </c>
      <c r="AI255" s="87" t="str">
        <f t="shared" si="14"/>
        <v/>
      </c>
    </row>
    <row r="256" spans="33:35" x14ac:dyDescent="0.25">
      <c r="AG256" s="2" t="str">
        <f t="shared" si="13"/>
        <v/>
      </c>
      <c r="AH256" s="60">
        <v>0</v>
      </c>
      <c r="AI256" s="87" t="str">
        <f t="shared" si="14"/>
        <v/>
      </c>
    </row>
    <row r="257" spans="33:35" x14ac:dyDescent="0.25">
      <c r="AG257" s="2" t="str">
        <f t="shared" si="13"/>
        <v/>
      </c>
      <c r="AH257" s="60">
        <v>0</v>
      </c>
      <c r="AI257" s="87" t="str">
        <f t="shared" si="14"/>
        <v/>
      </c>
    </row>
    <row r="258" spans="33:35" x14ac:dyDescent="0.25">
      <c r="AG258" s="2" t="str">
        <f t="shared" si="13"/>
        <v/>
      </c>
      <c r="AH258" s="60">
        <v>0</v>
      </c>
      <c r="AI258" s="87" t="str">
        <f t="shared" si="14"/>
        <v/>
      </c>
    </row>
    <row r="259" spans="33:35" x14ac:dyDescent="0.25">
      <c r="AG259" s="2" t="str">
        <f t="shared" si="13"/>
        <v/>
      </c>
      <c r="AH259" s="60">
        <v>0</v>
      </c>
      <c r="AI259" s="87" t="str">
        <f t="shared" si="14"/>
        <v/>
      </c>
    </row>
    <row r="260" spans="33:35" x14ac:dyDescent="0.25">
      <c r="AG260" s="2" t="str">
        <f t="shared" si="13"/>
        <v/>
      </c>
      <c r="AH260" s="60">
        <v>0</v>
      </c>
      <c r="AI260" s="87" t="str">
        <f t="shared" si="14"/>
        <v/>
      </c>
    </row>
    <row r="261" spans="33:35" x14ac:dyDescent="0.25">
      <c r="AG261" s="2" t="str">
        <f t="shared" si="13"/>
        <v/>
      </c>
      <c r="AH261" s="60">
        <v>0</v>
      </c>
      <c r="AI261" s="87" t="str">
        <f t="shared" si="14"/>
        <v/>
      </c>
    </row>
    <row r="262" spans="33:35" x14ac:dyDescent="0.25">
      <c r="AG262" s="2" t="str">
        <f t="shared" si="13"/>
        <v/>
      </c>
      <c r="AH262" s="60">
        <v>0</v>
      </c>
      <c r="AI262" s="87" t="str">
        <f t="shared" si="14"/>
        <v/>
      </c>
    </row>
    <row r="263" spans="33:35" x14ac:dyDescent="0.25">
      <c r="AG263" s="2" t="str">
        <f t="shared" si="13"/>
        <v/>
      </c>
      <c r="AH263" s="60">
        <v>0</v>
      </c>
      <c r="AI263" s="87" t="str">
        <f t="shared" si="14"/>
        <v/>
      </c>
    </row>
    <row r="264" spans="33:35" x14ac:dyDescent="0.25">
      <c r="AG264" s="2" t="str">
        <f t="shared" si="13"/>
        <v/>
      </c>
      <c r="AH264" s="60">
        <v>0</v>
      </c>
      <c r="AI264" s="87" t="str">
        <f t="shared" si="14"/>
        <v/>
      </c>
    </row>
    <row r="265" spans="33:35" x14ac:dyDescent="0.25">
      <c r="AG265" s="2" t="str">
        <f t="shared" si="13"/>
        <v/>
      </c>
      <c r="AH265" s="60">
        <v>0</v>
      </c>
      <c r="AI265" s="87" t="str">
        <f t="shared" si="14"/>
        <v/>
      </c>
    </row>
    <row r="266" spans="33:35" x14ac:dyDescent="0.25">
      <c r="AG266" s="2" t="str">
        <f t="shared" si="13"/>
        <v/>
      </c>
      <c r="AH266" s="60">
        <v>0</v>
      </c>
      <c r="AI266" s="87" t="str">
        <f t="shared" si="14"/>
        <v/>
      </c>
    </row>
    <row r="267" spans="33:35" x14ac:dyDescent="0.25">
      <c r="AG267" s="2" t="str">
        <f t="shared" si="13"/>
        <v/>
      </c>
      <c r="AH267" s="60">
        <v>0</v>
      </c>
      <c r="AI267" s="87" t="str">
        <f t="shared" si="14"/>
        <v/>
      </c>
    </row>
    <row r="268" spans="33:35" x14ac:dyDescent="0.25">
      <c r="AG268" s="2" t="str">
        <f t="shared" ref="AG268:AG331" si="15">IF(ROW()&gt;IF($D$6="1nm spectral data",496,108),"",IF($D$6="1nm spectral data",298,300)+IF($D$6="1nm spectral data",1,5)*(ROW()-ROW($AG$12)))</f>
        <v/>
      </c>
      <c r="AH268" s="60">
        <v>0</v>
      </c>
      <c r="AI268" s="87" t="str">
        <f t="shared" si="14"/>
        <v/>
      </c>
    </row>
    <row r="269" spans="33:35" x14ac:dyDescent="0.25">
      <c r="AG269" s="2" t="str">
        <f t="shared" si="15"/>
        <v/>
      </c>
      <c r="AH269" s="60">
        <v>0</v>
      </c>
      <c r="AI269" s="87" t="str">
        <f t="shared" si="14"/>
        <v/>
      </c>
    </row>
    <row r="270" spans="33:35" x14ac:dyDescent="0.25">
      <c r="AG270" s="2" t="str">
        <f t="shared" si="15"/>
        <v/>
      </c>
      <c r="AH270" s="60">
        <v>0</v>
      </c>
      <c r="AI270" s="87" t="str">
        <f t="shared" ref="AI270:AI333" si="16">IF(AND($D$6="1nm spectral data",$AG270&lt;&gt;""),IF($AG270/5=INT($AG270/5),SUM($AH268:$AH272),""),"")</f>
        <v/>
      </c>
    </row>
    <row r="271" spans="33:35" x14ac:dyDescent="0.25">
      <c r="AG271" s="2" t="str">
        <f t="shared" si="15"/>
        <v/>
      </c>
      <c r="AH271" s="60">
        <v>0</v>
      </c>
      <c r="AI271" s="87" t="str">
        <f t="shared" si="16"/>
        <v/>
      </c>
    </row>
    <row r="272" spans="33:35" x14ac:dyDescent="0.25">
      <c r="AG272" s="2" t="str">
        <f t="shared" si="15"/>
        <v/>
      </c>
      <c r="AH272" s="60">
        <v>0</v>
      </c>
      <c r="AI272" s="87" t="str">
        <f t="shared" si="16"/>
        <v/>
      </c>
    </row>
    <row r="273" spans="33:35" x14ac:dyDescent="0.25">
      <c r="AG273" s="2" t="str">
        <f t="shared" si="15"/>
        <v/>
      </c>
      <c r="AH273" s="60">
        <v>0</v>
      </c>
      <c r="AI273" s="87" t="str">
        <f t="shared" si="16"/>
        <v/>
      </c>
    </row>
    <row r="274" spans="33:35" x14ac:dyDescent="0.25">
      <c r="AG274" s="2" t="str">
        <f t="shared" si="15"/>
        <v/>
      </c>
      <c r="AH274" s="60">
        <v>0</v>
      </c>
      <c r="AI274" s="87" t="str">
        <f t="shared" si="16"/>
        <v/>
      </c>
    </row>
    <row r="275" spans="33:35" x14ac:dyDescent="0.25">
      <c r="AG275" s="2" t="str">
        <f t="shared" si="15"/>
        <v/>
      </c>
      <c r="AH275" s="60">
        <v>0</v>
      </c>
      <c r="AI275" s="87" t="str">
        <f t="shared" si="16"/>
        <v/>
      </c>
    </row>
    <row r="276" spans="33:35" x14ac:dyDescent="0.25">
      <c r="AG276" s="2" t="str">
        <f t="shared" si="15"/>
        <v/>
      </c>
      <c r="AH276" s="60">
        <v>0</v>
      </c>
      <c r="AI276" s="87" t="str">
        <f t="shared" si="16"/>
        <v/>
      </c>
    </row>
    <row r="277" spans="33:35" x14ac:dyDescent="0.25">
      <c r="AG277" s="2" t="str">
        <f t="shared" si="15"/>
        <v/>
      </c>
      <c r="AH277" s="60">
        <v>0</v>
      </c>
      <c r="AI277" s="87" t="str">
        <f t="shared" si="16"/>
        <v/>
      </c>
    </row>
    <row r="278" spans="33:35" x14ac:dyDescent="0.25">
      <c r="AG278" s="2" t="str">
        <f t="shared" si="15"/>
        <v/>
      </c>
      <c r="AH278" s="60">
        <v>0</v>
      </c>
      <c r="AI278" s="87" t="str">
        <f t="shared" si="16"/>
        <v/>
      </c>
    </row>
    <row r="279" spans="33:35" x14ac:dyDescent="0.25">
      <c r="AG279" s="2" t="str">
        <f t="shared" si="15"/>
        <v/>
      </c>
      <c r="AH279" s="60">
        <v>0</v>
      </c>
      <c r="AI279" s="87" t="str">
        <f t="shared" si="16"/>
        <v/>
      </c>
    </row>
    <row r="280" spans="33:35" x14ac:dyDescent="0.25">
      <c r="AG280" s="2" t="str">
        <f t="shared" si="15"/>
        <v/>
      </c>
      <c r="AH280" s="60">
        <v>0</v>
      </c>
      <c r="AI280" s="87" t="str">
        <f t="shared" si="16"/>
        <v/>
      </c>
    </row>
    <row r="281" spans="33:35" x14ac:dyDescent="0.25">
      <c r="AG281" s="2" t="str">
        <f t="shared" si="15"/>
        <v/>
      </c>
      <c r="AH281" s="60">
        <v>0</v>
      </c>
      <c r="AI281" s="87" t="str">
        <f t="shared" si="16"/>
        <v/>
      </c>
    </row>
    <row r="282" spans="33:35" x14ac:dyDescent="0.25">
      <c r="AG282" s="2" t="str">
        <f t="shared" si="15"/>
        <v/>
      </c>
      <c r="AH282" s="60">
        <v>0</v>
      </c>
      <c r="AI282" s="87" t="str">
        <f t="shared" si="16"/>
        <v/>
      </c>
    </row>
    <row r="283" spans="33:35" x14ac:dyDescent="0.25">
      <c r="AG283" s="2" t="str">
        <f t="shared" si="15"/>
        <v/>
      </c>
      <c r="AH283" s="60">
        <v>0</v>
      </c>
      <c r="AI283" s="87" t="str">
        <f t="shared" si="16"/>
        <v/>
      </c>
    </row>
    <row r="284" spans="33:35" x14ac:dyDescent="0.25">
      <c r="AG284" s="2" t="str">
        <f t="shared" si="15"/>
        <v/>
      </c>
      <c r="AH284" s="60">
        <v>0</v>
      </c>
      <c r="AI284" s="87" t="str">
        <f t="shared" si="16"/>
        <v/>
      </c>
    </row>
    <row r="285" spans="33:35" x14ac:dyDescent="0.25">
      <c r="AG285" s="2" t="str">
        <f t="shared" si="15"/>
        <v/>
      </c>
      <c r="AH285" s="60">
        <v>0</v>
      </c>
      <c r="AI285" s="87" t="str">
        <f t="shared" si="16"/>
        <v/>
      </c>
    </row>
    <row r="286" spans="33:35" x14ac:dyDescent="0.25">
      <c r="AG286" s="2" t="str">
        <f t="shared" si="15"/>
        <v/>
      </c>
      <c r="AH286" s="60">
        <v>0</v>
      </c>
      <c r="AI286" s="87" t="str">
        <f t="shared" si="16"/>
        <v/>
      </c>
    </row>
    <row r="287" spans="33:35" x14ac:dyDescent="0.25">
      <c r="AG287" s="2" t="str">
        <f t="shared" si="15"/>
        <v/>
      </c>
      <c r="AH287" s="60">
        <v>0</v>
      </c>
      <c r="AI287" s="87" t="str">
        <f t="shared" si="16"/>
        <v/>
      </c>
    </row>
    <row r="288" spans="33:35" x14ac:dyDescent="0.25">
      <c r="AG288" s="2" t="str">
        <f t="shared" si="15"/>
        <v/>
      </c>
      <c r="AH288" s="60">
        <v>0</v>
      </c>
      <c r="AI288" s="87" t="str">
        <f t="shared" si="16"/>
        <v/>
      </c>
    </row>
    <row r="289" spans="33:35" x14ac:dyDescent="0.25">
      <c r="AG289" s="2" t="str">
        <f t="shared" si="15"/>
        <v/>
      </c>
      <c r="AH289" s="60">
        <v>0</v>
      </c>
      <c r="AI289" s="87" t="str">
        <f t="shared" si="16"/>
        <v/>
      </c>
    </row>
    <row r="290" spans="33:35" x14ac:dyDescent="0.25">
      <c r="AG290" s="2" t="str">
        <f t="shared" si="15"/>
        <v/>
      </c>
      <c r="AH290" s="60">
        <v>0</v>
      </c>
      <c r="AI290" s="87" t="str">
        <f t="shared" si="16"/>
        <v/>
      </c>
    </row>
    <row r="291" spans="33:35" x14ac:dyDescent="0.25">
      <c r="AG291" s="2" t="str">
        <f t="shared" si="15"/>
        <v/>
      </c>
      <c r="AH291" s="60">
        <v>0</v>
      </c>
      <c r="AI291" s="87" t="str">
        <f t="shared" si="16"/>
        <v/>
      </c>
    </row>
    <row r="292" spans="33:35" x14ac:dyDescent="0.25">
      <c r="AG292" s="2" t="str">
        <f t="shared" si="15"/>
        <v/>
      </c>
      <c r="AH292" s="60">
        <v>0</v>
      </c>
      <c r="AI292" s="87" t="str">
        <f t="shared" si="16"/>
        <v/>
      </c>
    </row>
    <row r="293" spans="33:35" x14ac:dyDescent="0.25">
      <c r="AG293" s="2" t="str">
        <f t="shared" si="15"/>
        <v/>
      </c>
      <c r="AH293" s="60">
        <v>0</v>
      </c>
      <c r="AI293" s="87" t="str">
        <f t="shared" si="16"/>
        <v/>
      </c>
    </row>
    <row r="294" spans="33:35" x14ac:dyDescent="0.25">
      <c r="AG294" s="2" t="str">
        <f t="shared" si="15"/>
        <v/>
      </c>
      <c r="AH294" s="60">
        <v>0</v>
      </c>
      <c r="AI294" s="87" t="str">
        <f t="shared" si="16"/>
        <v/>
      </c>
    </row>
    <row r="295" spans="33:35" x14ac:dyDescent="0.25">
      <c r="AG295" s="2" t="str">
        <f t="shared" si="15"/>
        <v/>
      </c>
      <c r="AH295" s="60">
        <v>0</v>
      </c>
      <c r="AI295" s="87" t="str">
        <f t="shared" si="16"/>
        <v/>
      </c>
    </row>
    <row r="296" spans="33:35" x14ac:dyDescent="0.25">
      <c r="AG296" s="2" t="str">
        <f t="shared" si="15"/>
        <v/>
      </c>
      <c r="AH296" s="60">
        <v>0</v>
      </c>
      <c r="AI296" s="87" t="str">
        <f t="shared" si="16"/>
        <v/>
      </c>
    </row>
    <row r="297" spans="33:35" x14ac:dyDescent="0.25">
      <c r="AG297" s="2" t="str">
        <f t="shared" si="15"/>
        <v/>
      </c>
      <c r="AH297" s="60">
        <v>0</v>
      </c>
      <c r="AI297" s="87" t="str">
        <f t="shared" si="16"/>
        <v/>
      </c>
    </row>
    <row r="298" spans="33:35" x14ac:dyDescent="0.25">
      <c r="AG298" s="2" t="str">
        <f t="shared" si="15"/>
        <v/>
      </c>
      <c r="AH298" s="60">
        <v>0</v>
      </c>
      <c r="AI298" s="87" t="str">
        <f t="shared" si="16"/>
        <v/>
      </c>
    </row>
    <row r="299" spans="33:35" x14ac:dyDescent="0.25">
      <c r="AG299" s="2" t="str">
        <f t="shared" si="15"/>
        <v/>
      </c>
      <c r="AH299" s="60">
        <v>0</v>
      </c>
      <c r="AI299" s="87" t="str">
        <f t="shared" si="16"/>
        <v/>
      </c>
    </row>
    <row r="300" spans="33:35" x14ac:dyDescent="0.25">
      <c r="AG300" s="2" t="str">
        <f t="shared" si="15"/>
        <v/>
      </c>
      <c r="AH300" s="60">
        <v>0</v>
      </c>
      <c r="AI300" s="87" t="str">
        <f t="shared" si="16"/>
        <v/>
      </c>
    </row>
    <row r="301" spans="33:35" x14ac:dyDescent="0.25">
      <c r="AG301" s="2" t="str">
        <f t="shared" si="15"/>
        <v/>
      </c>
      <c r="AH301" s="60">
        <v>0</v>
      </c>
      <c r="AI301" s="87" t="str">
        <f t="shared" si="16"/>
        <v/>
      </c>
    </row>
    <row r="302" spans="33:35" x14ac:dyDescent="0.25">
      <c r="AG302" s="2" t="str">
        <f t="shared" si="15"/>
        <v/>
      </c>
      <c r="AH302" s="60">
        <v>0</v>
      </c>
      <c r="AI302" s="87" t="str">
        <f t="shared" si="16"/>
        <v/>
      </c>
    </row>
    <row r="303" spans="33:35" x14ac:dyDescent="0.25">
      <c r="AG303" s="2" t="str">
        <f t="shared" si="15"/>
        <v/>
      </c>
      <c r="AH303" s="60">
        <v>0</v>
      </c>
      <c r="AI303" s="87" t="str">
        <f t="shared" si="16"/>
        <v/>
      </c>
    </row>
    <row r="304" spans="33:35" x14ac:dyDescent="0.25">
      <c r="AG304" s="2" t="str">
        <f t="shared" si="15"/>
        <v/>
      </c>
      <c r="AH304" s="60">
        <v>0</v>
      </c>
      <c r="AI304" s="87" t="str">
        <f t="shared" si="16"/>
        <v/>
      </c>
    </row>
    <row r="305" spans="33:35" x14ac:dyDescent="0.25">
      <c r="AG305" s="2" t="str">
        <f t="shared" si="15"/>
        <v/>
      </c>
      <c r="AH305" s="60">
        <v>0</v>
      </c>
      <c r="AI305" s="87" t="str">
        <f t="shared" si="16"/>
        <v/>
      </c>
    </row>
    <row r="306" spans="33:35" x14ac:dyDescent="0.25">
      <c r="AG306" s="2" t="str">
        <f t="shared" si="15"/>
        <v/>
      </c>
      <c r="AH306" s="60">
        <v>0</v>
      </c>
      <c r="AI306" s="87" t="str">
        <f t="shared" si="16"/>
        <v/>
      </c>
    </row>
    <row r="307" spans="33:35" x14ac:dyDescent="0.25">
      <c r="AG307" s="2" t="str">
        <f t="shared" si="15"/>
        <v/>
      </c>
      <c r="AH307" s="60">
        <v>0</v>
      </c>
      <c r="AI307" s="87" t="str">
        <f t="shared" si="16"/>
        <v/>
      </c>
    </row>
    <row r="308" spans="33:35" x14ac:dyDescent="0.25">
      <c r="AG308" s="2" t="str">
        <f t="shared" si="15"/>
        <v/>
      </c>
      <c r="AH308" s="60">
        <v>0</v>
      </c>
      <c r="AI308" s="87" t="str">
        <f t="shared" si="16"/>
        <v/>
      </c>
    </row>
    <row r="309" spans="33:35" x14ac:dyDescent="0.25">
      <c r="AG309" s="2" t="str">
        <f t="shared" si="15"/>
        <v/>
      </c>
      <c r="AH309" s="60">
        <v>0</v>
      </c>
      <c r="AI309" s="87" t="str">
        <f t="shared" si="16"/>
        <v/>
      </c>
    </row>
    <row r="310" spans="33:35" x14ac:dyDescent="0.25">
      <c r="AG310" s="2" t="str">
        <f t="shared" si="15"/>
        <v/>
      </c>
      <c r="AH310" s="60">
        <v>0</v>
      </c>
      <c r="AI310" s="87" t="str">
        <f t="shared" si="16"/>
        <v/>
      </c>
    </row>
    <row r="311" spans="33:35" x14ac:dyDescent="0.25">
      <c r="AG311" s="2" t="str">
        <f t="shared" si="15"/>
        <v/>
      </c>
      <c r="AH311" s="60">
        <v>0</v>
      </c>
      <c r="AI311" s="87" t="str">
        <f t="shared" si="16"/>
        <v/>
      </c>
    </row>
    <row r="312" spans="33:35" x14ac:dyDescent="0.25">
      <c r="AG312" s="2" t="str">
        <f t="shared" si="15"/>
        <v/>
      </c>
      <c r="AH312" s="60">
        <v>0</v>
      </c>
      <c r="AI312" s="87" t="str">
        <f t="shared" si="16"/>
        <v/>
      </c>
    </row>
    <row r="313" spans="33:35" x14ac:dyDescent="0.25">
      <c r="AG313" s="2" t="str">
        <f t="shared" si="15"/>
        <v/>
      </c>
      <c r="AH313" s="60">
        <v>0</v>
      </c>
      <c r="AI313" s="87" t="str">
        <f t="shared" si="16"/>
        <v/>
      </c>
    </row>
    <row r="314" spans="33:35" x14ac:dyDescent="0.25">
      <c r="AG314" s="2" t="str">
        <f t="shared" si="15"/>
        <v/>
      </c>
      <c r="AH314" s="60">
        <v>0</v>
      </c>
      <c r="AI314" s="87" t="str">
        <f t="shared" si="16"/>
        <v/>
      </c>
    </row>
    <row r="315" spans="33:35" x14ac:dyDescent="0.25">
      <c r="AG315" s="2" t="str">
        <f t="shared" si="15"/>
        <v/>
      </c>
      <c r="AH315" s="60">
        <v>0</v>
      </c>
      <c r="AI315" s="87" t="str">
        <f t="shared" si="16"/>
        <v/>
      </c>
    </row>
    <row r="316" spans="33:35" x14ac:dyDescent="0.25">
      <c r="AG316" s="2" t="str">
        <f t="shared" si="15"/>
        <v/>
      </c>
      <c r="AH316" s="60">
        <v>0</v>
      </c>
      <c r="AI316" s="87" t="str">
        <f t="shared" si="16"/>
        <v/>
      </c>
    </row>
    <row r="317" spans="33:35" x14ac:dyDescent="0.25">
      <c r="AG317" s="2" t="str">
        <f t="shared" si="15"/>
        <v/>
      </c>
      <c r="AH317" s="60">
        <v>0</v>
      </c>
      <c r="AI317" s="87" t="str">
        <f t="shared" si="16"/>
        <v/>
      </c>
    </row>
    <row r="318" spans="33:35" x14ac:dyDescent="0.25">
      <c r="AG318" s="2" t="str">
        <f t="shared" si="15"/>
        <v/>
      </c>
      <c r="AH318" s="60">
        <v>0</v>
      </c>
      <c r="AI318" s="87" t="str">
        <f t="shared" si="16"/>
        <v/>
      </c>
    </row>
    <row r="319" spans="33:35" x14ac:dyDescent="0.25">
      <c r="AG319" s="2" t="str">
        <f t="shared" si="15"/>
        <v/>
      </c>
      <c r="AH319" s="60">
        <v>0</v>
      </c>
      <c r="AI319" s="87" t="str">
        <f t="shared" si="16"/>
        <v/>
      </c>
    </row>
    <row r="320" spans="33:35" x14ac:dyDescent="0.25">
      <c r="AG320" s="2" t="str">
        <f t="shared" si="15"/>
        <v/>
      </c>
      <c r="AH320" s="60">
        <v>0</v>
      </c>
      <c r="AI320" s="87" t="str">
        <f t="shared" si="16"/>
        <v/>
      </c>
    </row>
    <row r="321" spans="33:35" x14ac:dyDescent="0.25">
      <c r="AG321" s="2" t="str">
        <f t="shared" si="15"/>
        <v/>
      </c>
      <c r="AH321" s="60">
        <v>0</v>
      </c>
      <c r="AI321" s="87" t="str">
        <f t="shared" si="16"/>
        <v/>
      </c>
    </row>
    <row r="322" spans="33:35" x14ac:dyDescent="0.25">
      <c r="AG322" s="2" t="str">
        <f t="shared" si="15"/>
        <v/>
      </c>
      <c r="AH322" s="60">
        <v>0</v>
      </c>
      <c r="AI322" s="87" t="str">
        <f t="shared" si="16"/>
        <v/>
      </c>
    </row>
    <row r="323" spans="33:35" x14ac:dyDescent="0.25">
      <c r="AG323" s="2" t="str">
        <f t="shared" si="15"/>
        <v/>
      </c>
      <c r="AH323" s="60">
        <v>0</v>
      </c>
      <c r="AI323" s="87" t="str">
        <f t="shared" si="16"/>
        <v/>
      </c>
    </row>
    <row r="324" spans="33:35" x14ac:dyDescent="0.25">
      <c r="AG324" s="2" t="str">
        <f t="shared" si="15"/>
        <v/>
      </c>
      <c r="AH324" s="60">
        <v>0</v>
      </c>
      <c r="AI324" s="87" t="str">
        <f t="shared" si="16"/>
        <v/>
      </c>
    </row>
    <row r="325" spans="33:35" x14ac:dyDescent="0.25">
      <c r="AG325" s="2" t="str">
        <f t="shared" si="15"/>
        <v/>
      </c>
      <c r="AH325" s="60">
        <v>0</v>
      </c>
      <c r="AI325" s="87" t="str">
        <f t="shared" si="16"/>
        <v/>
      </c>
    </row>
    <row r="326" spans="33:35" x14ac:dyDescent="0.25">
      <c r="AG326" s="2" t="str">
        <f t="shared" si="15"/>
        <v/>
      </c>
      <c r="AH326" s="60">
        <v>0</v>
      </c>
      <c r="AI326" s="87" t="str">
        <f t="shared" si="16"/>
        <v/>
      </c>
    </row>
    <row r="327" spans="33:35" x14ac:dyDescent="0.25">
      <c r="AG327" s="2" t="str">
        <f t="shared" si="15"/>
        <v/>
      </c>
      <c r="AH327" s="60">
        <v>0</v>
      </c>
      <c r="AI327" s="87" t="str">
        <f t="shared" si="16"/>
        <v/>
      </c>
    </row>
    <row r="328" spans="33:35" x14ac:dyDescent="0.25">
      <c r="AG328" s="2" t="str">
        <f t="shared" si="15"/>
        <v/>
      </c>
      <c r="AH328" s="60">
        <v>0</v>
      </c>
      <c r="AI328" s="87" t="str">
        <f t="shared" si="16"/>
        <v/>
      </c>
    </row>
    <row r="329" spans="33:35" x14ac:dyDescent="0.25">
      <c r="AG329" s="2" t="str">
        <f t="shared" si="15"/>
        <v/>
      </c>
      <c r="AH329" s="60">
        <v>0</v>
      </c>
      <c r="AI329" s="87" t="str">
        <f t="shared" si="16"/>
        <v/>
      </c>
    </row>
    <row r="330" spans="33:35" x14ac:dyDescent="0.25">
      <c r="AG330" s="2" t="str">
        <f t="shared" si="15"/>
        <v/>
      </c>
      <c r="AH330" s="60">
        <v>0</v>
      </c>
      <c r="AI330" s="87" t="str">
        <f t="shared" si="16"/>
        <v/>
      </c>
    </row>
    <row r="331" spans="33:35" x14ac:dyDescent="0.25">
      <c r="AG331" s="2" t="str">
        <f t="shared" si="15"/>
        <v/>
      </c>
      <c r="AH331" s="60">
        <v>0</v>
      </c>
      <c r="AI331" s="87" t="str">
        <f t="shared" si="16"/>
        <v/>
      </c>
    </row>
    <row r="332" spans="33:35" x14ac:dyDescent="0.25">
      <c r="AG332" s="2" t="str">
        <f t="shared" ref="AG332:AG395" si="17">IF(ROW()&gt;IF($D$6="1nm spectral data",496,108),"",IF($D$6="1nm spectral data",298,300)+IF($D$6="1nm spectral data",1,5)*(ROW()-ROW($AG$12)))</f>
        <v/>
      </c>
      <c r="AH332" s="60">
        <v>0</v>
      </c>
      <c r="AI332" s="87" t="str">
        <f t="shared" si="16"/>
        <v/>
      </c>
    </row>
    <row r="333" spans="33:35" x14ac:dyDescent="0.25">
      <c r="AG333" s="2" t="str">
        <f t="shared" si="17"/>
        <v/>
      </c>
      <c r="AH333" s="60">
        <v>0</v>
      </c>
      <c r="AI333" s="87" t="str">
        <f t="shared" si="16"/>
        <v/>
      </c>
    </row>
    <row r="334" spans="33:35" x14ac:dyDescent="0.25">
      <c r="AG334" s="2" t="str">
        <f t="shared" si="17"/>
        <v/>
      </c>
      <c r="AH334" s="60">
        <v>0</v>
      </c>
      <c r="AI334" s="87" t="str">
        <f t="shared" ref="AI334:AI397" si="18">IF(AND($D$6="1nm spectral data",$AG334&lt;&gt;""),IF($AG334/5=INT($AG334/5),SUM($AH332:$AH336),""),"")</f>
        <v/>
      </c>
    </row>
    <row r="335" spans="33:35" x14ac:dyDescent="0.25">
      <c r="AG335" s="2" t="str">
        <f t="shared" si="17"/>
        <v/>
      </c>
      <c r="AH335" s="60">
        <v>0</v>
      </c>
      <c r="AI335" s="87" t="str">
        <f t="shared" si="18"/>
        <v/>
      </c>
    </row>
    <row r="336" spans="33:35" x14ac:dyDescent="0.25">
      <c r="AG336" s="2" t="str">
        <f t="shared" si="17"/>
        <v/>
      </c>
      <c r="AH336" s="60">
        <v>0</v>
      </c>
      <c r="AI336" s="87" t="str">
        <f t="shared" si="18"/>
        <v/>
      </c>
    </row>
    <row r="337" spans="33:35" x14ac:dyDescent="0.25">
      <c r="AG337" s="2" t="str">
        <f t="shared" si="17"/>
        <v/>
      </c>
      <c r="AH337" s="60">
        <v>0</v>
      </c>
      <c r="AI337" s="87" t="str">
        <f t="shared" si="18"/>
        <v/>
      </c>
    </row>
    <row r="338" spans="33:35" x14ac:dyDescent="0.25">
      <c r="AG338" s="2" t="str">
        <f t="shared" si="17"/>
        <v/>
      </c>
      <c r="AH338" s="60">
        <v>0</v>
      </c>
      <c r="AI338" s="87" t="str">
        <f t="shared" si="18"/>
        <v/>
      </c>
    </row>
    <row r="339" spans="33:35" x14ac:dyDescent="0.25">
      <c r="AG339" s="2" t="str">
        <f t="shared" si="17"/>
        <v/>
      </c>
      <c r="AH339" s="60">
        <v>0</v>
      </c>
      <c r="AI339" s="87" t="str">
        <f t="shared" si="18"/>
        <v/>
      </c>
    </row>
    <row r="340" spans="33:35" x14ac:dyDescent="0.25">
      <c r="AG340" s="2" t="str">
        <f t="shared" si="17"/>
        <v/>
      </c>
      <c r="AH340" s="60">
        <v>0</v>
      </c>
      <c r="AI340" s="87" t="str">
        <f t="shared" si="18"/>
        <v/>
      </c>
    </row>
    <row r="341" spans="33:35" x14ac:dyDescent="0.25">
      <c r="AG341" s="2" t="str">
        <f t="shared" si="17"/>
        <v/>
      </c>
      <c r="AH341" s="60">
        <v>0</v>
      </c>
      <c r="AI341" s="87" t="str">
        <f t="shared" si="18"/>
        <v/>
      </c>
    </row>
    <row r="342" spans="33:35" x14ac:dyDescent="0.25">
      <c r="AG342" s="2" t="str">
        <f t="shared" si="17"/>
        <v/>
      </c>
      <c r="AH342" s="60">
        <v>0</v>
      </c>
      <c r="AI342" s="87" t="str">
        <f t="shared" si="18"/>
        <v/>
      </c>
    </row>
    <row r="343" spans="33:35" x14ac:dyDescent="0.25">
      <c r="AG343" s="2" t="str">
        <f t="shared" si="17"/>
        <v/>
      </c>
      <c r="AH343" s="60">
        <v>0</v>
      </c>
      <c r="AI343" s="87" t="str">
        <f t="shared" si="18"/>
        <v/>
      </c>
    </row>
    <row r="344" spans="33:35" x14ac:dyDescent="0.25">
      <c r="AG344" s="2" t="str">
        <f t="shared" si="17"/>
        <v/>
      </c>
      <c r="AH344" s="60">
        <v>0</v>
      </c>
      <c r="AI344" s="87" t="str">
        <f t="shared" si="18"/>
        <v/>
      </c>
    </row>
    <row r="345" spans="33:35" x14ac:dyDescent="0.25">
      <c r="AG345" s="2" t="str">
        <f t="shared" si="17"/>
        <v/>
      </c>
      <c r="AH345" s="60">
        <v>0</v>
      </c>
      <c r="AI345" s="87" t="str">
        <f t="shared" si="18"/>
        <v/>
      </c>
    </row>
    <row r="346" spans="33:35" x14ac:dyDescent="0.25">
      <c r="AG346" s="2" t="str">
        <f t="shared" si="17"/>
        <v/>
      </c>
      <c r="AH346" s="60">
        <v>0</v>
      </c>
      <c r="AI346" s="87" t="str">
        <f t="shared" si="18"/>
        <v/>
      </c>
    </row>
    <row r="347" spans="33:35" x14ac:dyDescent="0.25">
      <c r="AG347" s="2" t="str">
        <f t="shared" si="17"/>
        <v/>
      </c>
      <c r="AH347" s="60">
        <v>0</v>
      </c>
      <c r="AI347" s="87" t="str">
        <f t="shared" si="18"/>
        <v/>
      </c>
    </row>
    <row r="348" spans="33:35" x14ac:dyDescent="0.25">
      <c r="AG348" s="2" t="str">
        <f t="shared" si="17"/>
        <v/>
      </c>
      <c r="AH348" s="60">
        <v>0</v>
      </c>
      <c r="AI348" s="87" t="str">
        <f t="shared" si="18"/>
        <v/>
      </c>
    </row>
    <row r="349" spans="33:35" x14ac:dyDescent="0.25">
      <c r="AG349" s="2" t="str">
        <f t="shared" si="17"/>
        <v/>
      </c>
      <c r="AH349" s="60">
        <v>0</v>
      </c>
      <c r="AI349" s="87" t="str">
        <f t="shared" si="18"/>
        <v/>
      </c>
    </row>
    <row r="350" spans="33:35" x14ac:dyDescent="0.25">
      <c r="AG350" s="2" t="str">
        <f t="shared" si="17"/>
        <v/>
      </c>
      <c r="AH350" s="60">
        <v>0</v>
      </c>
      <c r="AI350" s="87" t="str">
        <f t="shared" si="18"/>
        <v/>
      </c>
    </row>
    <row r="351" spans="33:35" x14ac:dyDescent="0.25">
      <c r="AG351" s="2" t="str">
        <f t="shared" si="17"/>
        <v/>
      </c>
      <c r="AH351" s="60">
        <v>0</v>
      </c>
      <c r="AI351" s="87" t="str">
        <f t="shared" si="18"/>
        <v/>
      </c>
    </row>
    <row r="352" spans="33:35" x14ac:dyDescent="0.25">
      <c r="AG352" s="2" t="str">
        <f t="shared" si="17"/>
        <v/>
      </c>
      <c r="AH352" s="60">
        <v>0</v>
      </c>
      <c r="AI352" s="87" t="str">
        <f t="shared" si="18"/>
        <v/>
      </c>
    </row>
    <row r="353" spans="33:35" x14ac:dyDescent="0.25">
      <c r="AG353" s="2" t="str">
        <f t="shared" si="17"/>
        <v/>
      </c>
      <c r="AH353" s="60">
        <v>0</v>
      </c>
      <c r="AI353" s="87" t="str">
        <f t="shared" si="18"/>
        <v/>
      </c>
    </row>
    <row r="354" spans="33:35" x14ac:dyDescent="0.25">
      <c r="AG354" s="2" t="str">
        <f t="shared" si="17"/>
        <v/>
      </c>
      <c r="AH354" s="60">
        <v>0</v>
      </c>
      <c r="AI354" s="87" t="str">
        <f t="shared" si="18"/>
        <v/>
      </c>
    </row>
    <row r="355" spans="33:35" x14ac:dyDescent="0.25">
      <c r="AG355" s="2" t="str">
        <f t="shared" si="17"/>
        <v/>
      </c>
      <c r="AH355" s="60">
        <v>0</v>
      </c>
      <c r="AI355" s="87" t="str">
        <f t="shared" si="18"/>
        <v/>
      </c>
    </row>
    <row r="356" spans="33:35" x14ac:dyDescent="0.25">
      <c r="AG356" s="2" t="str">
        <f t="shared" si="17"/>
        <v/>
      </c>
      <c r="AH356" s="60">
        <v>0</v>
      </c>
      <c r="AI356" s="87" t="str">
        <f t="shared" si="18"/>
        <v/>
      </c>
    </row>
    <row r="357" spans="33:35" x14ac:dyDescent="0.25">
      <c r="AG357" s="2" t="str">
        <f t="shared" si="17"/>
        <v/>
      </c>
      <c r="AH357" s="60">
        <v>0</v>
      </c>
      <c r="AI357" s="87" t="str">
        <f t="shared" si="18"/>
        <v/>
      </c>
    </row>
    <row r="358" spans="33:35" x14ac:dyDescent="0.25">
      <c r="AG358" s="2" t="str">
        <f t="shared" si="17"/>
        <v/>
      </c>
      <c r="AH358" s="60">
        <v>0</v>
      </c>
      <c r="AI358" s="87" t="str">
        <f t="shared" si="18"/>
        <v/>
      </c>
    </row>
    <row r="359" spans="33:35" x14ac:dyDescent="0.25">
      <c r="AG359" s="2" t="str">
        <f t="shared" si="17"/>
        <v/>
      </c>
      <c r="AH359" s="60">
        <v>0</v>
      </c>
      <c r="AI359" s="87" t="str">
        <f t="shared" si="18"/>
        <v/>
      </c>
    </row>
    <row r="360" spans="33:35" x14ac:dyDescent="0.25">
      <c r="AG360" s="2" t="str">
        <f t="shared" si="17"/>
        <v/>
      </c>
      <c r="AH360" s="60">
        <v>0</v>
      </c>
      <c r="AI360" s="87" t="str">
        <f t="shared" si="18"/>
        <v/>
      </c>
    </row>
    <row r="361" spans="33:35" x14ac:dyDescent="0.25">
      <c r="AG361" s="2" t="str">
        <f t="shared" si="17"/>
        <v/>
      </c>
      <c r="AH361" s="60">
        <v>0</v>
      </c>
      <c r="AI361" s="87" t="str">
        <f t="shared" si="18"/>
        <v/>
      </c>
    </row>
    <row r="362" spans="33:35" x14ac:dyDescent="0.25">
      <c r="AG362" s="2" t="str">
        <f t="shared" si="17"/>
        <v/>
      </c>
      <c r="AH362" s="60">
        <v>0</v>
      </c>
      <c r="AI362" s="87" t="str">
        <f t="shared" si="18"/>
        <v/>
      </c>
    </row>
    <row r="363" spans="33:35" x14ac:dyDescent="0.25">
      <c r="AG363" s="2" t="str">
        <f t="shared" si="17"/>
        <v/>
      </c>
      <c r="AH363" s="60">
        <v>0</v>
      </c>
      <c r="AI363" s="87" t="str">
        <f t="shared" si="18"/>
        <v/>
      </c>
    </row>
    <row r="364" spans="33:35" x14ac:dyDescent="0.25">
      <c r="AG364" s="2" t="str">
        <f t="shared" si="17"/>
        <v/>
      </c>
      <c r="AH364" s="60">
        <v>0</v>
      </c>
      <c r="AI364" s="87" t="str">
        <f t="shared" si="18"/>
        <v/>
      </c>
    </row>
    <row r="365" spans="33:35" x14ac:dyDescent="0.25">
      <c r="AG365" s="2" t="str">
        <f t="shared" si="17"/>
        <v/>
      </c>
      <c r="AH365" s="60">
        <v>0</v>
      </c>
      <c r="AI365" s="87" t="str">
        <f t="shared" si="18"/>
        <v/>
      </c>
    </row>
    <row r="366" spans="33:35" x14ac:dyDescent="0.25">
      <c r="AG366" s="2" t="str">
        <f t="shared" si="17"/>
        <v/>
      </c>
      <c r="AH366" s="60">
        <v>0</v>
      </c>
      <c r="AI366" s="87" t="str">
        <f t="shared" si="18"/>
        <v/>
      </c>
    </row>
    <row r="367" spans="33:35" x14ac:dyDescent="0.25">
      <c r="AG367" s="2" t="str">
        <f t="shared" si="17"/>
        <v/>
      </c>
      <c r="AH367" s="60">
        <v>0</v>
      </c>
      <c r="AI367" s="87" t="str">
        <f t="shared" si="18"/>
        <v/>
      </c>
    </row>
    <row r="368" spans="33:35" x14ac:dyDescent="0.25">
      <c r="AG368" s="2" t="str">
        <f t="shared" si="17"/>
        <v/>
      </c>
      <c r="AH368" s="60">
        <v>0</v>
      </c>
      <c r="AI368" s="87" t="str">
        <f t="shared" si="18"/>
        <v/>
      </c>
    </row>
    <row r="369" spans="33:35" x14ac:dyDescent="0.25">
      <c r="AG369" s="2" t="str">
        <f t="shared" si="17"/>
        <v/>
      </c>
      <c r="AH369" s="60">
        <v>0</v>
      </c>
      <c r="AI369" s="87" t="str">
        <f t="shared" si="18"/>
        <v/>
      </c>
    </row>
    <row r="370" spans="33:35" x14ac:dyDescent="0.25">
      <c r="AG370" s="2" t="str">
        <f t="shared" si="17"/>
        <v/>
      </c>
      <c r="AH370" s="60">
        <v>0</v>
      </c>
      <c r="AI370" s="87" t="str">
        <f t="shared" si="18"/>
        <v/>
      </c>
    </row>
    <row r="371" spans="33:35" x14ac:dyDescent="0.25">
      <c r="AG371" s="2" t="str">
        <f t="shared" si="17"/>
        <v/>
      </c>
      <c r="AH371" s="60">
        <v>0</v>
      </c>
      <c r="AI371" s="87" t="str">
        <f t="shared" si="18"/>
        <v/>
      </c>
    </row>
    <row r="372" spans="33:35" x14ac:dyDescent="0.25">
      <c r="AG372" s="2" t="str">
        <f t="shared" si="17"/>
        <v/>
      </c>
      <c r="AH372" s="60">
        <v>0</v>
      </c>
      <c r="AI372" s="87" t="str">
        <f t="shared" si="18"/>
        <v/>
      </c>
    </row>
    <row r="373" spans="33:35" x14ac:dyDescent="0.25">
      <c r="AG373" s="2" t="str">
        <f t="shared" si="17"/>
        <v/>
      </c>
      <c r="AH373" s="60">
        <v>0</v>
      </c>
      <c r="AI373" s="87" t="str">
        <f t="shared" si="18"/>
        <v/>
      </c>
    </row>
    <row r="374" spans="33:35" x14ac:dyDescent="0.25">
      <c r="AG374" s="2" t="str">
        <f t="shared" si="17"/>
        <v/>
      </c>
      <c r="AH374" s="60">
        <v>0</v>
      </c>
      <c r="AI374" s="87" t="str">
        <f t="shared" si="18"/>
        <v/>
      </c>
    </row>
    <row r="375" spans="33:35" x14ac:dyDescent="0.25">
      <c r="AG375" s="2" t="str">
        <f t="shared" si="17"/>
        <v/>
      </c>
      <c r="AH375" s="60">
        <v>0</v>
      </c>
      <c r="AI375" s="87" t="str">
        <f t="shared" si="18"/>
        <v/>
      </c>
    </row>
    <row r="376" spans="33:35" x14ac:dyDescent="0.25">
      <c r="AG376" s="2" t="str">
        <f t="shared" si="17"/>
        <v/>
      </c>
      <c r="AH376" s="60">
        <v>0</v>
      </c>
      <c r="AI376" s="87" t="str">
        <f t="shared" si="18"/>
        <v/>
      </c>
    </row>
    <row r="377" spans="33:35" x14ac:dyDescent="0.25">
      <c r="AG377" s="2" t="str">
        <f t="shared" si="17"/>
        <v/>
      </c>
      <c r="AH377" s="60">
        <v>0</v>
      </c>
      <c r="AI377" s="87" t="str">
        <f t="shared" si="18"/>
        <v/>
      </c>
    </row>
    <row r="378" spans="33:35" x14ac:dyDescent="0.25">
      <c r="AG378" s="2" t="str">
        <f t="shared" si="17"/>
        <v/>
      </c>
      <c r="AH378" s="60">
        <v>0</v>
      </c>
      <c r="AI378" s="87" t="str">
        <f t="shared" si="18"/>
        <v/>
      </c>
    </row>
    <row r="379" spans="33:35" x14ac:dyDescent="0.25">
      <c r="AG379" s="2" t="str">
        <f t="shared" si="17"/>
        <v/>
      </c>
      <c r="AH379" s="60">
        <v>0</v>
      </c>
      <c r="AI379" s="87" t="str">
        <f t="shared" si="18"/>
        <v/>
      </c>
    </row>
    <row r="380" spans="33:35" x14ac:dyDescent="0.25">
      <c r="AG380" s="2" t="str">
        <f t="shared" si="17"/>
        <v/>
      </c>
      <c r="AH380" s="60">
        <v>0</v>
      </c>
      <c r="AI380" s="87" t="str">
        <f t="shared" si="18"/>
        <v/>
      </c>
    </row>
    <row r="381" spans="33:35" x14ac:dyDescent="0.25">
      <c r="AG381" s="2" t="str">
        <f t="shared" si="17"/>
        <v/>
      </c>
      <c r="AH381" s="60">
        <v>0</v>
      </c>
      <c r="AI381" s="87" t="str">
        <f t="shared" si="18"/>
        <v/>
      </c>
    </row>
    <row r="382" spans="33:35" x14ac:dyDescent="0.25">
      <c r="AG382" s="2" t="str">
        <f t="shared" si="17"/>
        <v/>
      </c>
      <c r="AH382" s="60">
        <v>0</v>
      </c>
      <c r="AI382" s="87" t="str">
        <f t="shared" si="18"/>
        <v/>
      </c>
    </row>
    <row r="383" spans="33:35" x14ac:dyDescent="0.25">
      <c r="AG383" s="2" t="str">
        <f t="shared" si="17"/>
        <v/>
      </c>
      <c r="AH383" s="60">
        <v>0</v>
      </c>
      <c r="AI383" s="87" t="str">
        <f t="shared" si="18"/>
        <v/>
      </c>
    </row>
    <row r="384" spans="33:35" x14ac:dyDescent="0.25">
      <c r="AG384" s="2" t="str">
        <f t="shared" si="17"/>
        <v/>
      </c>
      <c r="AH384" s="60">
        <v>0</v>
      </c>
      <c r="AI384" s="87" t="str">
        <f t="shared" si="18"/>
        <v/>
      </c>
    </row>
    <row r="385" spans="33:35" x14ac:dyDescent="0.25">
      <c r="AG385" s="2" t="str">
        <f t="shared" si="17"/>
        <v/>
      </c>
      <c r="AH385" s="60">
        <v>0</v>
      </c>
      <c r="AI385" s="87" t="str">
        <f t="shared" si="18"/>
        <v/>
      </c>
    </row>
    <row r="386" spans="33:35" x14ac:dyDescent="0.25">
      <c r="AG386" s="2" t="str">
        <f t="shared" si="17"/>
        <v/>
      </c>
      <c r="AH386" s="60">
        <v>0</v>
      </c>
      <c r="AI386" s="87" t="str">
        <f t="shared" si="18"/>
        <v/>
      </c>
    </row>
    <row r="387" spans="33:35" x14ac:dyDescent="0.25">
      <c r="AG387" s="2" t="str">
        <f t="shared" si="17"/>
        <v/>
      </c>
      <c r="AH387" s="60">
        <v>0</v>
      </c>
      <c r="AI387" s="87" t="str">
        <f t="shared" si="18"/>
        <v/>
      </c>
    </row>
    <row r="388" spans="33:35" x14ac:dyDescent="0.25">
      <c r="AG388" s="2" t="str">
        <f t="shared" si="17"/>
        <v/>
      </c>
      <c r="AH388" s="60">
        <v>0</v>
      </c>
      <c r="AI388" s="87" t="str">
        <f t="shared" si="18"/>
        <v/>
      </c>
    </row>
    <row r="389" spans="33:35" x14ac:dyDescent="0.25">
      <c r="AG389" s="2" t="str">
        <f t="shared" si="17"/>
        <v/>
      </c>
      <c r="AH389" s="60">
        <v>0</v>
      </c>
      <c r="AI389" s="87" t="str">
        <f t="shared" si="18"/>
        <v/>
      </c>
    </row>
    <row r="390" spans="33:35" x14ac:dyDescent="0.25">
      <c r="AG390" s="2" t="str">
        <f t="shared" si="17"/>
        <v/>
      </c>
      <c r="AH390" s="60">
        <v>0</v>
      </c>
      <c r="AI390" s="87" t="str">
        <f t="shared" si="18"/>
        <v/>
      </c>
    </row>
    <row r="391" spans="33:35" x14ac:dyDescent="0.25">
      <c r="AG391" s="2" t="str">
        <f t="shared" si="17"/>
        <v/>
      </c>
      <c r="AH391" s="60">
        <v>0</v>
      </c>
      <c r="AI391" s="87" t="str">
        <f t="shared" si="18"/>
        <v/>
      </c>
    </row>
    <row r="392" spans="33:35" x14ac:dyDescent="0.25">
      <c r="AG392" s="2" t="str">
        <f t="shared" si="17"/>
        <v/>
      </c>
      <c r="AH392" s="60">
        <v>0</v>
      </c>
      <c r="AI392" s="87" t="str">
        <f t="shared" si="18"/>
        <v/>
      </c>
    </row>
    <row r="393" spans="33:35" x14ac:dyDescent="0.25">
      <c r="AG393" s="2" t="str">
        <f t="shared" si="17"/>
        <v/>
      </c>
      <c r="AH393" s="60">
        <v>0</v>
      </c>
      <c r="AI393" s="87" t="str">
        <f t="shared" si="18"/>
        <v/>
      </c>
    </row>
    <row r="394" spans="33:35" x14ac:dyDescent="0.25">
      <c r="AG394" s="2" t="str">
        <f t="shared" si="17"/>
        <v/>
      </c>
      <c r="AH394" s="60">
        <v>0</v>
      </c>
      <c r="AI394" s="87" t="str">
        <f t="shared" si="18"/>
        <v/>
      </c>
    </row>
    <row r="395" spans="33:35" x14ac:dyDescent="0.25">
      <c r="AG395" s="2" t="str">
        <f t="shared" si="17"/>
        <v/>
      </c>
      <c r="AH395" s="60">
        <v>0</v>
      </c>
      <c r="AI395" s="87" t="str">
        <f t="shared" si="18"/>
        <v/>
      </c>
    </row>
    <row r="396" spans="33:35" x14ac:dyDescent="0.25">
      <c r="AG396" s="2" t="str">
        <f t="shared" ref="AG396:AG459" si="19">IF(ROW()&gt;IF($D$6="1nm spectral data",496,108),"",IF($D$6="1nm spectral data",298,300)+IF($D$6="1nm spectral data",1,5)*(ROW()-ROW($AG$12)))</f>
        <v/>
      </c>
      <c r="AH396" s="60">
        <v>0</v>
      </c>
      <c r="AI396" s="87" t="str">
        <f t="shared" si="18"/>
        <v/>
      </c>
    </row>
    <row r="397" spans="33:35" x14ac:dyDescent="0.25">
      <c r="AG397" s="2" t="str">
        <f t="shared" si="19"/>
        <v/>
      </c>
      <c r="AH397" s="60">
        <v>0</v>
      </c>
      <c r="AI397" s="87" t="str">
        <f t="shared" si="18"/>
        <v/>
      </c>
    </row>
    <row r="398" spans="33:35" x14ac:dyDescent="0.25">
      <c r="AG398" s="2" t="str">
        <f t="shared" si="19"/>
        <v/>
      </c>
      <c r="AH398" s="60">
        <v>0</v>
      </c>
      <c r="AI398" s="87" t="str">
        <f t="shared" ref="AI398:AI461" si="20">IF(AND($D$6="1nm spectral data",$AG398&lt;&gt;""),IF($AG398/5=INT($AG398/5),SUM($AH396:$AH400),""),"")</f>
        <v/>
      </c>
    </row>
    <row r="399" spans="33:35" x14ac:dyDescent="0.25">
      <c r="AG399" s="2" t="str">
        <f t="shared" si="19"/>
        <v/>
      </c>
      <c r="AH399" s="60">
        <v>0</v>
      </c>
      <c r="AI399" s="87" t="str">
        <f t="shared" si="20"/>
        <v/>
      </c>
    </row>
    <row r="400" spans="33:35" x14ac:dyDescent="0.25">
      <c r="AG400" s="2" t="str">
        <f t="shared" si="19"/>
        <v/>
      </c>
      <c r="AH400" s="60">
        <v>0</v>
      </c>
      <c r="AI400" s="87" t="str">
        <f t="shared" si="20"/>
        <v/>
      </c>
    </row>
    <row r="401" spans="33:35" x14ac:dyDescent="0.25">
      <c r="AG401" s="2" t="str">
        <f t="shared" si="19"/>
        <v/>
      </c>
      <c r="AH401" s="60">
        <v>0</v>
      </c>
      <c r="AI401" s="87" t="str">
        <f t="shared" si="20"/>
        <v/>
      </c>
    </row>
    <row r="402" spans="33:35" x14ac:dyDescent="0.25">
      <c r="AG402" s="2" t="str">
        <f t="shared" si="19"/>
        <v/>
      </c>
      <c r="AH402" s="60">
        <v>0</v>
      </c>
      <c r="AI402" s="87" t="str">
        <f t="shared" si="20"/>
        <v/>
      </c>
    </row>
    <row r="403" spans="33:35" x14ac:dyDescent="0.25">
      <c r="AG403" s="2" t="str">
        <f t="shared" si="19"/>
        <v/>
      </c>
      <c r="AH403" s="60">
        <v>0</v>
      </c>
      <c r="AI403" s="87" t="str">
        <f t="shared" si="20"/>
        <v/>
      </c>
    </row>
    <row r="404" spans="33:35" x14ac:dyDescent="0.25">
      <c r="AG404" s="2" t="str">
        <f t="shared" si="19"/>
        <v/>
      </c>
      <c r="AH404" s="60">
        <v>0</v>
      </c>
      <c r="AI404" s="87" t="str">
        <f t="shared" si="20"/>
        <v/>
      </c>
    </row>
    <row r="405" spans="33:35" x14ac:dyDescent="0.25">
      <c r="AG405" s="2" t="str">
        <f t="shared" si="19"/>
        <v/>
      </c>
      <c r="AH405" s="60">
        <v>0</v>
      </c>
      <c r="AI405" s="87" t="str">
        <f t="shared" si="20"/>
        <v/>
      </c>
    </row>
    <row r="406" spans="33:35" x14ac:dyDescent="0.25">
      <c r="AG406" s="2" t="str">
        <f t="shared" si="19"/>
        <v/>
      </c>
      <c r="AH406" s="60">
        <v>0</v>
      </c>
      <c r="AI406" s="87" t="str">
        <f t="shared" si="20"/>
        <v/>
      </c>
    </row>
    <row r="407" spans="33:35" x14ac:dyDescent="0.25">
      <c r="AG407" s="2" t="str">
        <f t="shared" si="19"/>
        <v/>
      </c>
      <c r="AH407" s="60">
        <v>0</v>
      </c>
      <c r="AI407" s="87" t="str">
        <f t="shared" si="20"/>
        <v/>
      </c>
    </row>
    <row r="408" spans="33:35" x14ac:dyDescent="0.25">
      <c r="AG408" s="2" t="str">
        <f t="shared" si="19"/>
        <v/>
      </c>
      <c r="AH408" s="60">
        <v>0</v>
      </c>
      <c r="AI408" s="87" t="str">
        <f t="shared" si="20"/>
        <v/>
      </c>
    </row>
    <row r="409" spans="33:35" x14ac:dyDescent="0.25">
      <c r="AG409" s="2" t="str">
        <f t="shared" si="19"/>
        <v/>
      </c>
      <c r="AH409" s="60">
        <v>0</v>
      </c>
      <c r="AI409" s="87" t="str">
        <f t="shared" si="20"/>
        <v/>
      </c>
    </row>
    <row r="410" spans="33:35" x14ac:dyDescent="0.25">
      <c r="AG410" s="2" t="str">
        <f t="shared" si="19"/>
        <v/>
      </c>
      <c r="AH410" s="60">
        <v>0</v>
      </c>
      <c r="AI410" s="87" t="str">
        <f t="shared" si="20"/>
        <v/>
      </c>
    </row>
    <row r="411" spans="33:35" x14ac:dyDescent="0.25">
      <c r="AG411" s="2" t="str">
        <f t="shared" si="19"/>
        <v/>
      </c>
      <c r="AH411" s="60">
        <v>0</v>
      </c>
      <c r="AI411" s="87" t="str">
        <f t="shared" si="20"/>
        <v/>
      </c>
    </row>
    <row r="412" spans="33:35" x14ac:dyDescent="0.25">
      <c r="AG412" s="2" t="str">
        <f t="shared" si="19"/>
        <v/>
      </c>
      <c r="AH412" s="60">
        <v>0</v>
      </c>
      <c r="AI412" s="87" t="str">
        <f t="shared" si="20"/>
        <v/>
      </c>
    </row>
    <row r="413" spans="33:35" x14ac:dyDescent="0.25">
      <c r="AG413" s="2" t="str">
        <f t="shared" si="19"/>
        <v/>
      </c>
      <c r="AH413" s="60">
        <v>0</v>
      </c>
      <c r="AI413" s="87" t="str">
        <f t="shared" si="20"/>
        <v/>
      </c>
    </row>
    <row r="414" spans="33:35" x14ac:dyDescent="0.25">
      <c r="AG414" s="2" t="str">
        <f t="shared" si="19"/>
        <v/>
      </c>
      <c r="AH414" s="60">
        <v>0</v>
      </c>
      <c r="AI414" s="87" t="str">
        <f t="shared" si="20"/>
        <v/>
      </c>
    </row>
    <row r="415" spans="33:35" x14ac:dyDescent="0.25">
      <c r="AG415" s="2" t="str">
        <f t="shared" si="19"/>
        <v/>
      </c>
      <c r="AH415" s="60">
        <v>0</v>
      </c>
      <c r="AI415" s="87" t="str">
        <f t="shared" si="20"/>
        <v/>
      </c>
    </row>
    <row r="416" spans="33:35" x14ac:dyDescent="0.25">
      <c r="AG416" s="2" t="str">
        <f t="shared" si="19"/>
        <v/>
      </c>
      <c r="AH416" s="60">
        <v>0</v>
      </c>
      <c r="AI416" s="87" t="str">
        <f t="shared" si="20"/>
        <v/>
      </c>
    </row>
    <row r="417" spans="33:35" x14ac:dyDescent="0.25">
      <c r="AG417" s="2" t="str">
        <f t="shared" si="19"/>
        <v/>
      </c>
      <c r="AH417" s="60">
        <v>0</v>
      </c>
      <c r="AI417" s="87" t="str">
        <f t="shared" si="20"/>
        <v/>
      </c>
    </row>
    <row r="418" spans="33:35" x14ac:dyDescent="0.25">
      <c r="AG418" s="2" t="str">
        <f t="shared" si="19"/>
        <v/>
      </c>
      <c r="AH418" s="60">
        <v>0</v>
      </c>
      <c r="AI418" s="87" t="str">
        <f t="shared" si="20"/>
        <v/>
      </c>
    </row>
    <row r="419" spans="33:35" x14ac:dyDescent="0.25">
      <c r="AG419" s="2" t="str">
        <f t="shared" si="19"/>
        <v/>
      </c>
      <c r="AH419" s="60">
        <v>0</v>
      </c>
      <c r="AI419" s="87" t="str">
        <f t="shared" si="20"/>
        <v/>
      </c>
    </row>
    <row r="420" spans="33:35" x14ac:dyDescent="0.25">
      <c r="AG420" s="2" t="str">
        <f t="shared" si="19"/>
        <v/>
      </c>
      <c r="AH420" s="60">
        <v>0</v>
      </c>
      <c r="AI420" s="87" t="str">
        <f t="shared" si="20"/>
        <v/>
      </c>
    </row>
    <row r="421" spans="33:35" x14ac:dyDescent="0.25">
      <c r="AG421" s="2" t="str">
        <f t="shared" si="19"/>
        <v/>
      </c>
      <c r="AH421" s="60">
        <v>0</v>
      </c>
      <c r="AI421" s="87" t="str">
        <f t="shared" si="20"/>
        <v/>
      </c>
    </row>
    <row r="422" spans="33:35" x14ac:dyDescent="0.25">
      <c r="AG422" s="2" t="str">
        <f t="shared" si="19"/>
        <v/>
      </c>
      <c r="AH422" s="60">
        <v>0</v>
      </c>
      <c r="AI422" s="87" t="str">
        <f t="shared" si="20"/>
        <v/>
      </c>
    </row>
    <row r="423" spans="33:35" x14ac:dyDescent="0.25">
      <c r="AG423" s="2" t="str">
        <f t="shared" si="19"/>
        <v/>
      </c>
      <c r="AH423" s="60">
        <v>0</v>
      </c>
      <c r="AI423" s="87" t="str">
        <f t="shared" si="20"/>
        <v/>
      </c>
    </row>
    <row r="424" spans="33:35" x14ac:dyDescent="0.25">
      <c r="AG424" s="2" t="str">
        <f t="shared" si="19"/>
        <v/>
      </c>
      <c r="AH424" s="60">
        <v>0</v>
      </c>
      <c r="AI424" s="87" t="str">
        <f t="shared" si="20"/>
        <v/>
      </c>
    </row>
    <row r="425" spans="33:35" x14ac:dyDescent="0.25">
      <c r="AG425" s="2" t="str">
        <f t="shared" si="19"/>
        <v/>
      </c>
      <c r="AH425" s="60">
        <v>0</v>
      </c>
      <c r="AI425" s="87" t="str">
        <f t="shared" si="20"/>
        <v/>
      </c>
    </row>
    <row r="426" spans="33:35" x14ac:dyDescent="0.25">
      <c r="AG426" s="2" t="str">
        <f t="shared" si="19"/>
        <v/>
      </c>
      <c r="AH426" s="60">
        <v>0</v>
      </c>
      <c r="AI426" s="87" t="str">
        <f t="shared" si="20"/>
        <v/>
      </c>
    </row>
    <row r="427" spans="33:35" x14ac:dyDescent="0.25">
      <c r="AG427" s="2" t="str">
        <f t="shared" si="19"/>
        <v/>
      </c>
      <c r="AH427" s="60">
        <v>0</v>
      </c>
      <c r="AI427" s="87" t="str">
        <f t="shared" si="20"/>
        <v/>
      </c>
    </row>
    <row r="428" spans="33:35" x14ac:dyDescent="0.25">
      <c r="AG428" s="2" t="str">
        <f t="shared" si="19"/>
        <v/>
      </c>
      <c r="AH428" s="60">
        <v>0</v>
      </c>
      <c r="AI428" s="87" t="str">
        <f t="shared" si="20"/>
        <v/>
      </c>
    </row>
    <row r="429" spans="33:35" x14ac:dyDescent="0.25">
      <c r="AG429" s="2" t="str">
        <f t="shared" si="19"/>
        <v/>
      </c>
      <c r="AH429" s="60">
        <v>0</v>
      </c>
      <c r="AI429" s="87" t="str">
        <f t="shared" si="20"/>
        <v/>
      </c>
    </row>
    <row r="430" spans="33:35" x14ac:dyDescent="0.25">
      <c r="AG430" s="2" t="str">
        <f t="shared" si="19"/>
        <v/>
      </c>
      <c r="AH430" s="60">
        <v>0</v>
      </c>
      <c r="AI430" s="87" t="str">
        <f t="shared" si="20"/>
        <v/>
      </c>
    </row>
    <row r="431" spans="33:35" x14ac:dyDescent="0.25">
      <c r="AG431" s="2" t="str">
        <f t="shared" si="19"/>
        <v/>
      </c>
      <c r="AH431" s="60">
        <v>0</v>
      </c>
      <c r="AI431" s="87" t="str">
        <f t="shared" si="20"/>
        <v/>
      </c>
    </row>
    <row r="432" spans="33:35" x14ac:dyDescent="0.25">
      <c r="AG432" s="2" t="str">
        <f t="shared" si="19"/>
        <v/>
      </c>
      <c r="AH432" s="60">
        <v>0</v>
      </c>
      <c r="AI432" s="87" t="str">
        <f t="shared" si="20"/>
        <v/>
      </c>
    </row>
    <row r="433" spans="33:35" x14ac:dyDescent="0.25">
      <c r="AG433" s="2" t="str">
        <f t="shared" si="19"/>
        <v/>
      </c>
      <c r="AH433" s="60">
        <v>0</v>
      </c>
      <c r="AI433" s="87" t="str">
        <f t="shared" si="20"/>
        <v/>
      </c>
    </row>
    <row r="434" spans="33:35" x14ac:dyDescent="0.25">
      <c r="AG434" s="2" t="str">
        <f t="shared" si="19"/>
        <v/>
      </c>
      <c r="AH434" s="60">
        <v>0</v>
      </c>
      <c r="AI434" s="87" t="str">
        <f t="shared" si="20"/>
        <v/>
      </c>
    </row>
    <row r="435" spans="33:35" x14ac:dyDescent="0.25">
      <c r="AG435" s="2" t="str">
        <f t="shared" si="19"/>
        <v/>
      </c>
      <c r="AH435" s="60">
        <v>0</v>
      </c>
      <c r="AI435" s="87" t="str">
        <f t="shared" si="20"/>
        <v/>
      </c>
    </row>
    <row r="436" spans="33:35" x14ac:dyDescent="0.25">
      <c r="AG436" s="2" t="str">
        <f t="shared" si="19"/>
        <v/>
      </c>
      <c r="AH436" s="60">
        <v>0</v>
      </c>
      <c r="AI436" s="87" t="str">
        <f t="shared" si="20"/>
        <v/>
      </c>
    </row>
    <row r="437" spans="33:35" x14ac:dyDescent="0.25">
      <c r="AG437" s="2" t="str">
        <f t="shared" si="19"/>
        <v/>
      </c>
      <c r="AH437" s="60">
        <v>0</v>
      </c>
      <c r="AI437" s="87" t="str">
        <f t="shared" si="20"/>
        <v/>
      </c>
    </row>
    <row r="438" spans="33:35" x14ac:dyDescent="0.25">
      <c r="AG438" s="2" t="str">
        <f t="shared" si="19"/>
        <v/>
      </c>
      <c r="AH438" s="60">
        <v>0</v>
      </c>
      <c r="AI438" s="87" t="str">
        <f t="shared" si="20"/>
        <v/>
      </c>
    </row>
    <row r="439" spans="33:35" x14ac:dyDescent="0.25">
      <c r="AG439" s="2" t="str">
        <f t="shared" si="19"/>
        <v/>
      </c>
      <c r="AH439" s="60">
        <v>0</v>
      </c>
      <c r="AI439" s="87" t="str">
        <f t="shared" si="20"/>
        <v/>
      </c>
    </row>
    <row r="440" spans="33:35" x14ac:dyDescent="0.25">
      <c r="AG440" s="2" t="str">
        <f t="shared" si="19"/>
        <v/>
      </c>
      <c r="AH440" s="60">
        <v>0</v>
      </c>
      <c r="AI440" s="87" t="str">
        <f t="shared" si="20"/>
        <v/>
      </c>
    </row>
    <row r="441" spans="33:35" x14ac:dyDescent="0.25">
      <c r="AG441" s="2" t="str">
        <f t="shared" si="19"/>
        <v/>
      </c>
      <c r="AH441" s="60">
        <v>0</v>
      </c>
      <c r="AI441" s="87" t="str">
        <f t="shared" si="20"/>
        <v/>
      </c>
    </row>
    <row r="442" spans="33:35" x14ac:dyDescent="0.25">
      <c r="AG442" s="2" t="str">
        <f t="shared" si="19"/>
        <v/>
      </c>
      <c r="AH442" s="60">
        <v>0</v>
      </c>
      <c r="AI442" s="87" t="str">
        <f t="shared" si="20"/>
        <v/>
      </c>
    </row>
    <row r="443" spans="33:35" x14ac:dyDescent="0.25">
      <c r="AG443" s="2" t="str">
        <f t="shared" si="19"/>
        <v/>
      </c>
      <c r="AH443" s="60">
        <v>0</v>
      </c>
      <c r="AI443" s="87" t="str">
        <f t="shared" si="20"/>
        <v/>
      </c>
    </row>
    <row r="444" spans="33:35" x14ac:dyDescent="0.25">
      <c r="AG444" s="2" t="str">
        <f t="shared" si="19"/>
        <v/>
      </c>
      <c r="AH444" s="60">
        <v>0</v>
      </c>
      <c r="AI444" s="87" t="str">
        <f t="shared" si="20"/>
        <v/>
      </c>
    </row>
    <row r="445" spans="33:35" x14ac:dyDescent="0.25">
      <c r="AG445" s="2" t="str">
        <f t="shared" si="19"/>
        <v/>
      </c>
      <c r="AH445" s="60">
        <v>0</v>
      </c>
      <c r="AI445" s="87" t="str">
        <f t="shared" si="20"/>
        <v/>
      </c>
    </row>
    <row r="446" spans="33:35" x14ac:dyDescent="0.25">
      <c r="AG446" s="2" t="str">
        <f t="shared" si="19"/>
        <v/>
      </c>
      <c r="AH446" s="60">
        <v>0</v>
      </c>
      <c r="AI446" s="87" t="str">
        <f t="shared" si="20"/>
        <v/>
      </c>
    </row>
    <row r="447" spans="33:35" x14ac:dyDescent="0.25">
      <c r="AG447" s="2" t="str">
        <f t="shared" si="19"/>
        <v/>
      </c>
      <c r="AH447" s="60">
        <v>0</v>
      </c>
      <c r="AI447" s="87" t="str">
        <f t="shared" si="20"/>
        <v/>
      </c>
    </row>
    <row r="448" spans="33:35" x14ac:dyDescent="0.25">
      <c r="AG448" s="2" t="str">
        <f t="shared" si="19"/>
        <v/>
      </c>
      <c r="AH448" s="60">
        <v>0</v>
      </c>
      <c r="AI448" s="87" t="str">
        <f t="shared" si="20"/>
        <v/>
      </c>
    </row>
    <row r="449" spans="33:35" x14ac:dyDescent="0.25">
      <c r="AG449" s="2" t="str">
        <f t="shared" si="19"/>
        <v/>
      </c>
      <c r="AH449" s="60">
        <v>0</v>
      </c>
      <c r="AI449" s="87" t="str">
        <f t="shared" si="20"/>
        <v/>
      </c>
    </row>
    <row r="450" spans="33:35" x14ac:dyDescent="0.25">
      <c r="AG450" s="2" t="str">
        <f t="shared" si="19"/>
        <v/>
      </c>
      <c r="AH450" s="60">
        <v>0</v>
      </c>
      <c r="AI450" s="87" t="str">
        <f t="shared" si="20"/>
        <v/>
      </c>
    </row>
    <row r="451" spans="33:35" x14ac:dyDescent="0.25">
      <c r="AG451" s="2" t="str">
        <f t="shared" si="19"/>
        <v/>
      </c>
      <c r="AH451" s="60">
        <v>0</v>
      </c>
      <c r="AI451" s="87" t="str">
        <f t="shared" si="20"/>
        <v/>
      </c>
    </row>
    <row r="452" spans="33:35" x14ac:dyDescent="0.25">
      <c r="AG452" s="2" t="str">
        <f t="shared" si="19"/>
        <v/>
      </c>
      <c r="AH452" s="60">
        <v>0</v>
      </c>
      <c r="AI452" s="87" t="str">
        <f t="shared" si="20"/>
        <v/>
      </c>
    </row>
    <row r="453" spans="33:35" x14ac:dyDescent="0.25">
      <c r="AG453" s="2" t="str">
        <f t="shared" si="19"/>
        <v/>
      </c>
      <c r="AH453" s="60">
        <v>0</v>
      </c>
      <c r="AI453" s="87" t="str">
        <f t="shared" si="20"/>
        <v/>
      </c>
    </row>
    <row r="454" spans="33:35" x14ac:dyDescent="0.25">
      <c r="AG454" s="2" t="str">
        <f t="shared" si="19"/>
        <v/>
      </c>
      <c r="AH454" s="60">
        <v>0</v>
      </c>
      <c r="AI454" s="87" t="str">
        <f t="shared" si="20"/>
        <v/>
      </c>
    </row>
    <row r="455" spans="33:35" x14ac:dyDescent="0.25">
      <c r="AG455" s="2" t="str">
        <f t="shared" si="19"/>
        <v/>
      </c>
      <c r="AH455" s="60">
        <v>0</v>
      </c>
      <c r="AI455" s="87" t="str">
        <f t="shared" si="20"/>
        <v/>
      </c>
    </row>
    <row r="456" spans="33:35" x14ac:dyDescent="0.25">
      <c r="AG456" s="2" t="str">
        <f t="shared" si="19"/>
        <v/>
      </c>
      <c r="AH456" s="60">
        <v>0</v>
      </c>
      <c r="AI456" s="87" t="str">
        <f t="shared" si="20"/>
        <v/>
      </c>
    </row>
    <row r="457" spans="33:35" x14ac:dyDescent="0.25">
      <c r="AG457" s="2" t="str">
        <f t="shared" si="19"/>
        <v/>
      </c>
      <c r="AH457" s="60">
        <v>0</v>
      </c>
      <c r="AI457" s="87" t="str">
        <f t="shared" si="20"/>
        <v/>
      </c>
    </row>
    <row r="458" spans="33:35" x14ac:dyDescent="0.25">
      <c r="AG458" s="2" t="str">
        <f t="shared" si="19"/>
        <v/>
      </c>
      <c r="AH458" s="60">
        <v>0</v>
      </c>
      <c r="AI458" s="87" t="str">
        <f t="shared" si="20"/>
        <v/>
      </c>
    </row>
    <row r="459" spans="33:35" x14ac:dyDescent="0.25">
      <c r="AG459" s="2" t="str">
        <f t="shared" si="19"/>
        <v/>
      </c>
      <c r="AH459" s="60">
        <v>0</v>
      </c>
      <c r="AI459" s="87" t="str">
        <f t="shared" si="20"/>
        <v/>
      </c>
    </row>
    <row r="460" spans="33:35" x14ac:dyDescent="0.25">
      <c r="AG460" s="2" t="str">
        <f t="shared" ref="AG460:AG496" si="21">IF(ROW()&gt;IF($D$6="1nm spectral data",496,108),"",IF($D$6="1nm spectral data",298,300)+IF($D$6="1nm spectral data",1,5)*(ROW()-ROW($AG$12)))</f>
        <v/>
      </c>
      <c r="AH460" s="60">
        <v>0</v>
      </c>
      <c r="AI460" s="87" t="str">
        <f t="shared" si="20"/>
        <v/>
      </c>
    </row>
    <row r="461" spans="33:35" x14ac:dyDescent="0.25">
      <c r="AG461" s="2" t="str">
        <f t="shared" si="21"/>
        <v/>
      </c>
      <c r="AH461" s="60">
        <v>0</v>
      </c>
      <c r="AI461" s="87" t="str">
        <f t="shared" si="20"/>
        <v/>
      </c>
    </row>
    <row r="462" spans="33:35" x14ac:dyDescent="0.25">
      <c r="AG462" s="2" t="str">
        <f t="shared" si="21"/>
        <v/>
      </c>
      <c r="AH462" s="60">
        <v>0</v>
      </c>
      <c r="AI462" s="87" t="str">
        <f t="shared" ref="AI462:AI494" si="22">IF(AND($D$6="1nm spectral data",$AG462&lt;&gt;""),IF($AG462/5=INT($AG462/5),SUM($AH460:$AH464),""),"")</f>
        <v/>
      </c>
    </row>
    <row r="463" spans="33:35" x14ac:dyDescent="0.25">
      <c r="AG463" s="2" t="str">
        <f t="shared" si="21"/>
        <v/>
      </c>
      <c r="AH463" s="60">
        <v>0</v>
      </c>
      <c r="AI463" s="87" t="str">
        <f t="shared" si="22"/>
        <v/>
      </c>
    </row>
    <row r="464" spans="33:35" x14ac:dyDescent="0.25">
      <c r="AG464" s="2" t="str">
        <f t="shared" si="21"/>
        <v/>
      </c>
      <c r="AH464" s="60">
        <v>0</v>
      </c>
      <c r="AI464" s="87" t="str">
        <f t="shared" si="22"/>
        <v/>
      </c>
    </row>
    <row r="465" spans="33:35" x14ac:dyDescent="0.25">
      <c r="AG465" s="2" t="str">
        <f t="shared" si="21"/>
        <v/>
      </c>
      <c r="AH465" s="60">
        <v>0</v>
      </c>
      <c r="AI465" s="87" t="str">
        <f t="shared" si="22"/>
        <v/>
      </c>
    </row>
    <row r="466" spans="33:35" x14ac:dyDescent="0.25">
      <c r="AG466" s="2" t="str">
        <f t="shared" si="21"/>
        <v/>
      </c>
      <c r="AH466" s="60">
        <v>0</v>
      </c>
      <c r="AI466" s="87" t="str">
        <f t="shared" si="22"/>
        <v/>
      </c>
    </row>
    <row r="467" spans="33:35" x14ac:dyDescent="0.25">
      <c r="AG467" s="2" t="str">
        <f t="shared" si="21"/>
        <v/>
      </c>
      <c r="AH467" s="60">
        <v>0</v>
      </c>
      <c r="AI467" s="87" t="str">
        <f t="shared" si="22"/>
        <v/>
      </c>
    </row>
    <row r="468" spans="33:35" x14ac:dyDescent="0.25">
      <c r="AG468" s="2" t="str">
        <f t="shared" si="21"/>
        <v/>
      </c>
      <c r="AH468" s="60">
        <v>0</v>
      </c>
      <c r="AI468" s="87" t="str">
        <f t="shared" si="22"/>
        <v/>
      </c>
    </row>
    <row r="469" spans="33:35" x14ac:dyDescent="0.25">
      <c r="AG469" s="2" t="str">
        <f t="shared" si="21"/>
        <v/>
      </c>
      <c r="AH469" s="60">
        <v>0</v>
      </c>
      <c r="AI469" s="87" t="str">
        <f t="shared" si="22"/>
        <v/>
      </c>
    </row>
    <row r="470" spans="33:35" x14ac:dyDescent="0.25">
      <c r="AG470" s="2" t="str">
        <f t="shared" si="21"/>
        <v/>
      </c>
      <c r="AH470" s="60">
        <v>0</v>
      </c>
      <c r="AI470" s="87" t="str">
        <f t="shared" si="22"/>
        <v/>
      </c>
    </row>
    <row r="471" spans="33:35" x14ac:dyDescent="0.25">
      <c r="AG471" s="2" t="str">
        <f t="shared" si="21"/>
        <v/>
      </c>
      <c r="AH471" s="60">
        <v>0</v>
      </c>
      <c r="AI471" s="87" t="str">
        <f t="shared" si="22"/>
        <v/>
      </c>
    </row>
    <row r="472" spans="33:35" x14ac:dyDescent="0.25">
      <c r="AG472" s="2" t="str">
        <f t="shared" si="21"/>
        <v/>
      </c>
      <c r="AH472" s="60">
        <v>0</v>
      </c>
      <c r="AI472" s="87" t="str">
        <f t="shared" si="22"/>
        <v/>
      </c>
    </row>
    <row r="473" spans="33:35" x14ac:dyDescent="0.25">
      <c r="AG473" s="2" t="str">
        <f t="shared" si="21"/>
        <v/>
      </c>
      <c r="AH473" s="60">
        <v>0</v>
      </c>
      <c r="AI473" s="87" t="str">
        <f t="shared" si="22"/>
        <v/>
      </c>
    </row>
    <row r="474" spans="33:35" x14ac:dyDescent="0.25">
      <c r="AG474" s="2" t="str">
        <f t="shared" si="21"/>
        <v/>
      </c>
      <c r="AH474" s="60">
        <v>0</v>
      </c>
      <c r="AI474" s="87" t="str">
        <f t="shared" si="22"/>
        <v/>
      </c>
    </row>
    <row r="475" spans="33:35" x14ac:dyDescent="0.25">
      <c r="AG475" s="2" t="str">
        <f t="shared" si="21"/>
        <v/>
      </c>
      <c r="AH475" s="60">
        <v>0</v>
      </c>
      <c r="AI475" s="87" t="str">
        <f t="shared" si="22"/>
        <v/>
      </c>
    </row>
    <row r="476" spans="33:35" x14ac:dyDescent="0.25">
      <c r="AG476" s="2" t="str">
        <f t="shared" si="21"/>
        <v/>
      </c>
      <c r="AH476" s="60">
        <v>0</v>
      </c>
      <c r="AI476" s="87" t="str">
        <f t="shared" si="22"/>
        <v/>
      </c>
    </row>
    <row r="477" spans="33:35" x14ac:dyDescent="0.25">
      <c r="AG477" s="2" t="str">
        <f t="shared" si="21"/>
        <v/>
      </c>
      <c r="AH477" s="60">
        <v>0</v>
      </c>
      <c r="AI477" s="87" t="str">
        <f t="shared" si="22"/>
        <v/>
      </c>
    </row>
    <row r="478" spans="33:35" x14ac:dyDescent="0.25">
      <c r="AG478" s="2" t="str">
        <f t="shared" si="21"/>
        <v/>
      </c>
      <c r="AH478" s="60">
        <v>0</v>
      </c>
      <c r="AI478" s="87" t="str">
        <f t="shared" si="22"/>
        <v/>
      </c>
    </row>
    <row r="479" spans="33:35" x14ac:dyDescent="0.25">
      <c r="AG479" s="2" t="str">
        <f t="shared" si="21"/>
        <v/>
      </c>
      <c r="AH479" s="60">
        <v>0</v>
      </c>
      <c r="AI479" s="87" t="str">
        <f t="shared" si="22"/>
        <v/>
      </c>
    </row>
    <row r="480" spans="33:35" x14ac:dyDescent="0.25">
      <c r="AG480" s="2" t="str">
        <f t="shared" si="21"/>
        <v/>
      </c>
      <c r="AH480" s="60">
        <v>0</v>
      </c>
      <c r="AI480" s="87" t="str">
        <f t="shared" si="22"/>
        <v/>
      </c>
    </row>
    <row r="481" spans="33:35" x14ac:dyDescent="0.25">
      <c r="AG481" s="2" t="str">
        <f t="shared" si="21"/>
        <v/>
      </c>
      <c r="AH481" s="60">
        <v>0</v>
      </c>
      <c r="AI481" s="87" t="str">
        <f t="shared" si="22"/>
        <v/>
      </c>
    </row>
    <row r="482" spans="33:35" x14ac:dyDescent="0.25">
      <c r="AG482" s="2" t="str">
        <f t="shared" si="21"/>
        <v/>
      </c>
      <c r="AH482" s="60">
        <v>0</v>
      </c>
      <c r="AI482" s="87" t="str">
        <f t="shared" si="22"/>
        <v/>
      </c>
    </row>
    <row r="483" spans="33:35" x14ac:dyDescent="0.25">
      <c r="AG483" s="2" t="str">
        <f t="shared" si="21"/>
        <v/>
      </c>
      <c r="AH483" s="60">
        <v>0</v>
      </c>
      <c r="AI483" s="87" t="str">
        <f t="shared" si="22"/>
        <v/>
      </c>
    </row>
    <row r="484" spans="33:35" x14ac:dyDescent="0.25">
      <c r="AG484" s="2" t="str">
        <f t="shared" si="21"/>
        <v/>
      </c>
      <c r="AH484" s="60">
        <v>0</v>
      </c>
      <c r="AI484" s="87" t="str">
        <f t="shared" si="22"/>
        <v/>
      </c>
    </row>
    <row r="485" spans="33:35" x14ac:dyDescent="0.25">
      <c r="AG485" s="2" t="str">
        <f t="shared" si="21"/>
        <v/>
      </c>
      <c r="AH485" s="60">
        <v>0</v>
      </c>
      <c r="AI485" s="87" t="str">
        <f t="shared" si="22"/>
        <v/>
      </c>
    </row>
    <row r="486" spans="33:35" x14ac:dyDescent="0.25">
      <c r="AG486" s="2" t="str">
        <f t="shared" si="21"/>
        <v/>
      </c>
      <c r="AH486" s="60">
        <v>0</v>
      </c>
      <c r="AI486" s="87" t="str">
        <f t="shared" si="22"/>
        <v/>
      </c>
    </row>
    <row r="487" spans="33:35" x14ac:dyDescent="0.25">
      <c r="AG487" s="2" t="str">
        <f t="shared" si="21"/>
        <v/>
      </c>
      <c r="AH487" s="60">
        <v>0</v>
      </c>
      <c r="AI487" s="87" t="str">
        <f t="shared" si="22"/>
        <v/>
      </c>
    </row>
    <row r="488" spans="33:35" x14ac:dyDescent="0.25">
      <c r="AG488" s="2" t="str">
        <f t="shared" si="21"/>
        <v/>
      </c>
      <c r="AH488" s="60">
        <v>0</v>
      </c>
      <c r="AI488" s="87" t="str">
        <f t="shared" si="22"/>
        <v/>
      </c>
    </row>
    <row r="489" spans="33:35" x14ac:dyDescent="0.25">
      <c r="AG489" s="2" t="str">
        <f t="shared" si="21"/>
        <v/>
      </c>
      <c r="AH489" s="60">
        <v>0</v>
      </c>
      <c r="AI489" s="87" t="str">
        <f t="shared" si="22"/>
        <v/>
      </c>
    </row>
    <row r="490" spans="33:35" x14ac:dyDescent="0.25">
      <c r="AG490" s="2" t="str">
        <f t="shared" si="21"/>
        <v/>
      </c>
      <c r="AH490" s="60">
        <v>0</v>
      </c>
      <c r="AI490" s="87" t="str">
        <f t="shared" si="22"/>
        <v/>
      </c>
    </row>
    <row r="491" spans="33:35" x14ac:dyDescent="0.25">
      <c r="AG491" s="2" t="str">
        <f t="shared" si="21"/>
        <v/>
      </c>
      <c r="AH491" s="60">
        <v>0</v>
      </c>
      <c r="AI491" s="87" t="str">
        <f t="shared" si="22"/>
        <v/>
      </c>
    </row>
    <row r="492" spans="33:35" x14ac:dyDescent="0.25">
      <c r="AG492" s="2" t="str">
        <f t="shared" si="21"/>
        <v/>
      </c>
      <c r="AH492" s="60">
        <v>0</v>
      </c>
      <c r="AI492" s="87" t="str">
        <f t="shared" si="22"/>
        <v/>
      </c>
    </row>
    <row r="493" spans="33:35" x14ac:dyDescent="0.25">
      <c r="AG493" s="2" t="str">
        <f t="shared" si="21"/>
        <v/>
      </c>
      <c r="AH493" s="60">
        <v>0</v>
      </c>
      <c r="AI493" s="87" t="str">
        <f t="shared" si="22"/>
        <v/>
      </c>
    </row>
    <row r="494" spans="33:35" x14ac:dyDescent="0.25">
      <c r="AG494" s="2" t="str">
        <f t="shared" si="21"/>
        <v/>
      </c>
      <c r="AH494" s="60">
        <v>0</v>
      </c>
      <c r="AI494" s="87" t="str">
        <f t="shared" si="22"/>
        <v/>
      </c>
    </row>
    <row r="495" spans="33:35" x14ac:dyDescent="0.25">
      <c r="AG495" s="2" t="str">
        <f t="shared" si="21"/>
        <v/>
      </c>
      <c r="AH495" s="60">
        <v>0</v>
      </c>
    </row>
    <row r="496" spans="33:35" ht="15.75" thickBot="1" x14ac:dyDescent="0.3">
      <c r="AG496" s="2" t="str">
        <f t="shared" si="21"/>
        <v/>
      </c>
      <c r="AH496" s="61">
        <v>0</v>
      </c>
    </row>
  </sheetData>
  <sheetProtection password="D0DA" sheet="1" objects="1" scenarios="1"/>
  <mergeCells count="3">
    <mergeCell ref="D4:I4"/>
    <mergeCell ref="N4:O4"/>
    <mergeCell ref="V4:AB4"/>
  </mergeCells>
  <phoneticPr fontId="0" type="noConversion"/>
  <dataValidations xWindow="390" yWindow="381" count="11">
    <dataValidation type="whole" allowBlank="1" showInputMessage="1" showErrorMessage="1" promptTitle="Narrowband peak" prompt="Values from 350 nm to 650 nm" sqref="D18" xr:uid="{00000000-0002-0000-0600-000000000000}">
      <formula1>350</formula1>
      <formula2>650</formula2>
    </dataValidation>
    <dataValidation type="whole" allowBlank="1" showInputMessage="1" showErrorMessage="1" promptTitle="Full width half maximum, FWHM" prompt="Values from 5 nm to 50 nm" sqref="D19" xr:uid="{00000000-0002-0000-0600-000001000000}">
      <formula1>5</formula1>
      <formula2>50</formula2>
    </dataValidation>
    <dataValidation type="whole" allowBlank="1" showInputMessage="1" showErrorMessage="1" promptTitle="Blackbody temperature" prompt="Values from 2000 K to 20,000 K" sqref="D17" xr:uid="{00000000-0002-0000-0600-000002000000}">
      <formula1>2000</formula1>
      <formula2>20000</formula2>
    </dataValidation>
    <dataValidation type="list" showInputMessage="1" showErrorMessage="1" promptTitle="Units of measured light quantity" prompt="L = illuminance (&quot;lux&quot;)_x000a_P = irradiance (&quot;power&quot;)_x000a_Q = log (photon flux) (&quot;quanta&quot;)_x000a_" sqref="D13" xr:uid="{00000000-0002-0000-0600-000003000000}">
      <formula1>"L, P, Q"</formula1>
    </dataValidation>
    <dataValidation type="list" showInputMessage="1" showErrorMessage="1" promptTitle="Light source" prompt="A = Illuminant A (incandescent, 2856K)_x000a_D = Illuminant D65 (daylight, 6504K)_x000a_F = Illuminant F (fluoresecent, CCT ~3000K)_x000a_L = White LED (blue+phospor, CCT ~4730K)_x000a_N = Narrowband, incl monochromatic_x000a_B = Blackbody spectra_x000a_E = equal energy (for normalisation)" sqref="D12" xr:uid="{00000000-0002-0000-0600-000004000000}">
      <formula1>"A, D, F, L, N, B, E"</formula1>
    </dataValidation>
    <dataValidation type="decimal" operator="greaterThan" showInputMessage="1" showErrorMessage="1" sqref="D14" xr:uid="{00000000-0002-0000-0600-000005000000}">
      <formula1>0</formula1>
    </dataValidation>
    <dataValidation type="textLength" operator="lessThan" showInputMessage="1" showErrorMessage="1" sqref="D4:I4" xr:uid="{00000000-0002-0000-0600-000006000000}">
      <formula1>32</formula1>
    </dataValidation>
    <dataValidation type="list" showInputMessage="1" showErrorMessage="1" promptTitle="Choose mode of operation" prompt="If spectral data measured outside the eye is not used, the differences between this and the actual data used may lead to errors. In particular, the spectra of most standard illuminants options are unlikely to be reproduced exactly in practice." sqref="D6" xr:uid="{00000000-0002-0000-0600-000007000000}">
      <formula1>"1nm spectral data, 5nm spectral data, approximate mode"</formula1>
    </dataValidation>
    <dataValidation type="list" allowBlank="1" showInputMessage="1" showErrorMessage="1" promptTitle="Select pigment" prompt="Choose between sc (S cone), z (Melanopsin), r (Rod) and mc (M cone) weighting functions for calculating the red line in the Spectral Power Distribution chart." sqref="N4:O4" xr:uid="{00000000-0002-0000-0600-000008000000}">
      <formula1>$D$27:$D$30</formula1>
    </dataValidation>
    <dataValidation type="whole" allowBlank="1" showInputMessage="1" showErrorMessage="1" promptTitle="M cone peak wavelength" prompt="Input the wavelength for maximum sensitivity (given equal photon flux) for the M cone, between 500 nm and 650 nm" sqref="E30" xr:uid="{00000000-0002-0000-0600-000009000000}">
      <formula1>500</formula1>
      <formula2>650</formula2>
    </dataValidation>
    <dataValidation type="whole" allowBlank="1" showInputMessage="1" showErrorMessage="1" promptTitle="S cone peak wavelength" prompt="Input the wavelength for maximum sensitivity (given equal photon flux) for the S cone, between 350 nm and 500 nm" sqref="E27" xr:uid="{00000000-0002-0000-0600-00000A000000}">
      <formula1>350</formula1>
      <formula2>500</formula2>
    </dataValidation>
  </dataValidations>
  <pageMargins left="0.70866141732283472" right="0.70866141732283472" top="0.74803149606299213" bottom="0.74803149606299213" header="0.31496062992125984" footer="0.31496062992125984"/>
  <pageSetup scale="41" fitToWidth="2" orientation="portrait" r:id="rId1"/>
  <colBreaks count="1" manualBreakCount="1">
    <brk id="19" max="107" man="1"/>
  </col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S cone</vt:lpstr>
      <vt:lpstr>ipRGC</vt:lpstr>
      <vt:lpstr>Rod</vt:lpstr>
      <vt:lpstr>M cone</vt:lpstr>
      <vt:lpstr>Calculations</vt:lpstr>
      <vt:lpstr>Spectra</vt:lpstr>
      <vt:lpstr>Toolbox</vt:lpstr>
      <vt:lpstr>Calculations!Print_Area</vt:lpstr>
      <vt:lpstr>Spectra!Print_Area</vt:lpstr>
      <vt:lpstr>Toolbox!Print_Area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speirson</dc:creator>
  <cp:lastModifiedBy>maria</cp:lastModifiedBy>
  <cp:lastPrinted>2014-02-12T12:21:03Z</cp:lastPrinted>
  <dcterms:created xsi:type="dcterms:W3CDTF">2009-09-10T14:18:17Z</dcterms:created>
  <dcterms:modified xsi:type="dcterms:W3CDTF">2022-01-20T15:32:04Z</dcterms:modified>
</cp:coreProperties>
</file>