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5315" windowHeight="9780"/>
  </bookViews>
  <sheets>
    <sheet name="VALE3_short" sheetId="1" r:id="rId1"/>
  </sheets>
  <calcPr calcId="125725"/>
</workbook>
</file>

<file path=xl/calcChain.xml><?xml version="1.0" encoding="utf-8"?>
<calcChain xmlns="http://schemas.openxmlformats.org/spreadsheetml/2006/main">
  <c r="I47" i="1"/>
  <c r="Y22"/>
  <c r="Y13"/>
  <c r="Y8"/>
  <c r="Y4"/>
  <c r="Y5"/>
  <c r="Y6"/>
  <c r="Y7"/>
  <c r="Y9"/>
  <c r="Y10"/>
  <c r="Y11"/>
  <c r="Y12"/>
  <c r="Y14"/>
  <c r="Y15"/>
  <c r="Y16"/>
  <c r="Y17"/>
  <c r="Y18"/>
  <c r="Y19"/>
  <c r="Y20"/>
  <c r="Y21"/>
  <c r="Y3"/>
  <c r="I44"/>
  <c r="I43"/>
  <c r="T23"/>
  <c r="I41"/>
  <c r="X22"/>
  <c r="X13"/>
  <c r="X12"/>
  <c r="X5"/>
  <c r="X8"/>
  <c r="X4"/>
  <c r="X6"/>
  <c r="X7"/>
  <c r="X9"/>
  <c r="X10"/>
  <c r="X11"/>
  <c r="X14"/>
  <c r="X15"/>
  <c r="X16"/>
  <c r="X17"/>
  <c r="X18"/>
  <c r="X19"/>
  <c r="X20"/>
  <c r="X21"/>
  <c r="X3"/>
  <c r="I40"/>
  <c r="W4"/>
  <c r="W5"/>
  <c r="W22" s="1"/>
  <c r="I38" s="1"/>
  <c r="W6"/>
  <c r="W7"/>
  <c r="W8"/>
  <c r="W9"/>
  <c r="W10"/>
  <c r="W11"/>
  <c r="W12"/>
  <c r="W13"/>
  <c r="W14"/>
  <c r="W15"/>
  <c r="W16"/>
  <c r="W17"/>
  <c r="W18"/>
  <c r="W19"/>
  <c r="W20"/>
  <c r="W21"/>
  <c r="W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3"/>
  <c r="S22"/>
  <c r="U4"/>
  <c r="U5"/>
  <c r="U6"/>
  <c r="U7"/>
  <c r="U8"/>
  <c r="U9"/>
  <c r="U10"/>
  <c r="U11"/>
  <c r="U12"/>
  <c r="U13"/>
  <c r="U14"/>
  <c r="U15"/>
  <c r="U16"/>
  <c r="U17"/>
  <c r="U18"/>
  <c r="U19"/>
  <c r="U20"/>
  <c r="U21"/>
  <c r="U3"/>
  <c r="T4"/>
  <c r="T5"/>
  <c r="T6"/>
  <c r="T7"/>
  <c r="T8"/>
  <c r="T9"/>
  <c r="T10"/>
  <c r="T11"/>
  <c r="T12"/>
  <c r="T13"/>
  <c r="T14"/>
  <c r="T15"/>
  <c r="T16"/>
  <c r="T17"/>
  <c r="T18"/>
  <c r="T19"/>
  <c r="T20"/>
  <c r="T21"/>
  <c r="T3"/>
  <c r="C27"/>
  <c r="J45"/>
  <c r="Q4"/>
  <c r="Q5"/>
  <c r="Q6"/>
  <c r="Q7"/>
  <c r="Q8"/>
  <c r="Q9"/>
  <c r="Q10"/>
  <c r="Q11"/>
  <c r="Q12"/>
  <c r="Q13"/>
  <c r="Q14"/>
  <c r="Q15"/>
  <c r="Q16"/>
  <c r="Q17"/>
  <c r="Q18"/>
  <c r="Q19"/>
  <c r="Q20"/>
  <c r="Q21"/>
  <c r="Q3"/>
  <c r="P4"/>
  <c r="P5"/>
  <c r="P6"/>
  <c r="P7"/>
  <c r="P8"/>
  <c r="P9"/>
  <c r="P10"/>
  <c r="P11"/>
  <c r="P12"/>
  <c r="P13"/>
  <c r="P14"/>
  <c r="P15"/>
  <c r="P16"/>
  <c r="P17"/>
  <c r="P18"/>
  <c r="P19"/>
  <c r="P20"/>
  <c r="P21"/>
  <c r="P3"/>
  <c r="J28"/>
  <c r="I27"/>
  <c r="I26"/>
  <c r="I25"/>
  <c r="N24"/>
  <c r="J34"/>
  <c r="C44"/>
  <c r="I42"/>
  <c r="I33" s="1"/>
  <c r="C43"/>
  <c r="C42"/>
  <c r="D35"/>
  <c r="N6" s="1"/>
  <c r="I39"/>
  <c r="C46" s="1"/>
  <c r="I34"/>
  <c r="I29"/>
  <c r="C29"/>
  <c r="C28"/>
  <c r="C33"/>
  <c r="M7" s="1"/>
  <c r="R7" s="1"/>
  <c r="C32"/>
  <c r="I32"/>
  <c r="C36"/>
  <c r="C35"/>
  <c r="C34"/>
  <c r="C47"/>
  <c r="C26"/>
  <c r="C25"/>
  <c r="Q22" l="1"/>
  <c r="I36" s="1"/>
  <c r="T22"/>
  <c r="I45" s="1"/>
  <c r="P22"/>
  <c r="I35" s="1"/>
  <c r="U22"/>
  <c r="I46" s="1"/>
  <c r="M3"/>
  <c r="R3" s="1"/>
  <c r="J21"/>
  <c r="J17"/>
  <c r="J13"/>
  <c r="J9"/>
  <c r="J5"/>
  <c r="K21"/>
  <c r="K17"/>
  <c r="K13"/>
  <c r="K9"/>
  <c r="K5"/>
  <c r="M20"/>
  <c r="R20" s="1"/>
  <c r="M16"/>
  <c r="R16" s="1"/>
  <c r="M12"/>
  <c r="R12" s="1"/>
  <c r="M8"/>
  <c r="R8" s="1"/>
  <c r="M4"/>
  <c r="R4" s="1"/>
  <c r="N19"/>
  <c r="N15"/>
  <c r="N11"/>
  <c r="N7"/>
  <c r="O7" s="1"/>
  <c r="J3"/>
  <c r="J18"/>
  <c r="J14"/>
  <c r="J10"/>
  <c r="J6"/>
  <c r="K3"/>
  <c r="K18"/>
  <c r="K14"/>
  <c r="K10"/>
  <c r="K6"/>
  <c r="M21"/>
  <c r="R21" s="1"/>
  <c r="M17"/>
  <c r="R17" s="1"/>
  <c r="M13"/>
  <c r="R13" s="1"/>
  <c r="M9"/>
  <c r="R9" s="1"/>
  <c r="M5"/>
  <c r="R5" s="1"/>
  <c r="N20"/>
  <c r="N16"/>
  <c r="N12"/>
  <c r="N8"/>
  <c r="N4"/>
  <c r="J19"/>
  <c r="J11"/>
  <c r="K19"/>
  <c r="K11"/>
  <c r="K7"/>
  <c r="M18"/>
  <c r="R18" s="1"/>
  <c r="M14"/>
  <c r="R14" s="1"/>
  <c r="M10"/>
  <c r="R10" s="1"/>
  <c r="M6"/>
  <c r="N21"/>
  <c r="N17"/>
  <c r="N13"/>
  <c r="N9"/>
  <c r="N5"/>
  <c r="J15"/>
  <c r="J7"/>
  <c r="K15"/>
  <c r="C40"/>
  <c r="C41"/>
  <c r="J20"/>
  <c r="J16"/>
  <c r="J12"/>
  <c r="J8"/>
  <c r="J4"/>
  <c r="K20"/>
  <c r="K16"/>
  <c r="K12"/>
  <c r="K8"/>
  <c r="K4"/>
  <c r="M19"/>
  <c r="M15"/>
  <c r="R15" s="1"/>
  <c r="M11"/>
  <c r="R11" s="1"/>
  <c r="N3"/>
  <c r="N18"/>
  <c r="N14"/>
  <c r="N10"/>
  <c r="I30" l="1"/>
  <c r="O6"/>
  <c r="R6"/>
  <c r="R22" s="1"/>
  <c r="I37" s="1"/>
  <c r="O19"/>
  <c r="R19"/>
  <c r="K22"/>
  <c r="L2" s="1"/>
  <c r="C30" s="1"/>
  <c r="O3"/>
  <c r="O9"/>
  <c r="O12"/>
  <c r="J22"/>
  <c r="C38" s="1"/>
  <c r="I31" s="1"/>
  <c r="O18"/>
  <c r="O5"/>
  <c r="O21"/>
  <c r="O8"/>
  <c r="O15"/>
  <c r="O14"/>
  <c r="O17"/>
  <c r="O4"/>
  <c r="O20"/>
  <c r="O11"/>
  <c r="O10"/>
  <c r="O13"/>
  <c r="O16"/>
  <c r="C39" l="1"/>
  <c r="O23"/>
  <c r="O24" s="1"/>
  <c r="I24" s="1"/>
</calcChain>
</file>

<file path=xl/sharedStrings.xml><?xml version="1.0" encoding="utf-8"?>
<sst xmlns="http://schemas.openxmlformats.org/spreadsheetml/2006/main" count="122" uniqueCount="77">
  <si>
    <t>Date</t>
  </si>
  <si>
    <t>Open</t>
  </si>
  <si>
    <t>High</t>
  </si>
  <si>
    <t>Low</t>
  </si>
  <si>
    <t>Close</t>
  </si>
  <si>
    <t>Volume</t>
  </si>
  <si>
    <t>Adj Close</t>
  </si>
  <si>
    <t>durbin watson</t>
  </si>
  <si>
    <t>geometric mean</t>
  </si>
  <si>
    <t>harmonic mean</t>
  </si>
  <si>
    <t>kurtosis</t>
  </si>
  <si>
    <t>lag1</t>
  </si>
  <si>
    <t>max</t>
  </si>
  <si>
    <t>mean</t>
  </si>
  <si>
    <t>mean deviation</t>
  </si>
  <si>
    <t>median</t>
  </si>
  <si>
    <t>min</t>
  </si>
  <si>
    <t>moment</t>
  </si>
  <si>
    <t>moment3</t>
  </si>
  <si>
    <t>moment4</t>
  </si>
  <si>
    <t>pooled mean</t>
  </si>
  <si>
    <t>pooled variance</t>
  </si>
  <si>
    <t>product</t>
  </si>
  <si>
    <t>quantile</t>
  </si>
  <si>
    <t>rank interpolated</t>
  </si>
  <si>
    <t>rms</t>
  </si>
  <si>
    <t>sample kurtosis</t>
  </si>
  <si>
    <t>sample kurtosis standard error</t>
  </si>
  <si>
    <t>sample skew</t>
  </si>
  <si>
    <t>sample skew standard error</t>
  </si>
  <si>
    <t>sample variance</t>
  </si>
  <si>
    <t>skew</t>
  </si>
  <si>
    <t>sum of squares</t>
  </si>
  <si>
    <t>sum of squared deviations</t>
  </si>
  <si>
    <t>variance</t>
  </si>
  <si>
    <t>weighted mean</t>
  </si>
  <si>
    <t>winsorized mean</t>
  </si>
  <si>
    <t>correlation (open x high)</t>
  </si>
  <si>
    <t>covariance (open x high)</t>
  </si>
  <si>
    <t>standard deviation</t>
  </si>
  <si>
    <t>standard error</t>
  </si>
  <si>
    <t>sum</t>
  </si>
  <si>
    <t>sum of inversions</t>
  </si>
  <si>
    <t>sum of logarithms</t>
  </si>
  <si>
    <t>sample standard deviation</t>
  </si>
  <si>
    <t>sample weighted variance</t>
  </si>
  <si>
    <t>weighted rms</t>
  </si>
  <si>
    <t>auto correlation (10)</t>
  </si>
  <si>
    <t>OK</t>
  </si>
  <si>
    <t>Moment(3)</t>
  </si>
  <si>
    <t>Moment(4)</t>
  </si>
  <si>
    <t>Kurtosis</t>
  </si>
  <si>
    <t>quantile inverse (35.0)</t>
  </si>
  <si>
    <t>open - mean</t>
  </si>
  <si>
    <t>high - mean</t>
  </si>
  <si>
    <t>1 * 2</t>
  </si>
  <si>
    <t>Covariance</t>
  </si>
  <si>
    <t>sample covariance (open x high)</t>
  </si>
  <si>
    <t>Math.sqrt(24.0 * n * (n - 1) * (n - 1) / ((n - 3) * (n - 2) * (n + 3) * (n + 5)))</t>
  </si>
  <si>
    <t>Math.sqrt(6.0 * n * (n - 1) / ((n - 2) * (n + 1) * (n + 3)));</t>
  </si>
  <si>
    <t>OK???</t>
  </si>
  <si>
    <t>Needs the gamma function for correction</t>
  </si>
  <si>
    <t>open - inversion</t>
  </si>
  <si>
    <t>open - log</t>
  </si>
  <si>
    <t>(open - mean)^2</t>
  </si>
  <si>
    <t>?</t>
  </si>
  <si>
    <t>weighted sum</t>
  </si>
  <si>
    <t>weighted sum of squares</t>
  </si>
  <si>
    <t>weights</t>
  </si>
  <si>
    <t>weighted 
sum of squares</t>
  </si>
  <si>
    <t>Standardized</t>
  </si>
  <si>
    <t>sum of power deviations(2, mean)</t>
  </si>
  <si>
    <t>sum of powers (3.0)</t>
  </si>
  <si>
    <t>trimmed mean(2, 2)</t>
  </si>
  <si>
    <t>open^3</t>
  </si>
  <si>
    <t>trimmed</t>
  </si>
  <si>
    <t>winzorized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</si>
</sst>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47"/>
  <sheetViews>
    <sheetView tabSelected="1" workbookViewId="0">
      <selection activeCell="G48" sqref="G48"/>
    </sheetView>
  </sheetViews>
  <sheetFormatPr defaultRowHeight="15"/>
  <cols>
    <col min="2" max="2" width="28.42578125" bestFit="1" customWidth="1"/>
    <col min="3" max="4" width="12" bestFit="1" customWidth="1"/>
    <col min="7" max="7" width="8" bestFit="1" customWidth="1"/>
    <col min="8" max="8" width="32" bestFit="1" customWidth="1"/>
    <col min="9" max="9" width="12" bestFit="1" customWidth="1"/>
    <col min="10" max="10" width="14.28515625" customWidth="1"/>
    <col min="11" max="11" width="11.7109375" customWidth="1"/>
    <col min="12" max="12" width="16" customWidth="1"/>
    <col min="13" max="15" width="12.7109375" bestFit="1" customWidth="1"/>
    <col min="16" max="16" width="14.85546875" customWidth="1"/>
    <col min="17" max="17" width="12" bestFit="1" customWidth="1"/>
    <col min="18" max="18" width="15.7109375" customWidth="1"/>
    <col min="20" max="20" width="13.7109375" bestFit="1" customWidth="1"/>
    <col min="21" max="21" width="15" customWidth="1"/>
    <col min="22" max="22" width="12.7109375" bestFit="1" customWidth="1"/>
  </cols>
  <sheetData>
    <row r="1" spans="2:25" ht="30">
      <c r="J1" t="s">
        <v>49</v>
      </c>
      <c r="K1" t="s">
        <v>50</v>
      </c>
      <c r="L1" t="s">
        <v>51</v>
      </c>
      <c r="M1" t="s">
        <v>53</v>
      </c>
      <c r="N1" t="s">
        <v>54</v>
      </c>
      <c r="O1" t="s">
        <v>55</v>
      </c>
      <c r="P1" t="s">
        <v>62</v>
      </c>
      <c r="Q1" t="s">
        <v>63</v>
      </c>
      <c r="R1" t="s">
        <v>64</v>
      </c>
      <c r="S1" t="s">
        <v>68</v>
      </c>
      <c r="T1" t="s">
        <v>66</v>
      </c>
      <c r="U1" s="3" t="s">
        <v>69</v>
      </c>
      <c r="V1" t="s">
        <v>70</v>
      </c>
      <c r="W1" t="s">
        <v>74</v>
      </c>
      <c r="X1" t="s">
        <v>75</v>
      </c>
      <c r="Y1" t="s">
        <v>76</v>
      </c>
    </row>
    <row r="2" spans="2: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>
        <v>3</v>
      </c>
      <c r="K2">
        <v>4</v>
      </c>
      <c r="L2">
        <f>-3+K22/(I32^4)</f>
        <v>-0.92564422252414147</v>
      </c>
    </row>
    <row r="3" spans="2:25">
      <c r="B3" s="1">
        <v>41388</v>
      </c>
      <c r="C3">
        <v>33.58</v>
      </c>
      <c r="D3">
        <v>34.369999999999997</v>
      </c>
      <c r="E3">
        <v>33.42</v>
      </c>
      <c r="F3">
        <v>33.58</v>
      </c>
      <c r="G3">
        <v>7022800</v>
      </c>
      <c r="H3">
        <v>33.58</v>
      </c>
      <c r="J3">
        <f t="shared" ref="J3:J21" si="0">(C3-$C$33)^$J$2</f>
        <v>-2.207602230646015E-2</v>
      </c>
      <c r="K3">
        <f t="shared" ref="K3:K21" si="1">(C3-$C$33)^$K$2</f>
        <v>6.1929052049176439E-3</v>
      </c>
      <c r="M3">
        <f t="shared" ref="M3:M21" si="2">C3-$C$33</f>
        <v>-0.28052631578947995</v>
      </c>
      <c r="N3">
        <f>D3-$D$35</f>
        <v>-0.11684210526316008</v>
      </c>
      <c r="O3">
        <f>M3*N3</f>
        <v>3.2777285318560903E-2</v>
      </c>
      <c r="P3">
        <f>1/C3</f>
        <v>2.9779630732578919E-2</v>
      </c>
      <c r="Q3">
        <f>LN(C3)</f>
        <v>3.5139306516493947</v>
      </c>
      <c r="R3">
        <f>M3^2</f>
        <v>7.8695013850419035E-2</v>
      </c>
      <c r="S3">
        <v>1</v>
      </c>
      <c r="T3">
        <f>S3*C3</f>
        <v>33.58</v>
      </c>
      <c r="U3">
        <f>S3*C3*C3</f>
        <v>1127.6163999999999</v>
      </c>
      <c r="V3">
        <f>(C3-$C$33)/$I$32</f>
        <v>-0.22351044017086383</v>
      </c>
      <c r="W3">
        <f>C3*C3*C3</f>
        <v>37865.358711999994</v>
      </c>
      <c r="X3">
        <f>C3</f>
        <v>33.58</v>
      </c>
      <c r="Y3">
        <f>C3</f>
        <v>33.58</v>
      </c>
    </row>
    <row r="4" spans="2:25">
      <c r="B4" s="1">
        <v>41387</v>
      </c>
      <c r="C4">
        <v>32.53</v>
      </c>
      <c r="D4">
        <v>33.54</v>
      </c>
      <c r="E4">
        <v>32.07</v>
      </c>
      <c r="F4">
        <v>33.4</v>
      </c>
      <c r="G4">
        <v>3379500</v>
      </c>
      <c r="H4">
        <v>33.4</v>
      </c>
      <c r="J4">
        <f t="shared" si="0"/>
        <v>-2.3554311054089698</v>
      </c>
      <c r="K4">
        <f t="shared" si="1"/>
        <v>3.1339630707757324</v>
      </c>
      <c r="M4">
        <f t="shared" si="2"/>
        <v>-1.3305263157894771</v>
      </c>
      <c r="N4">
        <f t="shared" ref="N4:N21" si="3">D4-$D$35</f>
        <v>-0.94684210526315837</v>
      </c>
      <c r="O4">
        <f t="shared" ref="O4:O21" si="4">M4*N4</f>
        <v>1.2597983379501423</v>
      </c>
      <c r="P4">
        <f t="shared" ref="P4:P21" si="5">1/C4</f>
        <v>3.0740854595757761E-2</v>
      </c>
      <c r="Q4">
        <f t="shared" ref="Q4:Q21" si="6">LN(C4)</f>
        <v>3.48216274048526</v>
      </c>
      <c r="R4">
        <f t="shared" ref="R4:R21" si="7">M4^2</f>
        <v>1.7703002770083194</v>
      </c>
      <c r="S4">
        <v>2</v>
      </c>
      <c r="T4">
        <f t="shared" ref="T4:T21" si="8">S4*C4</f>
        <v>65.06</v>
      </c>
      <c r="U4">
        <f t="shared" ref="U4:U21" si="9">S4*C4*C4</f>
        <v>2116.4018000000001</v>
      </c>
      <c r="V4">
        <f t="shared" ref="V4:V22" si="10">(C4-$C$33)/$I$32</f>
        <v>-1.060102050191243</v>
      </c>
      <c r="W4">
        <f t="shared" ref="W4:W21" si="11">C4*C4*C4</f>
        <v>34423.275277000001</v>
      </c>
      <c r="X4">
        <f t="shared" ref="X4:X22" si="12">C4</f>
        <v>32.53</v>
      </c>
      <c r="Y4">
        <f t="shared" ref="Y4:Y22" si="13">C4</f>
        <v>32.53</v>
      </c>
    </row>
    <row r="5" spans="2:25">
      <c r="B5" s="1">
        <v>41386</v>
      </c>
      <c r="C5">
        <v>32.14</v>
      </c>
      <c r="D5">
        <v>32.56</v>
      </c>
      <c r="E5">
        <v>31.8</v>
      </c>
      <c r="F5">
        <v>32.39</v>
      </c>
      <c r="G5">
        <v>2287100</v>
      </c>
      <c r="H5">
        <v>32.39</v>
      </c>
      <c r="J5">
        <f t="shared" si="0"/>
        <v>-5.0931205874034466</v>
      </c>
      <c r="K5">
        <f t="shared" si="1"/>
        <v>8.7628480001167937</v>
      </c>
      <c r="M5">
        <f t="shared" si="2"/>
        <v>-1.7205263157894777</v>
      </c>
      <c r="N5">
        <f t="shared" si="3"/>
        <v>-1.9268421052631552</v>
      </c>
      <c r="O5">
        <f t="shared" si="4"/>
        <v>3.3151825484764572</v>
      </c>
      <c r="P5">
        <f t="shared" si="5"/>
        <v>3.1113876789047916E-2</v>
      </c>
      <c r="Q5">
        <f t="shared" si="6"/>
        <v>3.4701013603093664</v>
      </c>
      <c r="R5">
        <f t="shared" si="7"/>
        <v>2.9602108033241135</v>
      </c>
      <c r="S5">
        <v>3</v>
      </c>
      <c r="T5">
        <f t="shared" si="8"/>
        <v>96.42</v>
      </c>
      <c r="U5">
        <f t="shared" si="9"/>
        <v>3098.9387999999999</v>
      </c>
      <c r="V5">
        <f t="shared" si="10"/>
        <v>-1.3708360767702426</v>
      </c>
      <c r="W5">
        <f t="shared" si="11"/>
        <v>33199.964344000007</v>
      </c>
      <c r="X5">
        <f>C33</f>
        <v>33.860526315789478</v>
      </c>
      <c r="Y5">
        <f t="shared" si="13"/>
        <v>32.14</v>
      </c>
    </row>
    <row r="6" spans="2:25">
      <c r="B6" s="1">
        <v>41383</v>
      </c>
      <c r="C6">
        <v>32.340000000000003</v>
      </c>
      <c r="D6">
        <v>32.54</v>
      </c>
      <c r="E6">
        <v>31.54</v>
      </c>
      <c r="F6">
        <v>32.1</v>
      </c>
      <c r="G6">
        <v>4675200</v>
      </c>
      <c r="H6">
        <v>32.1</v>
      </c>
      <c r="J6">
        <f t="shared" si="0"/>
        <v>-3.5154572633036967</v>
      </c>
      <c r="K6">
        <f t="shared" si="1"/>
        <v>5.3453452808865203</v>
      </c>
      <c r="M6">
        <f t="shared" si="2"/>
        <v>-1.5205263157894748</v>
      </c>
      <c r="N6">
        <f t="shared" si="3"/>
        <v>-1.9468421052631584</v>
      </c>
      <c r="O6">
        <f t="shared" si="4"/>
        <v>2.9602246537396151</v>
      </c>
      <c r="P6">
        <f t="shared" si="5"/>
        <v>3.0921459492888062E-2</v>
      </c>
      <c r="Q6">
        <f t="shared" si="6"/>
        <v>3.4763048541489607</v>
      </c>
      <c r="R6">
        <f t="shared" si="7"/>
        <v>2.3120002770083139</v>
      </c>
      <c r="S6">
        <v>4</v>
      </c>
      <c r="T6">
        <f t="shared" si="8"/>
        <v>129.36000000000001</v>
      </c>
      <c r="U6">
        <f t="shared" si="9"/>
        <v>4183.5024000000012</v>
      </c>
      <c r="V6">
        <f t="shared" si="10"/>
        <v>-1.2114852939092151</v>
      </c>
      <c r="W6">
        <f t="shared" si="11"/>
        <v>33823.616904000017</v>
      </c>
      <c r="X6">
        <f t="shared" si="12"/>
        <v>32.340000000000003</v>
      </c>
      <c r="Y6">
        <f t="shared" si="13"/>
        <v>32.340000000000003</v>
      </c>
    </row>
    <row r="7" spans="2:25">
      <c r="B7" s="1">
        <v>41382</v>
      </c>
      <c r="C7">
        <v>32.450000000000003</v>
      </c>
      <c r="D7">
        <v>32.78</v>
      </c>
      <c r="E7">
        <v>31.72</v>
      </c>
      <c r="F7">
        <v>31.9</v>
      </c>
      <c r="G7">
        <v>4258300</v>
      </c>
      <c r="H7">
        <v>31.9</v>
      </c>
      <c r="J7">
        <f t="shared" si="0"/>
        <v>-2.8063612771541142</v>
      </c>
      <c r="K7">
        <f t="shared" si="1"/>
        <v>3.9584464330384397</v>
      </c>
      <c r="M7">
        <f t="shared" si="2"/>
        <v>-1.4105263157894754</v>
      </c>
      <c r="N7">
        <f t="shared" si="3"/>
        <v>-1.7068421052631564</v>
      </c>
      <c r="O7">
        <f t="shared" si="4"/>
        <v>2.407545706371192</v>
      </c>
      <c r="P7">
        <f t="shared" si="5"/>
        <v>3.0816640986132508E-2</v>
      </c>
      <c r="Q7">
        <f t="shared" si="6"/>
        <v>3.4797004431500991</v>
      </c>
      <c r="R7">
        <f t="shared" si="7"/>
        <v>1.9895844875346309</v>
      </c>
      <c r="S7">
        <v>5</v>
      </c>
      <c r="T7">
        <f t="shared" si="8"/>
        <v>162.25</v>
      </c>
      <c r="U7">
        <f t="shared" si="9"/>
        <v>5265.0125000000007</v>
      </c>
      <c r="V7">
        <f t="shared" si="10"/>
        <v>-1.1238423633356518</v>
      </c>
      <c r="W7">
        <f t="shared" si="11"/>
        <v>34169.93112500001</v>
      </c>
      <c r="X7">
        <f t="shared" si="12"/>
        <v>32.450000000000003</v>
      </c>
      <c r="Y7">
        <f t="shared" si="13"/>
        <v>32.450000000000003</v>
      </c>
    </row>
    <row r="8" spans="2:25">
      <c r="B8" s="1">
        <v>41381</v>
      </c>
      <c r="C8">
        <v>31.7</v>
      </c>
      <c r="D8">
        <v>32.5</v>
      </c>
      <c r="E8">
        <v>31.07</v>
      </c>
      <c r="F8">
        <v>32.46</v>
      </c>
      <c r="G8">
        <v>9355000</v>
      </c>
      <c r="H8">
        <v>32.46</v>
      </c>
      <c r="J8">
        <f t="shared" si="0"/>
        <v>-10.085064532001823</v>
      </c>
      <c r="K8">
        <f t="shared" si="1"/>
        <v>21.789047317825045</v>
      </c>
      <c r="M8">
        <f t="shared" si="2"/>
        <v>-2.160526315789479</v>
      </c>
      <c r="N8">
        <f t="shared" si="3"/>
        <v>-1.9868421052631575</v>
      </c>
      <c r="O8">
        <f t="shared" si="4"/>
        <v>4.2926246537396215</v>
      </c>
      <c r="P8">
        <f t="shared" si="5"/>
        <v>3.1545741324921134E-2</v>
      </c>
      <c r="Q8">
        <f t="shared" si="6"/>
        <v>3.4563166808832348</v>
      </c>
      <c r="R8">
        <f t="shared" si="7"/>
        <v>4.6678739612188593</v>
      </c>
      <c r="S8">
        <v>6</v>
      </c>
      <c r="T8">
        <f t="shared" si="8"/>
        <v>190.2</v>
      </c>
      <c r="U8">
        <f t="shared" si="9"/>
        <v>6029.3399999999992</v>
      </c>
      <c r="V8">
        <f t="shared" si="10"/>
        <v>-1.7214077990644987</v>
      </c>
      <c r="W8">
        <f t="shared" si="11"/>
        <v>31855.012999999999</v>
      </c>
      <c r="X8">
        <f>C33</f>
        <v>33.860526315789478</v>
      </c>
      <c r="Y8">
        <f>Y5</f>
        <v>32.14</v>
      </c>
    </row>
    <row r="9" spans="2:25">
      <c r="B9" s="1">
        <v>41380</v>
      </c>
      <c r="C9">
        <v>33.049999999999997</v>
      </c>
      <c r="D9">
        <v>33.31</v>
      </c>
      <c r="E9">
        <v>32.69</v>
      </c>
      <c r="F9">
        <v>32.33</v>
      </c>
      <c r="G9">
        <v>5677000</v>
      </c>
      <c r="H9">
        <v>32.33</v>
      </c>
      <c r="J9">
        <f t="shared" si="0"/>
        <v>-0.53247762064442339</v>
      </c>
      <c r="K9">
        <f t="shared" si="1"/>
        <v>0.43158712410127342</v>
      </c>
      <c r="M9">
        <f t="shared" si="2"/>
        <v>-0.81052631578948109</v>
      </c>
      <c r="N9">
        <f t="shared" si="3"/>
        <v>-1.1768421052631552</v>
      </c>
      <c r="O9">
        <f t="shared" si="4"/>
        <v>0.95386149584488189</v>
      </c>
      <c r="P9">
        <f t="shared" si="5"/>
        <v>3.0257186081694407E-2</v>
      </c>
      <c r="Q9">
        <f t="shared" si="6"/>
        <v>3.498021566297695</v>
      </c>
      <c r="R9">
        <f t="shared" si="7"/>
        <v>0.65695290858726962</v>
      </c>
      <c r="S9">
        <v>7</v>
      </c>
      <c r="T9">
        <f t="shared" si="8"/>
        <v>231.34999999999997</v>
      </c>
      <c r="U9">
        <f t="shared" si="9"/>
        <v>7646.1174999999985</v>
      </c>
      <c r="V9">
        <f t="shared" si="10"/>
        <v>-0.64579001475258113</v>
      </c>
      <c r="W9">
        <f t="shared" si="11"/>
        <v>36100.597624999988</v>
      </c>
      <c r="X9">
        <f t="shared" si="12"/>
        <v>33.049999999999997</v>
      </c>
      <c r="Y9">
        <f t="shared" si="13"/>
        <v>33.049999999999997</v>
      </c>
    </row>
    <row r="10" spans="2:25">
      <c r="B10" s="1">
        <v>41379</v>
      </c>
      <c r="C10">
        <v>33.549999999999997</v>
      </c>
      <c r="D10">
        <v>33.86</v>
      </c>
      <c r="E10">
        <v>32.049999999999997</v>
      </c>
      <c r="F10">
        <v>32.46</v>
      </c>
      <c r="G10">
        <v>4378700</v>
      </c>
      <c r="H10">
        <v>32.46</v>
      </c>
      <c r="J10">
        <f t="shared" si="0"/>
        <v>-2.9942994605629786E-2</v>
      </c>
      <c r="K10">
        <f t="shared" si="1"/>
        <v>9.2980877985905236E-3</v>
      </c>
      <c r="M10">
        <f t="shared" si="2"/>
        <v>-0.31052631578948109</v>
      </c>
      <c r="N10">
        <f t="shared" si="3"/>
        <v>-0.62684210526315809</v>
      </c>
      <c r="O10">
        <f t="shared" si="4"/>
        <v>0.19465096952909058</v>
      </c>
      <c r="P10">
        <f t="shared" si="5"/>
        <v>2.9806259314456039E-2</v>
      </c>
      <c r="Q10">
        <f t="shared" si="6"/>
        <v>3.5130368634176907</v>
      </c>
      <c r="R10">
        <f t="shared" si="7"/>
        <v>9.6426592797788535E-2</v>
      </c>
      <c r="S10">
        <v>8</v>
      </c>
      <c r="T10">
        <f t="shared" si="8"/>
        <v>268.39999999999998</v>
      </c>
      <c r="U10">
        <f t="shared" si="9"/>
        <v>9004.8199999999979</v>
      </c>
      <c r="V10">
        <f t="shared" si="10"/>
        <v>-0.2474130576000185</v>
      </c>
      <c r="W10">
        <f t="shared" si="11"/>
        <v>37763.963874999987</v>
      </c>
      <c r="X10">
        <f t="shared" si="12"/>
        <v>33.549999999999997</v>
      </c>
      <c r="Y10">
        <f t="shared" si="13"/>
        <v>33.549999999999997</v>
      </c>
    </row>
    <row r="11" spans="2:25">
      <c r="B11" s="1">
        <v>41376</v>
      </c>
      <c r="C11">
        <v>34.119999999999997</v>
      </c>
      <c r="D11">
        <v>35.86</v>
      </c>
      <c r="E11">
        <v>33.340000000000003</v>
      </c>
      <c r="F11">
        <v>34.58</v>
      </c>
      <c r="G11">
        <v>6132200</v>
      </c>
      <c r="H11">
        <v>34.58</v>
      </c>
      <c r="J11">
        <f t="shared" si="0"/>
        <v>1.7469479078581446E-2</v>
      </c>
      <c r="K11">
        <f t="shared" si="1"/>
        <v>4.5328700977581137E-3</v>
      </c>
      <c r="M11">
        <f t="shared" si="2"/>
        <v>0.2594736842105192</v>
      </c>
      <c r="N11">
        <f t="shared" si="3"/>
        <v>1.3731578947368419</v>
      </c>
      <c r="O11">
        <f t="shared" si="4"/>
        <v>0.35629833795012866</v>
      </c>
      <c r="P11">
        <f t="shared" si="5"/>
        <v>2.9308323563892149E-2</v>
      </c>
      <c r="Q11">
        <f t="shared" si="6"/>
        <v>3.5298837226234783</v>
      </c>
      <c r="R11">
        <f t="shared" si="7"/>
        <v>6.7326592797780235E-2</v>
      </c>
      <c r="S11">
        <v>9</v>
      </c>
      <c r="T11">
        <f t="shared" si="8"/>
        <v>307.08</v>
      </c>
      <c r="U11">
        <f t="shared" si="9"/>
        <v>10477.569599999999</v>
      </c>
      <c r="V11">
        <f t="shared" si="10"/>
        <v>0.20673667355390316</v>
      </c>
      <c r="W11">
        <f t="shared" si="11"/>
        <v>39721.630527999994</v>
      </c>
      <c r="X11">
        <f t="shared" si="12"/>
        <v>34.119999999999997</v>
      </c>
      <c r="Y11">
        <f t="shared" si="13"/>
        <v>34.119999999999997</v>
      </c>
    </row>
    <row r="12" spans="2:25">
      <c r="B12" s="1">
        <v>41375</v>
      </c>
      <c r="C12">
        <v>35.15</v>
      </c>
      <c r="D12">
        <v>35.29</v>
      </c>
      <c r="E12">
        <v>33.89</v>
      </c>
      <c r="F12">
        <v>34.14</v>
      </c>
      <c r="G12">
        <v>5182600</v>
      </c>
      <c r="H12">
        <v>34.14</v>
      </c>
      <c r="J12">
        <f t="shared" si="0"/>
        <v>2.1440625455605473</v>
      </c>
      <c r="K12">
        <f t="shared" si="1"/>
        <v>2.7647122298017455</v>
      </c>
      <c r="M12">
        <f t="shared" si="2"/>
        <v>1.2894736842105203</v>
      </c>
      <c r="N12">
        <f t="shared" si="3"/>
        <v>0.80315789473684163</v>
      </c>
      <c r="O12">
        <f t="shared" si="4"/>
        <v>1.0356509695290805</v>
      </c>
      <c r="P12">
        <f t="shared" si="5"/>
        <v>2.8449502133712661E-2</v>
      </c>
      <c r="Q12">
        <f t="shared" si="6"/>
        <v>3.5596246182566738</v>
      </c>
      <c r="R12">
        <f t="shared" si="7"/>
        <v>1.6627423822714527</v>
      </c>
      <c r="S12">
        <v>10</v>
      </c>
      <c r="T12">
        <f t="shared" si="8"/>
        <v>351.5</v>
      </c>
      <c r="U12">
        <f t="shared" si="9"/>
        <v>12355.225</v>
      </c>
      <c r="V12">
        <f t="shared" si="10"/>
        <v>1.0273932052881831</v>
      </c>
      <c r="W12">
        <f t="shared" si="11"/>
        <v>43428.615874999989</v>
      </c>
      <c r="X12">
        <f>C33</f>
        <v>33.860526315789478</v>
      </c>
      <c r="Y12">
        <f t="shared" si="13"/>
        <v>35.15</v>
      </c>
    </row>
    <row r="13" spans="2:25">
      <c r="B13" s="1">
        <v>41374</v>
      </c>
      <c r="C13">
        <v>36.43</v>
      </c>
      <c r="D13">
        <v>36.81</v>
      </c>
      <c r="E13">
        <v>34.85</v>
      </c>
      <c r="F13">
        <v>35</v>
      </c>
      <c r="G13">
        <v>8489500</v>
      </c>
      <c r="H13">
        <v>35</v>
      </c>
      <c r="J13">
        <f t="shared" si="0"/>
        <v>16.964166346114496</v>
      </c>
      <c r="K13">
        <f t="shared" si="1"/>
        <v>43.588979000910953</v>
      </c>
      <c r="M13">
        <f t="shared" si="2"/>
        <v>2.5694736842105215</v>
      </c>
      <c r="N13">
        <f t="shared" si="3"/>
        <v>2.3231578947368448</v>
      </c>
      <c r="O13">
        <f t="shared" si="4"/>
        <v>5.9692930747922395</v>
      </c>
      <c r="P13">
        <f t="shared" si="5"/>
        <v>2.744990392533626E-2</v>
      </c>
      <c r="Q13">
        <f t="shared" si="6"/>
        <v>3.5953926110204724</v>
      </c>
      <c r="R13">
        <f t="shared" si="7"/>
        <v>6.6021950138503902</v>
      </c>
      <c r="S13">
        <v>11</v>
      </c>
      <c r="T13">
        <f t="shared" si="8"/>
        <v>400.73</v>
      </c>
      <c r="U13">
        <f t="shared" si="9"/>
        <v>14598.5939</v>
      </c>
      <c r="V13">
        <f t="shared" si="10"/>
        <v>2.0472382155987443</v>
      </c>
      <c r="W13">
        <f t="shared" si="11"/>
        <v>48347.888706999998</v>
      </c>
      <c r="X13">
        <f>C33</f>
        <v>33.860526315789478</v>
      </c>
      <c r="Y13">
        <f>Y12</f>
        <v>35.15</v>
      </c>
    </row>
    <row r="14" spans="2:25">
      <c r="B14" s="1">
        <v>41373</v>
      </c>
      <c r="C14">
        <v>35</v>
      </c>
      <c r="D14">
        <v>36.6</v>
      </c>
      <c r="E14">
        <v>35</v>
      </c>
      <c r="F14">
        <v>36.19</v>
      </c>
      <c r="G14">
        <v>7892300</v>
      </c>
      <c r="H14">
        <v>36.19</v>
      </c>
      <c r="J14">
        <f t="shared" si="0"/>
        <v>1.4794929472226095</v>
      </c>
      <c r="K14">
        <f t="shared" si="1"/>
        <v>1.6858432793352298</v>
      </c>
      <c r="M14">
        <f t="shared" si="2"/>
        <v>1.1394736842105218</v>
      </c>
      <c r="N14">
        <f t="shared" si="3"/>
        <v>2.1131578947368439</v>
      </c>
      <c r="O14">
        <f t="shared" si="4"/>
        <v>2.4078878116343416</v>
      </c>
      <c r="P14">
        <f t="shared" si="5"/>
        <v>2.8571428571428571E-2</v>
      </c>
      <c r="Q14">
        <f t="shared" si="6"/>
        <v>3.5553480614894135</v>
      </c>
      <c r="R14">
        <f t="shared" si="7"/>
        <v>1.2984002770082999</v>
      </c>
      <c r="S14">
        <v>12</v>
      </c>
      <c r="T14">
        <f t="shared" si="8"/>
        <v>420</v>
      </c>
      <c r="U14">
        <f t="shared" si="9"/>
        <v>14700</v>
      </c>
      <c r="V14">
        <f t="shared" si="10"/>
        <v>0.90788011814241543</v>
      </c>
      <c r="W14">
        <f t="shared" si="11"/>
        <v>42875</v>
      </c>
      <c r="X14">
        <f t="shared" si="12"/>
        <v>35</v>
      </c>
      <c r="Y14">
        <f t="shared" si="13"/>
        <v>35</v>
      </c>
    </row>
    <row r="15" spans="2:25">
      <c r="B15" s="1">
        <v>41372</v>
      </c>
      <c r="C15">
        <v>34.69</v>
      </c>
      <c r="D15">
        <v>34.880000000000003</v>
      </c>
      <c r="E15">
        <v>34.08</v>
      </c>
      <c r="F15">
        <v>34.700000000000003</v>
      </c>
      <c r="G15">
        <v>6448600</v>
      </c>
      <c r="H15">
        <v>34.700000000000003</v>
      </c>
      <c r="J15">
        <f t="shared" si="0"/>
        <v>0.57069995276277929</v>
      </c>
      <c r="K15">
        <f t="shared" si="1"/>
        <v>0.47338059239691194</v>
      </c>
      <c r="M15">
        <f t="shared" si="2"/>
        <v>0.82947368421051948</v>
      </c>
      <c r="N15">
        <f t="shared" si="3"/>
        <v>0.39315789473684504</v>
      </c>
      <c r="O15">
        <f t="shared" si="4"/>
        <v>0.32611412742382245</v>
      </c>
      <c r="P15">
        <f t="shared" si="5"/>
        <v>2.8826751225136928E-2</v>
      </c>
      <c r="Q15">
        <f t="shared" si="6"/>
        <v>3.5464514609816584</v>
      </c>
      <c r="R15">
        <f t="shared" si="7"/>
        <v>0.68802659279777256</v>
      </c>
      <c r="S15">
        <v>13</v>
      </c>
      <c r="T15">
        <f t="shared" si="8"/>
        <v>450.96999999999997</v>
      </c>
      <c r="U15">
        <f t="shared" si="9"/>
        <v>15644.149299999997</v>
      </c>
      <c r="V15">
        <f t="shared" si="10"/>
        <v>0.66088640470782478</v>
      </c>
      <c r="W15">
        <f t="shared" si="11"/>
        <v>41745.810708999998</v>
      </c>
      <c r="X15">
        <f t="shared" si="12"/>
        <v>34.69</v>
      </c>
      <c r="Y15">
        <f t="shared" si="13"/>
        <v>34.69</v>
      </c>
    </row>
    <row r="16" spans="2:25">
      <c r="B16" s="1">
        <v>41369</v>
      </c>
      <c r="C16">
        <v>33.74</v>
      </c>
      <c r="D16">
        <v>34.83</v>
      </c>
      <c r="E16">
        <v>33.44</v>
      </c>
      <c r="F16">
        <v>34.56</v>
      </c>
      <c r="G16">
        <v>4539600</v>
      </c>
      <c r="H16">
        <v>34.56</v>
      </c>
      <c r="J16">
        <f t="shared" si="0"/>
        <v>-1.7508367108909125E-3</v>
      </c>
      <c r="K16">
        <f t="shared" si="1"/>
        <v>2.1102189831264607E-4</v>
      </c>
      <c r="M16">
        <f t="shared" si="2"/>
        <v>-0.12052631578947626</v>
      </c>
      <c r="N16">
        <f t="shared" si="3"/>
        <v>0.34315789473684077</v>
      </c>
      <c r="O16">
        <f t="shared" si="4"/>
        <v>-4.1359556786704325E-2</v>
      </c>
      <c r="P16">
        <f t="shared" si="5"/>
        <v>2.9638411381149969E-2</v>
      </c>
      <c r="Q16">
        <f t="shared" si="6"/>
        <v>3.5186840771178223</v>
      </c>
      <c r="R16">
        <f t="shared" si="7"/>
        <v>1.4526592797784553E-2</v>
      </c>
      <c r="S16">
        <v>14</v>
      </c>
      <c r="T16">
        <f t="shared" si="8"/>
        <v>472.36</v>
      </c>
      <c r="U16">
        <f t="shared" si="9"/>
        <v>15937.426400000002</v>
      </c>
      <c r="V16">
        <f t="shared" si="10"/>
        <v>-9.6029813882040835E-2</v>
      </c>
      <c r="W16">
        <f t="shared" si="11"/>
        <v>38409.197624000008</v>
      </c>
      <c r="X16">
        <f t="shared" si="12"/>
        <v>33.74</v>
      </c>
      <c r="Y16">
        <f t="shared" si="13"/>
        <v>33.74</v>
      </c>
    </row>
    <row r="17" spans="1:25">
      <c r="B17" s="1">
        <v>41368</v>
      </c>
      <c r="C17">
        <v>34.950000000000003</v>
      </c>
      <c r="D17">
        <v>35.200000000000003</v>
      </c>
      <c r="E17">
        <v>34.090000000000003</v>
      </c>
      <c r="F17">
        <v>34.19</v>
      </c>
      <c r="G17">
        <v>4226900</v>
      </c>
      <c r="H17">
        <v>34.19</v>
      </c>
      <c r="J17">
        <f t="shared" si="0"/>
        <v>1.2931539583029534</v>
      </c>
      <c r="K17">
        <f t="shared" si="1"/>
        <v>1.408857207203742</v>
      </c>
      <c r="M17">
        <f t="shared" si="2"/>
        <v>1.0894736842105246</v>
      </c>
      <c r="N17">
        <f t="shared" si="3"/>
        <v>0.71315789473684532</v>
      </c>
      <c r="O17">
        <f t="shared" si="4"/>
        <v>0.77696675900277234</v>
      </c>
      <c r="P17">
        <f t="shared" si="5"/>
        <v>2.8612303290414875E-2</v>
      </c>
      <c r="Q17">
        <f t="shared" si="6"/>
        <v>3.5539184686798193</v>
      </c>
      <c r="R17">
        <f t="shared" si="7"/>
        <v>1.1869529085872539</v>
      </c>
      <c r="S17">
        <v>15</v>
      </c>
      <c r="T17">
        <f t="shared" si="8"/>
        <v>524.25</v>
      </c>
      <c r="U17">
        <f t="shared" si="9"/>
        <v>18322.537500000002</v>
      </c>
      <c r="V17">
        <f t="shared" si="10"/>
        <v>0.86804242242716145</v>
      </c>
      <c r="W17">
        <f t="shared" si="11"/>
        <v>42691.512375000013</v>
      </c>
      <c r="X17">
        <f t="shared" si="12"/>
        <v>34.950000000000003</v>
      </c>
      <c r="Y17">
        <f t="shared" si="13"/>
        <v>34.950000000000003</v>
      </c>
    </row>
    <row r="18" spans="1:25">
      <c r="B18" s="1">
        <v>41367</v>
      </c>
      <c r="C18">
        <v>33.18</v>
      </c>
      <c r="D18">
        <v>35.35</v>
      </c>
      <c r="E18">
        <v>33.06</v>
      </c>
      <c r="F18">
        <v>35.159999999999997</v>
      </c>
      <c r="G18">
        <v>6258100</v>
      </c>
      <c r="H18">
        <v>35.159999999999997</v>
      </c>
      <c r="J18">
        <f t="shared" si="0"/>
        <v>-0.3151626705059114</v>
      </c>
      <c r="K18">
        <f t="shared" si="1"/>
        <v>0.21447649103376121</v>
      </c>
      <c r="M18">
        <f t="shared" si="2"/>
        <v>-0.68052631578947853</v>
      </c>
      <c r="N18">
        <f t="shared" si="3"/>
        <v>0.8631578947368439</v>
      </c>
      <c r="O18">
        <f t="shared" si="4"/>
        <v>-0.58740166204986688</v>
      </c>
      <c r="P18">
        <f t="shared" si="5"/>
        <v>3.0138637733574444E-2</v>
      </c>
      <c r="Q18">
        <f t="shared" si="6"/>
        <v>3.5019472847622986</v>
      </c>
      <c r="R18">
        <f t="shared" si="7"/>
        <v>0.46311606648200104</v>
      </c>
      <c r="S18">
        <v>16</v>
      </c>
      <c r="T18">
        <f t="shared" si="8"/>
        <v>530.88</v>
      </c>
      <c r="U18">
        <f t="shared" si="9"/>
        <v>17614.598399999999</v>
      </c>
      <c r="V18">
        <f t="shared" si="10"/>
        <v>-0.54221200589291285</v>
      </c>
      <c r="W18">
        <f t="shared" si="11"/>
        <v>36528.273431999995</v>
      </c>
      <c r="X18">
        <f t="shared" si="12"/>
        <v>33.18</v>
      </c>
      <c r="Y18">
        <f t="shared" si="13"/>
        <v>33.18</v>
      </c>
    </row>
    <row r="19" spans="1:25">
      <c r="B19" s="1">
        <v>41366</v>
      </c>
      <c r="C19">
        <v>34.81</v>
      </c>
      <c r="D19">
        <v>34.92</v>
      </c>
      <c r="E19">
        <v>33.18</v>
      </c>
      <c r="F19">
        <v>33.25</v>
      </c>
      <c r="G19">
        <v>5340900</v>
      </c>
      <c r="H19">
        <v>33.25</v>
      </c>
      <c r="J19">
        <f t="shared" si="0"/>
        <v>0.85595078932788415</v>
      </c>
      <c r="K19">
        <f t="shared" si="1"/>
        <v>0.81270274944605236</v>
      </c>
      <c r="M19">
        <f t="shared" si="2"/>
        <v>0.94947368421052403</v>
      </c>
      <c r="N19">
        <f t="shared" si="3"/>
        <v>0.43315789473684418</v>
      </c>
      <c r="O19">
        <f t="shared" si="4"/>
        <v>0.41127202216066583</v>
      </c>
      <c r="P19">
        <f t="shared" si="5"/>
        <v>2.8727377190462509E-2</v>
      </c>
      <c r="Q19">
        <f t="shared" si="6"/>
        <v>3.5499047018233476</v>
      </c>
      <c r="R19">
        <f t="shared" si="7"/>
        <v>0.90150027700830593</v>
      </c>
      <c r="S19">
        <v>17</v>
      </c>
      <c r="T19">
        <f t="shared" si="8"/>
        <v>591.77</v>
      </c>
      <c r="U19">
        <f t="shared" si="9"/>
        <v>20599.5137</v>
      </c>
      <c r="V19">
        <f t="shared" si="10"/>
        <v>0.75649687442444347</v>
      </c>
      <c r="W19">
        <f t="shared" si="11"/>
        <v>42180.533641000009</v>
      </c>
      <c r="X19">
        <f t="shared" si="12"/>
        <v>34.81</v>
      </c>
      <c r="Y19">
        <f t="shared" si="13"/>
        <v>34.81</v>
      </c>
    </row>
    <row r="20" spans="1:25">
      <c r="B20" s="1">
        <v>41365</v>
      </c>
      <c r="C20">
        <v>34.81</v>
      </c>
      <c r="D20">
        <v>34.92</v>
      </c>
      <c r="E20">
        <v>33.94</v>
      </c>
      <c r="F20">
        <v>34</v>
      </c>
      <c r="G20">
        <v>1962600</v>
      </c>
      <c r="H20">
        <v>34</v>
      </c>
      <c r="J20">
        <f t="shared" si="0"/>
        <v>0.85595078932788415</v>
      </c>
      <c r="K20">
        <f t="shared" si="1"/>
        <v>0.81270274944605236</v>
      </c>
      <c r="M20">
        <f t="shared" si="2"/>
        <v>0.94947368421052403</v>
      </c>
      <c r="N20">
        <f t="shared" si="3"/>
        <v>0.43315789473684418</v>
      </c>
      <c r="O20">
        <f t="shared" si="4"/>
        <v>0.41127202216066583</v>
      </c>
      <c r="P20">
        <f t="shared" si="5"/>
        <v>2.8727377190462509E-2</v>
      </c>
      <c r="Q20">
        <f t="shared" si="6"/>
        <v>3.5499047018233476</v>
      </c>
      <c r="R20">
        <f t="shared" si="7"/>
        <v>0.90150027700830593</v>
      </c>
      <c r="S20">
        <v>18</v>
      </c>
      <c r="T20">
        <f t="shared" si="8"/>
        <v>626.58000000000004</v>
      </c>
      <c r="U20">
        <f t="shared" si="9"/>
        <v>21811.249800000001</v>
      </c>
      <c r="V20">
        <f t="shared" si="10"/>
        <v>0.75649687442444347</v>
      </c>
      <c r="W20">
        <f t="shared" si="11"/>
        <v>42180.533641000009</v>
      </c>
      <c r="X20">
        <f t="shared" si="12"/>
        <v>34.81</v>
      </c>
      <c r="Y20">
        <f t="shared" si="13"/>
        <v>34.81</v>
      </c>
    </row>
    <row r="21" spans="1:25">
      <c r="B21" s="1">
        <v>41362</v>
      </c>
      <c r="C21">
        <v>35.130000000000003</v>
      </c>
      <c r="D21">
        <v>35.130000000000003</v>
      </c>
      <c r="E21">
        <v>35.130000000000003</v>
      </c>
      <c r="F21">
        <v>35.130000000000003</v>
      </c>
      <c r="G21">
        <v>0</v>
      </c>
      <c r="H21">
        <v>35.130000000000003</v>
      </c>
      <c r="J21">
        <f t="shared" si="0"/>
        <v>2.0458373710453324</v>
      </c>
      <c r="K21">
        <f t="shared" si="1"/>
        <v>2.5971367047164917</v>
      </c>
      <c r="M21">
        <f t="shared" si="2"/>
        <v>1.2694736842105243</v>
      </c>
      <c r="N21">
        <f t="shared" si="3"/>
        <v>0.64315789473684504</v>
      </c>
      <c r="O21">
        <f t="shared" si="4"/>
        <v>0.81647202216066728</v>
      </c>
      <c r="P21">
        <f t="shared" si="5"/>
        <v>2.8465698832906346E-2</v>
      </c>
      <c r="Q21">
        <f t="shared" si="6"/>
        <v>3.5590554662777358</v>
      </c>
      <c r="R21">
        <f t="shared" si="7"/>
        <v>1.6115634349030421</v>
      </c>
      <c r="S21">
        <v>19</v>
      </c>
      <c r="T21">
        <f t="shared" si="8"/>
        <v>667.47</v>
      </c>
      <c r="U21">
        <f t="shared" si="9"/>
        <v>23448.221100000002</v>
      </c>
      <c r="V21">
        <f t="shared" si="10"/>
        <v>1.0114581270020837</v>
      </c>
      <c r="W21">
        <f t="shared" si="11"/>
        <v>43354.526697000008</v>
      </c>
      <c r="X21">
        <f t="shared" si="12"/>
        <v>35.130000000000003</v>
      </c>
      <c r="Y21">
        <f t="shared" si="13"/>
        <v>35.130000000000003</v>
      </c>
    </row>
    <row r="22" spans="1:25">
      <c r="J22">
        <f>SUM(J3:J21)/19</f>
        <v>7.7365224668300134E-2</v>
      </c>
      <c r="K22">
        <f>SUM(K3:K21)/19</f>
        <v>5.1473822692649636</v>
      </c>
      <c r="P22">
        <f t="shared" ref="P22:U22" si="14">SUM(P3:P21)</f>
        <v>0.56189736435595405</v>
      </c>
      <c r="Q22">
        <f t="shared" si="14"/>
        <v>66.90969033519778</v>
      </c>
      <c r="R22">
        <f t="shared" si="14"/>
        <v>29.929894736842112</v>
      </c>
      <c r="S22">
        <f t="shared" si="14"/>
        <v>190</v>
      </c>
      <c r="T22">
        <f t="shared" si="14"/>
        <v>6520.21</v>
      </c>
      <c r="U22">
        <f t="shared" si="14"/>
        <v>223980.83409999998</v>
      </c>
      <c r="V22">
        <f t="shared" si="10"/>
        <v>-26.978506882536969</v>
      </c>
      <c r="W22">
        <f>SUM(W3:W21)</f>
        <v>740665.24409100006</v>
      </c>
      <c r="X22">
        <f>AVERAGE(X3:X21)</f>
        <v>33.861689750692513</v>
      </c>
      <c r="Y22">
        <f>AVERAGE(Y3:Y21)</f>
        <v>33.816315789473677</v>
      </c>
    </row>
    <row r="23" spans="1:25">
      <c r="O23">
        <f>SUM(O3:O22)</f>
        <v>27.299131578947375</v>
      </c>
      <c r="T23">
        <f>T22/S22</f>
        <v>34.316894736842109</v>
      </c>
    </row>
    <row r="24" spans="1:25">
      <c r="A24" t="s">
        <v>65</v>
      </c>
      <c r="B24" t="s">
        <v>47</v>
      </c>
      <c r="G24" t="s">
        <v>48</v>
      </c>
      <c r="H24" t="s">
        <v>57</v>
      </c>
      <c r="I24">
        <f>O24</f>
        <v>1.5166184210526319</v>
      </c>
      <c r="M24" t="s">
        <v>56</v>
      </c>
      <c r="N24" s="2">
        <f>(1/18)</f>
        <v>5.5555555555555552E-2</v>
      </c>
      <c r="O24">
        <f>N24*O23</f>
        <v>1.5166184210526319</v>
      </c>
    </row>
    <row r="25" spans="1:25">
      <c r="A25" t="s">
        <v>48</v>
      </c>
      <c r="B25" t="s">
        <v>37</v>
      </c>
      <c r="C25">
        <f>CORREL(C3:C21,D3:D21)</f>
        <v>0.88543622453699311</v>
      </c>
      <c r="G25" t="s">
        <v>48</v>
      </c>
      <c r="H25" t="s">
        <v>27</v>
      </c>
      <c r="I25">
        <f>SQRT((24*19*18*18/(16*17*22*24)))</f>
        <v>1.0142698435367294</v>
      </c>
      <c r="J25" s="4" t="s">
        <v>58</v>
      </c>
      <c r="K25" s="4"/>
      <c r="L25" s="4"/>
      <c r="M25" s="4"/>
      <c r="N25" s="4"/>
    </row>
    <row r="26" spans="1:25">
      <c r="A26" t="s">
        <v>48</v>
      </c>
      <c r="B26" t="s">
        <v>38</v>
      </c>
      <c r="C26">
        <f>COVAR(C3:C21,D3:D21)</f>
        <v>1.436796398891967</v>
      </c>
      <c r="G26" t="s">
        <v>48</v>
      </c>
      <c r="H26" t="s">
        <v>28</v>
      </c>
      <c r="I26">
        <f>SKEW(C3:C21)</f>
        <v>4.2567930807993273E-2</v>
      </c>
    </row>
    <row r="27" spans="1:25">
      <c r="A27" t="s">
        <v>48</v>
      </c>
      <c r="B27" t="s">
        <v>7</v>
      </c>
      <c r="C27">
        <f>SUMXMY2(C4:C21,C3:C20)/SUMSQ(C3:C21)</f>
        <v>7.9607686762407995E-4</v>
      </c>
      <c r="G27" t="s">
        <v>48</v>
      </c>
      <c r="H27" t="s">
        <v>29</v>
      </c>
      <c r="I27">
        <f>SQRT(6*19*18/(17*20*22))</f>
        <v>0.52376669501042072</v>
      </c>
      <c r="J27" s="4" t="s">
        <v>59</v>
      </c>
      <c r="K27" s="4"/>
      <c r="L27" s="4"/>
      <c r="M27" s="4"/>
    </row>
    <row r="28" spans="1:25">
      <c r="A28" t="s">
        <v>48</v>
      </c>
      <c r="B28" t="s">
        <v>8</v>
      </c>
      <c r="C28">
        <f>GEOMEAN(C3:C21)</f>
        <v>33.837262944797303</v>
      </c>
      <c r="G28" t="s">
        <v>60</v>
      </c>
      <c r="H28" t="s">
        <v>44</v>
      </c>
      <c r="J28">
        <f>STDEV(C3:C21)</f>
        <v>1.2894851413741388</v>
      </c>
      <c r="K28" t="s">
        <v>61</v>
      </c>
    </row>
    <row r="29" spans="1:25">
      <c r="A29" t="s">
        <v>48</v>
      </c>
      <c r="B29" t="s">
        <v>9</v>
      </c>
      <c r="C29">
        <f>HARMEAN(C3:C21)</f>
        <v>33.814004487772912</v>
      </c>
      <c r="G29" t="s">
        <v>48</v>
      </c>
      <c r="H29" t="s">
        <v>30</v>
      </c>
      <c r="I29">
        <f>VARA(C3:C21)</f>
        <v>1.6627719298246828</v>
      </c>
    </row>
    <row r="30" spans="1:25">
      <c r="A30" t="s">
        <v>48</v>
      </c>
      <c r="B30" t="s">
        <v>10</v>
      </c>
      <c r="C30">
        <f>L2</f>
        <v>-0.92564422252414147</v>
      </c>
      <c r="G30" t="s">
        <v>48</v>
      </c>
      <c r="H30" t="s">
        <v>45</v>
      </c>
      <c r="I30">
        <f>(I46-I45*I45/S22)/(S22-1)</f>
        <v>1.2035654385963137</v>
      </c>
    </row>
    <row r="31" spans="1:25">
      <c r="A31" t="s">
        <v>65</v>
      </c>
      <c r="B31" t="s">
        <v>11</v>
      </c>
      <c r="G31" t="s">
        <v>48</v>
      </c>
      <c r="H31" t="s">
        <v>31</v>
      </c>
      <c r="I31">
        <f>C38/(I32*I32*I32)</f>
        <v>3.9130771304849168E-2</v>
      </c>
    </row>
    <row r="32" spans="1:25">
      <c r="A32" t="s">
        <v>48</v>
      </c>
      <c r="B32" t="s">
        <v>12</v>
      </c>
      <c r="C32">
        <f>MAX(C3:C21)</f>
        <v>36.43</v>
      </c>
      <c r="G32" t="s">
        <v>48</v>
      </c>
      <c r="H32" t="s">
        <v>39</v>
      </c>
      <c r="I32">
        <f>STDEVPA(C3:C21)</f>
        <v>1.2550926729643144</v>
      </c>
    </row>
    <row r="33" spans="1:10">
      <c r="A33" t="s">
        <v>48</v>
      </c>
      <c r="B33" t="s">
        <v>13</v>
      </c>
      <c r="C33">
        <f>AVERAGE(C3:C21)</f>
        <v>33.860526315789478</v>
      </c>
      <c r="G33" t="s">
        <v>48</v>
      </c>
      <c r="H33" t="s">
        <v>40</v>
      </c>
      <c r="I33">
        <f>SQRT(I42/19)</f>
        <v>0.28793800664367314</v>
      </c>
    </row>
    <row r="34" spans="1:10">
      <c r="A34" t="s">
        <v>48</v>
      </c>
      <c r="B34" t="s">
        <v>14</v>
      </c>
      <c r="C34">
        <f>AVEDEV(C3:C21)</f>
        <v>1.0889750692520779</v>
      </c>
      <c r="G34" t="s">
        <v>48</v>
      </c>
      <c r="H34" t="s">
        <v>41</v>
      </c>
      <c r="I34">
        <f>SUM(C3:C21)</f>
        <v>643.35</v>
      </c>
      <c r="J34">
        <f>STDEVPA(D3:D21)</f>
        <v>1.2928917104959985</v>
      </c>
    </row>
    <row r="35" spans="1:10">
      <c r="A35" t="s">
        <v>48</v>
      </c>
      <c r="B35" t="s">
        <v>15</v>
      </c>
      <c r="C35">
        <f>MEDIAN(C3:C21)</f>
        <v>33.74</v>
      </c>
      <c r="D35">
        <f>AVERAGE(D3:D21)</f>
        <v>34.486842105263158</v>
      </c>
      <c r="G35" t="s">
        <v>48</v>
      </c>
      <c r="H35" t="s">
        <v>42</v>
      </c>
      <c r="I35">
        <f>P22</f>
        <v>0.56189736435595405</v>
      </c>
    </row>
    <row r="36" spans="1:10">
      <c r="A36" t="s">
        <v>48</v>
      </c>
      <c r="B36" t="s">
        <v>16</v>
      </c>
      <c r="C36">
        <f>MIN(C3:C21)</f>
        <v>31.7</v>
      </c>
      <c r="G36" t="s">
        <v>48</v>
      </c>
      <c r="H36" t="s">
        <v>43</v>
      </c>
      <c r="I36">
        <f>Q22</f>
        <v>66.90969033519778</v>
      </c>
    </row>
    <row r="37" spans="1:10">
      <c r="B37" t="s">
        <v>17</v>
      </c>
      <c r="G37" t="s">
        <v>48</v>
      </c>
      <c r="H37" t="s">
        <v>71</v>
      </c>
      <c r="I37">
        <f>R22</f>
        <v>29.929894736842112</v>
      </c>
    </row>
    <row r="38" spans="1:10">
      <c r="A38" t="s">
        <v>48</v>
      </c>
      <c r="B38" t="s">
        <v>18</v>
      </c>
      <c r="C38">
        <f>J22</f>
        <v>7.7365224668300134E-2</v>
      </c>
      <c r="G38" t="s">
        <v>48</v>
      </c>
      <c r="H38" t="s">
        <v>72</v>
      </c>
      <c r="I38">
        <f>W22</f>
        <v>740665.24409100006</v>
      </c>
    </row>
    <row r="39" spans="1:10">
      <c r="A39" t="s">
        <v>48</v>
      </c>
      <c r="B39" t="s">
        <v>19</v>
      </c>
      <c r="C39">
        <f>K22</f>
        <v>5.1473822692649636</v>
      </c>
      <c r="G39" t="s">
        <v>48</v>
      </c>
      <c r="H39" t="s">
        <v>32</v>
      </c>
      <c r="I39">
        <f>SUMSQ(C3:C21)</f>
        <v>21814.099500000004</v>
      </c>
    </row>
    <row r="40" spans="1:10">
      <c r="A40" t="s">
        <v>48</v>
      </c>
      <c r="B40" t="s">
        <v>20</v>
      </c>
      <c r="C40">
        <f>(19*C33+19*D35)/(19+19)</f>
        <v>34.173684210526318</v>
      </c>
      <c r="G40" t="s">
        <v>48</v>
      </c>
      <c r="H40" t="s">
        <v>33</v>
      </c>
      <c r="I40">
        <f>I42*18</f>
        <v>28.354637119116731</v>
      </c>
    </row>
    <row r="41" spans="1:10">
      <c r="A41" t="s">
        <v>48</v>
      </c>
      <c r="B41" t="s">
        <v>21</v>
      </c>
      <c r="C41">
        <f>(19*I42+19*J45)/(19+19)</f>
        <v>1.623413296398988</v>
      </c>
      <c r="G41" t="s">
        <v>48</v>
      </c>
      <c r="H41" t="s">
        <v>73</v>
      </c>
      <c r="I41">
        <f>X22</f>
        <v>33.861689750692513</v>
      </c>
    </row>
    <row r="42" spans="1:10">
      <c r="A42" t="s">
        <v>48</v>
      </c>
      <c r="B42" t="s">
        <v>22</v>
      </c>
      <c r="C42">
        <f>PRODUCT(C3:C21)</f>
        <v>1.144219377783957E+29</v>
      </c>
      <c r="G42" t="s">
        <v>48</v>
      </c>
      <c r="H42" t="s">
        <v>34</v>
      </c>
      <c r="I42">
        <f>VARP(C3:C21)</f>
        <v>1.5752576177287072</v>
      </c>
    </row>
    <row r="43" spans="1:10">
      <c r="A43" t="s">
        <v>48</v>
      </c>
      <c r="B43" t="s">
        <v>23</v>
      </c>
      <c r="C43">
        <f>PERCENTILE(C3:C21,20%)</f>
        <v>32.498000000000005</v>
      </c>
      <c r="G43" t="s">
        <v>48</v>
      </c>
      <c r="H43" t="s">
        <v>35</v>
      </c>
      <c r="I43">
        <f>T23</f>
        <v>34.316894736842109</v>
      </c>
    </row>
    <row r="44" spans="1:10">
      <c r="A44" t="s">
        <v>48</v>
      </c>
      <c r="B44" t="s">
        <v>52</v>
      </c>
      <c r="C44">
        <f>16/19</f>
        <v>0.84210526315789469</v>
      </c>
      <c r="G44" s="5" t="s">
        <v>48</v>
      </c>
      <c r="H44" t="s">
        <v>46</v>
      </c>
      <c r="I44">
        <f>I45/I46</f>
        <v>2.9110571117388302E-2</v>
      </c>
    </row>
    <row r="45" spans="1:10">
      <c r="A45" t="s">
        <v>48</v>
      </c>
      <c r="B45" t="s">
        <v>24</v>
      </c>
      <c r="G45" t="s">
        <v>48</v>
      </c>
      <c r="H45" t="s">
        <v>66</v>
      </c>
      <c r="I45">
        <f>T22</f>
        <v>6520.21</v>
      </c>
      <c r="J45">
        <f>VARP(D3:D21)</f>
        <v>1.6715689750692686</v>
      </c>
    </row>
    <row r="46" spans="1:10">
      <c r="A46" t="s">
        <v>48</v>
      </c>
      <c r="B46" t="s">
        <v>25</v>
      </c>
      <c r="C46">
        <f>SQRT(I39/19)</f>
        <v>33.883779305148359</v>
      </c>
      <c r="G46" t="s">
        <v>48</v>
      </c>
      <c r="H46" t="s">
        <v>67</v>
      </c>
      <c r="I46">
        <f>U22</f>
        <v>223980.83409999998</v>
      </c>
    </row>
    <row r="47" spans="1:10">
      <c r="A47" t="s">
        <v>48</v>
      </c>
      <c r="B47" t="s">
        <v>26</v>
      </c>
      <c r="C47">
        <f>KURT(C3:C21)</f>
        <v>-0.8280585298107539</v>
      </c>
      <c r="G47" t="s">
        <v>48</v>
      </c>
      <c r="H47" t="s">
        <v>36</v>
      </c>
      <c r="I47">
        <f>Y22</f>
        <v>33.816315789473677</v>
      </c>
    </row>
  </sheetData>
  <mergeCells count="2">
    <mergeCell ref="J25:N25"/>
    <mergeCell ref="J27:M2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VALE3_short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de Assis Botafogo Goncalves</dc:creator>
  <cp:lastModifiedBy>Rodrigo de Assis Botafogo Goncalves</cp:lastModifiedBy>
  <dcterms:created xsi:type="dcterms:W3CDTF">2013-05-09T16:07:11Z</dcterms:created>
  <dcterms:modified xsi:type="dcterms:W3CDTF">2013-05-15T16:10:25Z</dcterms:modified>
</cp:coreProperties>
</file>