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6" windowWidth="8592" windowHeight="7992" activeTab="1"/>
  </bookViews>
  <sheets>
    <sheet name="everything" sheetId="1" r:id="rId1"/>
    <sheet name="Forest Plot" sheetId="4" r:id="rId2"/>
    <sheet name="forest plot data" sheetId="2" r:id="rId3"/>
  </sheets>
  <calcPr calcId="145621"/>
</workbook>
</file>

<file path=xl/calcChain.xml><?xml version="1.0" encoding="utf-8"?>
<calcChain xmlns="http://schemas.openxmlformats.org/spreadsheetml/2006/main">
  <c r="J25" i="1" l="1"/>
  <c r="J24" i="1"/>
  <c r="F21" i="1"/>
  <c r="A22" i="1"/>
  <c r="A23" i="1" s="1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C89" i="1"/>
  <c r="C88" i="1"/>
  <c r="C85" i="1"/>
  <c r="C82" i="1"/>
  <c r="C78" i="1"/>
  <c r="C76" i="1"/>
  <c r="C72" i="1"/>
  <c r="C33" i="1"/>
  <c r="C30" i="1"/>
  <c r="C87" i="1"/>
  <c r="C45" i="1"/>
  <c r="C43" i="1"/>
  <c r="C84" i="1"/>
  <c r="C42" i="1"/>
  <c r="C81" i="1"/>
  <c r="C39" i="1"/>
  <c r="C79" i="1"/>
  <c r="C37" i="1"/>
  <c r="C34" i="1"/>
  <c r="C75" i="1"/>
  <c r="C73" i="1"/>
  <c r="C31" i="1"/>
  <c r="W89" i="1"/>
  <c r="I89" i="1"/>
  <c r="W88" i="1"/>
  <c r="I88" i="1"/>
  <c r="W87" i="1"/>
  <c r="I87" i="1"/>
  <c r="W85" i="1"/>
  <c r="I85" i="1"/>
  <c r="W84" i="1"/>
  <c r="I84" i="1"/>
  <c r="W82" i="1"/>
  <c r="I82" i="1"/>
  <c r="W81" i="1"/>
  <c r="I81" i="1"/>
  <c r="W79" i="1"/>
  <c r="I79" i="1"/>
  <c r="W78" i="1"/>
  <c r="I78" i="1"/>
  <c r="W76" i="1"/>
  <c r="I76" i="1"/>
  <c r="W75" i="1"/>
  <c r="I75" i="1"/>
  <c r="W73" i="1"/>
  <c r="I73" i="1"/>
  <c r="W72" i="1"/>
  <c r="I72" i="1"/>
  <c r="G8" i="1"/>
  <c r="H8" i="1"/>
  <c r="I8" i="1" s="1"/>
  <c r="K8" i="1"/>
  <c r="N8" i="1"/>
  <c r="Q8" i="1"/>
  <c r="O8" i="1" s="1"/>
  <c r="I53" i="1"/>
  <c r="AD23" i="1"/>
  <c r="A8" i="1" l="1"/>
  <c r="R8" i="1"/>
  <c r="P8" i="1"/>
  <c r="L8" i="1"/>
  <c r="J8" i="1"/>
  <c r="C66" i="1"/>
  <c r="C65" i="1"/>
  <c r="C46" i="1"/>
  <c r="C67" i="1"/>
  <c r="C63" i="1"/>
  <c r="C62" i="1"/>
  <c r="C60" i="1"/>
  <c r="C59" i="1"/>
  <c r="C57" i="1"/>
  <c r="C56" i="1"/>
  <c r="C54" i="1"/>
  <c r="C53" i="1"/>
  <c r="W67" i="1"/>
  <c r="I67" i="1"/>
  <c r="W66" i="1"/>
  <c r="I66" i="1"/>
  <c r="W65" i="1"/>
  <c r="I65" i="1"/>
  <c r="W63" i="1"/>
  <c r="I63" i="1"/>
  <c r="W62" i="1"/>
  <c r="I62" i="1"/>
  <c r="W60" i="1"/>
  <c r="I60" i="1"/>
  <c r="W59" i="1"/>
  <c r="I59" i="1"/>
  <c r="W57" i="1"/>
  <c r="I57" i="1"/>
  <c r="W56" i="1"/>
  <c r="I56" i="1"/>
  <c r="W54" i="1"/>
  <c r="I54" i="1"/>
  <c r="W53" i="1"/>
  <c r="Q22" i="1"/>
  <c r="N22" i="1"/>
  <c r="H22" i="1"/>
  <c r="I22" i="1" s="1"/>
  <c r="G22" i="1"/>
  <c r="K22" i="1" s="1"/>
  <c r="W46" i="1"/>
  <c r="W42" i="1"/>
  <c r="W40" i="1"/>
  <c r="W39" i="1"/>
  <c r="W36" i="1"/>
  <c r="W34" i="1"/>
  <c r="W33" i="1"/>
  <c r="W48" i="1"/>
  <c r="W45" i="1"/>
  <c r="W43" i="1"/>
  <c r="W37" i="1"/>
  <c r="W31" i="1"/>
  <c r="W30" i="1"/>
  <c r="Q17" i="1"/>
  <c r="Q16" i="1"/>
  <c r="Q15" i="1"/>
  <c r="Q14" i="1"/>
  <c r="Q13" i="1"/>
  <c r="Q12" i="1"/>
  <c r="Q11" i="1"/>
  <c r="Q10" i="1"/>
  <c r="Q9" i="1"/>
  <c r="Q7" i="1"/>
  <c r="Q6" i="1"/>
  <c r="Q5" i="1"/>
  <c r="Q4" i="1"/>
  <c r="Q3" i="1"/>
  <c r="Q2" i="1"/>
  <c r="S89" i="1" s="1"/>
  <c r="AA89" i="1" s="1"/>
  <c r="N17" i="1"/>
  <c r="N16" i="1"/>
  <c r="N15" i="1"/>
  <c r="N14" i="1"/>
  <c r="N13" i="1"/>
  <c r="N12" i="1"/>
  <c r="N11" i="1"/>
  <c r="N10" i="1"/>
  <c r="N9" i="1"/>
  <c r="N7" i="1"/>
  <c r="N6" i="1"/>
  <c r="N5" i="1"/>
  <c r="N4" i="1"/>
  <c r="N3" i="1"/>
  <c r="N2" i="1"/>
  <c r="C48" i="1"/>
  <c r="C40" i="1"/>
  <c r="C36" i="1"/>
  <c r="I16" i="1"/>
  <c r="I15" i="1"/>
  <c r="I14" i="1"/>
  <c r="I17" i="1"/>
  <c r="I11" i="1"/>
  <c r="I10" i="1"/>
  <c r="I9" i="1"/>
  <c r="I7" i="1"/>
  <c r="I6" i="1"/>
  <c r="I5" i="1"/>
  <c r="I4" i="1"/>
  <c r="I3" i="1"/>
  <c r="I2" i="1"/>
  <c r="G12" i="1"/>
  <c r="K12" i="1" s="1"/>
  <c r="A12" i="1" s="1"/>
  <c r="H12" i="1"/>
  <c r="I12" i="1" s="1"/>
  <c r="G18" i="1"/>
  <c r="K18" i="1" s="1"/>
  <c r="A18" i="1" s="1"/>
  <c r="H18" i="1"/>
  <c r="I18" i="1" s="1"/>
  <c r="H20" i="1"/>
  <c r="I20" i="1" s="1"/>
  <c r="H13" i="1"/>
  <c r="I13" i="1" s="1"/>
  <c r="G13" i="1"/>
  <c r="K13" i="1" s="1"/>
  <c r="A13" i="1" s="1"/>
  <c r="I46" i="1"/>
  <c r="I45" i="1"/>
  <c r="I48" i="1"/>
  <c r="I43" i="1"/>
  <c r="G20" i="1"/>
  <c r="K20" i="1" s="1"/>
  <c r="A20" i="1" s="1"/>
  <c r="H19" i="1"/>
  <c r="I19" i="1" s="1"/>
  <c r="G19" i="1"/>
  <c r="K19" i="1" s="1"/>
  <c r="A19" i="1" s="1"/>
  <c r="I42" i="1"/>
  <c r="I40" i="1"/>
  <c r="I39" i="1"/>
  <c r="I37" i="1"/>
  <c r="I36" i="1"/>
  <c r="I34" i="1"/>
  <c r="I33" i="1"/>
  <c r="I31" i="1"/>
  <c r="I30" i="1"/>
  <c r="G17" i="1"/>
  <c r="K17" i="1" s="1"/>
  <c r="A17" i="1" s="1"/>
  <c r="G16" i="1"/>
  <c r="K16" i="1" s="1"/>
  <c r="A16" i="1" s="1"/>
  <c r="G15" i="1"/>
  <c r="K15" i="1" s="1"/>
  <c r="A15" i="1" s="1"/>
  <c r="G14" i="1"/>
  <c r="K14" i="1" s="1"/>
  <c r="A14" i="1" s="1"/>
  <c r="G11" i="1"/>
  <c r="K11" i="1" s="1"/>
  <c r="A11" i="1" s="1"/>
  <c r="G10" i="1"/>
  <c r="K10" i="1" s="1"/>
  <c r="G9" i="1"/>
  <c r="K9" i="1" s="1"/>
  <c r="G7" i="1"/>
  <c r="K7" i="1" s="1"/>
  <c r="G6" i="1"/>
  <c r="K6" i="1" s="1"/>
  <c r="A6" i="1" s="1"/>
  <c r="G5" i="1"/>
  <c r="K5" i="1" s="1"/>
  <c r="G4" i="1"/>
  <c r="K4" i="1" s="1"/>
  <c r="G3" i="1"/>
  <c r="K3" i="1" s="1"/>
  <c r="G2" i="1"/>
  <c r="K2" i="1" s="1"/>
  <c r="E84" i="1" l="1"/>
  <c r="M84" i="1" s="1"/>
  <c r="E75" i="1"/>
  <c r="M75" i="1" s="1"/>
  <c r="E81" i="1"/>
  <c r="M81" i="1" s="1"/>
  <c r="A9" i="1"/>
  <c r="S31" i="1"/>
  <c r="AA31" i="1" s="1"/>
  <c r="S73" i="1"/>
  <c r="AA73" i="1" s="1"/>
  <c r="K21" i="1"/>
  <c r="J23" i="1" s="1"/>
  <c r="E72" i="1"/>
  <c r="M72" i="1" s="1"/>
  <c r="E78" i="1"/>
  <c r="M78" i="1" s="1"/>
  <c r="E85" i="1"/>
  <c r="M85" i="1" s="1"/>
  <c r="A2" i="1"/>
  <c r="E87" i="1"/>
  <c r="M87" i="1" s="1"/>
  <c r="E76" i="1"/>
  <c r="M76" i="1" s="1"/>
  <c r="E30" i="1"/>
  <c r="M30" i="1" s="1"/>
  <c r="E82" i="1"/>
  <c r="M82" i="1" s="1"/>
  <c r="S88" i="1"/>
  <c r="AA88" i="1" s="1"/>
  <c r="S46" i="1"/>
  <c r="L7" i="1"/>
  <c r="F56" i="1" s="1"/>
  <c r="A7" i="1"/>
  <c r="S79" i="1"/>
  <c r="AA79" i="1" s="1"/>
  <c r="S37" i="1"/>
  <c r="AA37" i="1" s="1"/>
  <c r="L3" i="1"/>
  <c r="A3" i="1"/>
  <c r="E88" i="1"/>
  <c r="M88" i="1" s="1"/>
  <c r="S75" i="1"/>
  <c r="AA75" i="1" s="1"/>
  <c r="S81" i="1"/>
  <c r="S39" i="1"/>
  <c r="S84" i="1"/>
  <c r="AA84" i="1" s="1"/>
  <c r="L5" i="1"/>
  <c r="A5" i="1"/>
  <c r="E73" i="1"/>
  <c r="M73" i="1" s="1"/>
  <c r="S30" i="1"/>
  <c r="S45" i="1"/>
  <c r="AA45" i="1" s="1"/>
  <c r="S34" i="1"/>
  <c r="S82" i="1"/>
  <c r="AA82" i="1" s="1"/>
  <c r="S43" i="1"/>
  <c r="AA43" i="1" s="1"/>
  <c r="S78" i="1"/>
  <c r="AA78" i="1" s="1"/>
  <c r="S40" i="1"/>
  <c r="S76" i="1"/>
  <c r="AA76" i="1" s="1"/>
  <c r="S85" i="1"/>
  <c r="AA85" i="1" s="1"/>
  <c r="S72" i="1"/>
  <c r="AA72" i="1" s="1"/>
  <c r="S87" i="1"/>
  <c r="AA87" i="1" s="1"/>
  <c r="L10" i="1"/>
  <c r="A10" i="1"/>
  <c r="A4" i="1"/>
  <c r="E79" i="1"/>
  <c r="M79" i="1" s="1"/>
  <c r="E89" i="1"/>
  <c r="M89" i="1" s="1"/>
  <c r="L2" i="1"/>
  <c r="S63" i="1"/>
  <c r="S57" i="1"/>
  <c r="S62" i="1"/>
  <c r="E57" i="1"/>
  <c r="E59" i="1"/>
  <c r="E62" i="1"/>
  <c r="S67" i="1"/>
  <c r="S66" i="1"/>
  <c r="S59" i="1"/>
  <c r="E56" i="1"/>
  <c r="E60" i="1"/>
  <c r="E63" i="1"/>
  <c r="E67" i="1"/>
  <c r="E45" i="1"/>
  <c r="E46" i="1"/>
  <c r="E66" i="1"/>
  <c r="S53" i="1"/>
  <c r="S56" i="1"/>
  <c r="S65" i="1"/>
  <c r="E65" i="1"/>
  <c r="S54" i="1"/>
  <c r="S60" i="1"/>
  <c r="AA46" i="1"/>
  <c r="R7" i="1"/>
  <c r="R9" i="1"/>
  <c r="R11" i="1"/>
  <c r="R13" i="1"/>
  <c r="R15" i="1"/>
  <c r="R17" i="1"/>
  <c r="L15" i="1"/>
  <c r="L17" i="1"/>
  <c r="R6" i="1"/>
  <c r="S42" i="1"/>
  <c r="AA42" i="1" s="1"/>
  <c r="R12" i="1"/>
  <c r="T89" i="1" s="1"/>
  <c r="R14" i="1"/>
  <c r="R16" i="1"/>
  <c r="E48" i="1"/>
  <c r="O2" i="1"/>
  <c r="O4" i="1"/>
  <c r="O6" i="1"/>
  <c r="O10" i="1"/>
  <c r="O12" i="1"/>
  <c r="O14" i="1"/>
  <c r="O16" i="1"/>
  <c r="P2" i="1"/>
  <c r="P4" i="1"/>
  <c r="P6" i="1"/>
  <c r="P10" i="1"/>
  <c r="P12" i="1"/>
  <c r="P14" i="1"/>
  <c r="P16" i="1"/>
  <c r="R2" i="1"/>
  <c r="R4" i="1"/>
  <c r="R10" i="1"/>
  <c r="S33" i="1"/>
  <c r="S36" i="1"/>
  <c r="AA39" i="1"/>
  <c r="S48" i="1"/>
  <c r="AA48" i="1" s="1"/>
  <c r="L19" i="1"/>
  <c r="O3" i="1"/>
  <c r="O5" i="1"/>
  <c r="O7" i="1"/>
  <c r="O9" i="1"/>
  <c r="O11" i="1"/>
  <c r="O13" i="1"/>
  <c r="O15" i="1"/>
  <c r="O17" i="1"/>
  <c r="P3" i="1"/>
  <c r="P5" i="1"/>
  <c r="P7" i="1"/>
  <c r="P9" i="1"/>
  <c r="R89" i="1" s="1"/>
  <c r="Z89" i="1" s="1"/>
  <c r="P11" i="1"/>
  <c r="P13" i="1"/>
  <c r="P15" i="1"/>
  <c r="P17" i="1"/>
  <c r="R3" i="1"/>
  <c r="R5" i="1"/>
  <c r="AA34" i="1"/>
  <c r="AA40" i="1"/>
  <c r="E53" i="1"/>
  <c r="E54" i="1"/>
  <c r="L22" i="1"/>
  <c r="J22" i="1"/>
  <c r="R22" i="1"/>
  <c r="O22" i="1"/>
  <c r="P22" i="1"/>
  <c r="E34" i="1"/>
  <c r="E36" i="1"/>
  <c r="E40" i="1"/>
  <c r="E43" i="1"/>
  <c r="L20" i="1"/>
  <c r="J13" i="1"/>
  <c r="J18" i="1"/>
  <c r="J12" i="1"/>
  <c r="J2" i="1"/>
  <c r="D89" i="1" s="1"/>
  <c r="L89" i="1" s="1"/>
  <c r="J6" i="1"/>
  <c r="L6" i="1"/>
  <c r="J9" i="1"/>
  <c r="L9" i="1"/>
  <c r="J11" i="1"/>
  <c r="L11" i="1"/>
  <c r="L12" i="1"/>
  <c r="J3" i="1"/>
  <c r="J5" i="1"/>
  <c r="J7" i="1"/>
  <c r="J10" i="1"/>
  <c r="J17" i="1"/>
  <c r="J15" i="1"/>
  <c r="J20" i="1"/>
  <c r="J4" i="1"/>
  <c r="L4" i="1"/>
  <c r="J14" i="1"/>
  <c r="L14" i="1"/>
  <c r="J16" i="1"/>
  <c r="L16" i="1"/>
  <c r="J19" i="1"/>
  <c r="L13" i="1"/>
  <c r="L18" i="1"/>
  <c r="E31" i="1"/>
  <c r="E37" i="1"/>
  <c r="E39" i="1"/>
  <c r="E42" i="1"/>
  <c r="E33" i="1"/>
  <c r="M33" i="1" s="1"/>
  <c r="AD89" i="1" l="1"/>
  <c r="AB89" i="1"/>
  <c r="AC89" i="1"/>
  <c r="AE89" i="1" s="1"/>
  <c r="P89" i="1"/>
  <c r="N89" i="1"/>
  <c r="O89" i="1"/>
  <c r="U89" i="1"/>
  <c r="T73" i="1"/>
  <c r="T75" i="1"/>
  <c r="T81" i="1"/>
  <c r="T84" i="1"/>
  <c r="T88" i="1"/>
  <c r="U88" i="1" s="1"/>
  <c r="R46" i="1"/>
  <c r="Z46" i="1" s="1"/>
  <c r="R88" i="1"/>
  <c r="Z88" i="1" s="1"/>
  <c r="T79" i="1"/>
  <c r="U79" i="1" s="1"/>
  <c r="R85" i="1"/>
  <c r="Z85" i="1" s="1"/>
  <c r="R72" i="1"/>
  <c r="Z72" i="1" s="1"/>
  <c r="R40" i="1"/>
  <c r="R78" i="1"/>
  <c r="Z78" i="1" s="1"/>
  <c r="R87" i="1"/>
  <c r="Z87" i="1" s="1"/>
  <c r="R45" i="1"/>
  <c r="R34" i="1"/>
  <c r="R82" i="1"/>
  <c r="Z82" i="1" s="1"/>
  <c r="R76" i="1"/>
  <c r="Z76" i="1" s="1"/>
  <c r="R43" i="1"/>
  <c r="M83" i="1"/>
  <c r="D73" i="1"/>
  <c r="L73" i="1" s="1"/>
  <c r="D31" i="1"/>
  <c r="D46" i="1"/>
  <c r="D88" i="1"/>
  <c r="L88" i="1" s="1"/>
  <c r="R31" i="1"/>
  <c r="R73" i="1"/>
  <c r="Z73" i="1" s="1"/>
  <c r="R79" i="1"/>
  <c r="Z79" i="1" s="1"/>
  <c r="R37" i="1"/>
  <c r="F84" i="1"/>
  <c r="F75" i="1"/>
  <c r="F81" i="1"/>
  <c r="G81" i="1" s="1"/>
  <c r="T87" i="1"/>
  <c r="T85" i="1"/>
  <c r="T72" i="1"/>
  <c r="U72" i="1" s="1"/>
  <c r="T82" i="1"/>
  <c r="T78" i="1"/>
  <c r="T76" i="1"/>
  <c r="F76" i="1"/>
  <c r="F82" i="1"/>
  <c r="G82" i="1" s="1"/>
  <c r="F85" i="1"/>
  <c r="G85" i="1" s="1"/>
  <c r="F30" i="1"/>
  <c r="F72" i="1"/>
  <c r="G72" i="1" s="1"/>
  <c r="F87" i="1"/>
  <c r="F78" i="1"/>
  <c r="M80" i="1"/>
  <c r="M77" i="1"/>
  <c r="F73" i="1"/>
  <c r="G73" i="1" s="1"/>
  <c r="F89" i="1"/>
  <c r="G89" i="1" s="1"/>
  <c r="F79" i="1"/>
  <c r="D30" i="1"/>
  <c r="D82" i="1"/>
  <c r="L82" i="1" s="1"/>
  <c r="D87" i="1"/>
  <c r="L87" i="1" s="1"/>
  <c r="D78" i="1"/>
  <c r="L78" i="1" s="1"/>
  <c r="D43" i="1"/>
  <c r="D76" i="1"/>
  <c r="L76" i="1" s="1"/>
  <c r="D40" i="1"/>
  <c r="D72" i="1"/>
  <c r="L72" i="1" s="1"/>
  <c r="D34" i="1"/>
  <c r="D85" i="1"/>
  <c r="L85" i="1" s="1"/>
  <c r="R33" i="1"/>
  <c r="R81" i="1"/>
  <c r="Z81" i="1" s="1"/>
  <c r="R39" i="1"/>
  <c r="R75" i="1"/>
  <c r="Z75" i="1" s="1"/>
  <c r="R84" i="1"/>
  <c r="Z84" i="1" s="1"/>
  <c r="D79" i="1"/>
  <c r="L79" i="1" s="1"/>
  <c r="D37" i="1"/>
  <c r="AA81" i="1"/>
  <c r="A21" i="1"/>
  <c r="D75" i="1"/>
  <c r="L75" i="1" s="1"/>
  <c r="D84" i="1"/>
  <c r="L84" i="1" s="1"/>
  <c r="D81" i="1"/>
  <c r="L81" i="1" s="1"/>
  <c r="D39" i="1"/>
  <c r="F88" i="1"/>
  <c r="G88" i="1" s="1"/>
  <c r="M74" i="1"/>
  <c r="M86" i="1"/>
  <c r="Q89" i="1"/>
  <c r="T33" i="1"/>
  <c r="U33" i="1"/>
  <c r="T43" i="1"/>
  <c r="T30" i="1"/>
  <c r="Z34" i="1"/>
  <c r="AC34" i="1" s="1"/>
  <c r="T36" i="1"/>
  <c r="R36" i="1"/>
  <c r="T40" i="1"/>
  <c r="T34" i="1"/>
  <c r="U34" i="1" s="1"/>
  <c r="Z43" i="1"/>
  <c r="AC43" i="1" s="1"/>
  <c r="F45" i="1"/>
  <c r="Z39" i="1"/>
  <c r="AD39" i="1" s="1"/>
  <c r="R48" i="1"/>
  <c r="Z48" i="1" s="1"/>
  <c r="AD48" i="1" s="1"/>
  <c r="T57" i="1"/>
  <c r="D66" i="1"/>
  <c r="D63" i="1"/>
  <c r="D60" i="1"/>
  <c r="D56" i="1"/>
  <c r="D65" i="1"/>
  <c r="D45" i="1"/>
  <c r="T31" i="1"/>
  <c r="T54" i="1"/>
  <c r="T39" i="1"/>
  <c r="U39" i="1" s="1"/>
  <c r="T67" i="1"/>
  <c r="T65" i="1"/>
  <c r="T56" i="1"/>
  <c r="T53" i="1"/>
  <c r="T45" i="1"/>
  <c r="T63" i="1"/>
  <c r="T60" i="1"/>
  <c r="R65" i="1"/>
  <c r="R56" i="1"/>
  <c r="R53" i="1"/>
  <c r="R63" i="1"/>
  <c r="R60" i="1"/>
  <c r="Z45" i="1"/>
  <c r="AB45" i="1" s="1"/>
  <c r="F57" i="1"/>
  <c r="F59" i="1"/>
  <c r="Z40" i="1"/>
  <c r="AC40" i="1" s="1"/>
  <c r="R54" i="1"/>
  <c r="R67" i="1"/>
  <c r="T59" i="1"/>
  <c r="F46" i="1"/>
  <c r="F60" i="1"/>
  <c r="F67" i="1"/>
  <c r="T46" i="1"/>
  <c r="T66" i="1"/>
  <c r="R66" i="1"/>
  <c r="D57" i="1"/>
  <c r="D67" i="1"/>
  <c r="F62" i="1"/>
  <c r="D59" i="1"/>
  <c r="D62" i="1"/>
  <c r="R59" i="1"/>
  <c r="R62" i="1"/>
  <c r="R57" i="1"/>
  <c r="T62" i="1"/>
  <c r="F63" i="1"/>
  <c r="F65" i="1"/>
  <c r="F66" i="1"/>
  <c r="F54" i="1"/>
  <c r="Z36" i="1"/>
  <c r="AA33" i="1"/>
  <c r="D54" i="1"/>
  <c r="D53" i="1"/>
  <c r="AB43" i="1"/>
  <c r="AB34" i="1"/>
  <c r="AC39" i="1"/>
  <c r="AE39" i="1" s="1"/>
  <c r="AD40" i="1"/>
  <c r="AE40" i="1" s="1"/>
  <c r="R42" i="1"/>
  <c r="Z42" i="1" s="1"/>
  <c r="T48" i="1"/>
  <c r="U48" i="1" s="1"/>
  <c r="R30" i="1"/>
  <c r="T42" i="1"/>
  <c r="AA63" i="1"/>
  <c r="AA36" i="1"/>
  <c r="AA30" i="1"/>
  <c r="F53" i="1"/>
  <c r="AB48" i="1"/>
  <c r="T37" i="1"/>
  <c r="Z37" i="1"/>
  <c r="D36" i="1"/>
  <c r="D48" i="1"/>
  <c r="F40" i="1"/>
  <c r="F36" i="1"/>
  <c r="F34" i="1"/>
  <c r="F48" i="1"/>
  <c r="M43" i="1"/>
  <c r="M40" i="1"/>
  <c r="M45" i="1"/>
  <c r="M46" i="1"/>
  <c r="M48" i="1"/>
  <c r="M31" i="1"/>
  <c r="M32" i="1" s="1"/>
  <c r="M39" i="1"/>
  <c r="M42" i="1"/>
  <c r="F33" i="1"/>
  <c r="M37" i="1"/>
  <c r="M34" i="1"/>
  <c r="M35" i="1" s="1"/>
  <c r="AD81" i="1" l="1"/>
  <c r="AB81" i="1"/>
  <c r="AC81" i="1"/>
  <c r="AE81" i="1" s="1"/>
  <c r="J72" i="1"/>
  <c r="H96" i="1" s="1"/>
  <c r="K72" i="1"/>
  <c r="AD76" i="1"/>
  <c r="AB76" i="1"/>
  <c r="AC76" i="1"/>
  <c r="M47" i="1"/>
  <c r="U36" i="1"/>
  <c r="P79" i="1"/>
  <c r="N79" i="1"/>
  <c r="O79" i="1"/>
  <c r="O72" i="1"/>
  <c r="Q72" i="1" s="1"/>
  <c r="N72" i="1"/>
  <c r="P72" i="1"/>
  <c r="L74" i="1"/>
  <c r="G79" i="1"/>
  <c r="U85" i="1"/>
  <c r="AB82" i="1"/>
  <c r="AC82" i="1"/>
  <c r="AD82" i="1"/>
  <c r="X79" i="1"/>
  <c r="V103" i="1" s="1"/>
  <c r="Y79" i="1"/>
  <c r="X89" i="1"/>
  <c r="V113" i="1" s="1"/>
  <c r="Y89" i="1"/>
  <c r="AC45" i="1"/>
  <c r="AE45" i="1" s="1"/>
  <c r="AD45" i="1"/>
  <c r="N81" i="1"/>
  <c r="O81" i="1"/>
  <c r="P81" i="1"/>
  <c r="L83" i="1"/>
  <c r="AD84" i="1"/>
  <c r="AB84" i="1"/>
  <c r="AC84" i="1"/>
  <c r="AE84" i="1" s="1"/>
  <c r="K89" i="1"/>
  <c r="J89" i="1"/>
  <c r="H113" i="1" s="1"/>
  <c r="H109" i="1"/>
  <c r="K85" i="1"/>
  <c r="J85" i="1"/>
  <c r="U87" i="1"/>
  <c r="P88" i="1"/>
  <c r="O88" i="1"/>
  <c r="Q88" i="1" s="1"/>
  <c r="N88" i="1"/>
  <c r="AB88" i="1"/>
  <c r="AC88" i="1"/>
  <c r="AE88" i="1" s="1"/>
  <c r="AD88" i="1"/>
  <c r="AD73" i="1"/>
  <c r="AB73" i="1"/>
  <c r="AC73" i="1"/>
  <c r="AE73" i="1" s="1"/>
  <c r="U73" i="1"/>
  <c r="O76" i="1"/>
  <c r="P76" i="1"/>
  <c r="N76" i="1"/>
  <c r="K82" i="1"/>
  <c r="J82" i="1"/>
  <c r="H106" i="1" s="1"/>
  <c r="G75" i="1"/>
  <c r="P78" i="1"/>
  <c r="N78" i="1"/>
  <c r="O78" i="1"/>
  <c r="Q78" i="1" s="1"/>
  <c r="L80" i="1"/>
  <c r="U76" i="1"/>
  <c r="G84" i="1"/>
  <c r="N73" i="1"/>
  <c r="P73" i="1"/>
  <c r="O73" i="1"/>
  <c r="Q73" i="1" s="1"/>
  <c r="AC78" i="1"/>
  <c r="AD78" i="1"/>
  <c r="AB78" i="1"/>
  <c r="U84" i="1"/>
  <c r="K88" i="1"/>
  <c r="J88" i="1"/>
  <c r="H112" i="1" s="1"/>
  <c r="Y72" i="1"/>
  <c r="X72" i="1"/>
  <c r="V96" i="1" s="1"/>
  <c r="AD85" i="1"/>
  <c r="AB85" i="1"/>
  <c r="AC85" i="1"/>
  <c r="H97" i="1"/>
  <c r="J73" i="1"/>
  <c r="K73" i="1"/>
  <c r="AB87" i="1"/>
  <c r="AC87" i="1"/>
  <c r="AD87" i="1"/>
  <c r="N87" i="1"/>
  <c r="P87" i="1"/>
  <c r="O87" i="1"/>
  <c r="Q87" i="1" s="1"/>
  <c r="G78" i="1"/>
  <c r="U78" i="1"/>
  <c r="U81" i="1"/>
  <c r="G66" i="1"/>
  <c r="J66" i="1" s="1"/>
  <c r="N84" i="1"/>
  <c r="O84" i="1"/>
  <c r="Q84" i="1" s="1"/>
  <c r="P84" i="1"/>
  <c r="L86" i="1"/>
  <c r="AB75" i="1"/>
  <c r="AC75" i="1"/>
  <c r="AD75" i="1"/>
  <c r="K81" i="1"/>
  <c r="J81" i="1"/>
  <c r="H105" i="1" s="1"/>
  <c r="P75" i="1"/>
  <c r="L77" i="1"/>
  <c r="O75" i="1"/>
  <c r="Q75" i="1" s="1"/>
  <c r="N75" i="1"/>
  <c r="G76" i="1"/>
  <c r="Y88" i="1"/>
  <c r="X88" i="1"/>
  <c r="V112" i="1" s="1"/>
  <c r="AD34" i="1"/>
  <c r="AE34" i="1" s="1"/>
  <c r="O85" i="1"/>
  <c r="P85" i="1"/>
  <c r="N85" i="1"/>
  <c r="P82" i="1"/>
  <c r="N82" i="1"/>
  <c r="O82" i="1"/>
  <c r="G87" i="1"/>
  <c r="U82" i="1"/>
  <c r="AC79" i="1"/>
  <c r="AB79" i="1"/>
  <c r="AD79" i="1"/>
  <c r="AC72" i="1"/>
  <c r="AE72" i="1" s="1"/>
  <c r="AB72" i="1"/>
  <c r="AD72" i="1"/>
  <c r="U75" i="1"/>
  <c r="Z33" i="1"/>
  <c r="AD33" i="1" s="1"/>
  <c r="AD43" i="1"/>
  <c r="AE43" i="1" s="1"/>
  <c r="AB40" i="1"/>
  <c r="G65" i="1"/>
  <c r="J65" i="1" s="1"/>
  <c r="X33" i="1"/>
  <c r="Y33" i="1"/>
  <c r="U40" i="1"/>
  <c r="Y40" i="1" s="1"/>
  <c r="AC48" i="1"/>
  <c r="AE48" i="1" s="1"/>
  <c r="M41" i="1"/>
  <c r="Y39" i="1"/>
  <c r="X39" i="1"/>
  <c r="Y36" i="1"/>
  <c r="X36" i="1"/>
  <c r="Y34" i="1"/>
  <c r="X34" i="1"/>
  <c r="U43" i="1"/>
  <c r="Y48" i="1"/>
  <c r="X48" i="1"/>
  <c r="M44" i="1"/>
  <c r="AB39" i="1"/>
  <c r="U42" i="1"/>
  <c r="U45" i="1"/>
  <c r="AA57" i="1"/>
  <c r="Z31" i="1"/>
  <c r="AA65" i="1"/>
  <c r="AA62" i="1"/>
  <c r="AA59" i="1"/>
  <c r="AA53" i="1"/>
  <c r="U37" i="1"/>
  <c r="U46" i="1"/>
  <c r="AA54" i="1"/>
  <c r="AA66" i="1"/>
  <c r="U31" i="1"/>
  <c r="AC37" i="1"/>
  <c r="AD37" i="1"/>
  <c r="AB37" i="1"/>
  <c r="AC46" i="1"/>
  <c r="AD46" i="1"/>
  <c r="AB46" i="1"/>
  <c r="AA60" i="1"/>
  <c r="Z30" i="1"/>
  <c r="AA67" i="1"/>
  <c r="AA56" i="1"/>
  <c r="AD42" i="1"/>
  <c r="AB42" i="1"/>
  <c r="AC42" i="1"/>
  <c r="AE42" i="1" s="1"/>
  <c r="AD36" i="1"/>
  <c r="AB36" i="1"/>
  <c r="AC36" i="1"/>
  <c r="AE36" i="1" s="1"/>
  <c r="U30" i="1"/>
  <c r="F43" i="1"/>
  <c r="F42" i="1"/>
  <c r="L48" i="1"/>
  <c r="O48" i="1" s="1"/>
  <c r="F39" i="1"/>
  <c r="F31" i="1"/>
  <c r="F37" i="1"/>
  <c r="L46" i="1"/>
  <c r="D42" i="1"/>
  <c r="L42" i="1" s="1"/>
  <c r="L36" i="1"/>
  <c r="L34" i="1"/>
  <c r="N34" i="1" s="1"/>
  <c r="L43" i="1"/>
  <c r="P43" i="1" s="1"/>
  <c r="L40" i="1"/>
  <c r="N40" i="1" s="1"/>
  <c r="M36" i="1"/>
  <c r="M38" i="1" s="1"/>
  <c r="D33" i="1"/>
  <c r="L30" i="1"/>
  <c r="Q81" i="1" l="1"/>
  <c r="AB33" i="1"/>
  <c r="Q82" i="1"/>
  <c r="AE87" i="1"/>
  <c r="AE78" i="1"/>
  <c r="Q76" i="1"/>
  <c r="AE82" i="1"/>
  <c r="Q79" i="1"/>
  <c r="X81" i="1"/>
  <c r="V105" i="1" s="1"/>
  <c r="Y81" i="1"/>
  <c r="J78" i="1"/>
  <c r="H102" i="1" s="1"/>
  <c r="K78" i="1"/>
  <c r="X87" i="1"/>
  <c r="V111" i="1" s="1"/>
  <c r="Y87" i="1"/>
  <c r="H103" i="1"/>
  <c r="K79" i="1"/>
  <c r="J79" i="1"/>
  <c r="Y82" i="1"/>
  <c r="X82" i="1"/>
  <c r="V106" i="1" s="1"/>
  <c r="H111" i="1"/>
  <c r="J87" i="1"/>
  <c r="K87" i="1"/>
  <c r="AE75" i="1"/>
  <c r="H99" i="1"/>
  <c r="K75" i="1"/>
  <c r="J75" i="1"/>
  <c r="Y85" i="1"/>
  <c r="X85" i="1"/>
  <c r="V109" i="1" s="1"/>
  <c r="P86" i="1"/>
  <c r="O86" i="1"/>
  <c r="Q86" i="1" s="1"/>
  <c r="O74" i="1"/>
  <c r="Q74" i="1" s="1"/>
  <c r="P74" i="1"/>
  <c r="O80" i="1"/>
  <c r="P80" i="1"/>
  <c r="X75" i="1"/>
  <c r="V99" i="1" s="1"/>
  <c r="Y75" i="1"/>
  <c r="K76" i="1"/>
  <c r="J76" i="1"/>
  <c r="H100" i="1" s="1"/>
  <c r="Y73" i="1"/>
  <c r="X73" i="1"/>
  <c r="V97" i="1" s="1"/>
  <c r="X78" i="1"/>
  <c r="V102" i="1" s="1"/>
  <c r="Y78" i="1"/>
  <c r="P77" i="1"/>
  <c r="O77" i="1"/>
  <c r="J84" i="1"/>
  <c r="H108" i="1" s="1"/>
  <c r="K84" i="1"/>
  <c r="X40" i="1"/>
  <c r="AE79" i="1"/>
  <c r="Q85" i="1"/>
  <c r="AE85" i="1"/>
  <c r="X84" i="1"/>
  <c r="V108" i="1" s="1"/>
  <c r="Y84" i="1"/>
  <c r="Y76" i="1"/>
  <c r="X76" i="1"/>
  <c r="V100" i="1" s="1"/>
  <c r="P83" i="1"/>
  <c r="O83" i="1"/>
  <c r="AE76" i="1"/>
  <c r="AC33" i="1"/>
  <c r="AE33" i="1" s="1"/>
  <c r="Y46" i="1"/>
  <c r="X46" i="1"/>
  <c r="Y45" i="1"/>
  <c r="X45" i="1"/>
  <c r="Y43" i="1"/>
  <c r="X43" i="1"/>
  <c r="Y30" i="1"/>
  <c r="X30" i="1"/>
  <c r="Y31" i="1"/>
  <c r="X31" i="1"/>
  <c r="Y37" i="1"/>
  <c r="X37" i="1"/>
  <c r="Y42" i="1"/>
  <c r="X42" i="1"/>
  <c r="O42" i="1"/>
  <c r="L44" i="1"/>
  <c r="AE46" i="1"/>
  <c r="L39" i="1"/>
  <c r="N39" i="1" s="1"/>
  <c r="L31" i="1"/>
  <c r="L32" i="1" s="1"/>
  <c r="AD30" i="1"/>
  <c r="AB30" i="1"/>
  <c r="AC30" i="1"/>
  <c r="AE37" i="1"/>
  <c r="L33" i="1"/>
  <c r="L35" i="1" s="1"/>
  <c r="AC31" i="1"/>
  <c r="AD31" i="1"/>
  <c r="AB31" i="1"/>
  <c r="N30" i="1"/>
  <c r="M60" i="1"/>
  <c r="M56" i="1"/>
  <c r="M65" i="1"/>
  <c r="M53" i="1"/>
  <c r="P33" i="1"/>
  <c r="M63" i="1"/>
  <c r="G37" i="1"/>
  <c r="G48" i="1"/>
  <c r="J48" i="1" s="1"/>
  <c r="P30" i="1"/>
  <c r="L37" i="1"/>
  <c r="O37" i="1" s="1"/>
  <c r="G42" i="1"/>
  <c r="P42" i="1"/>
  <c r="O43" i="1"/>
  <c r="Q43" i="1" s="1"/>
  <c r="N43" i="1"/>
  <c r="G43" i="1"/>
  <c r="P34" i="1"/>
  <c r="N42" i="1"/>
  <c r="G33" i="1"/>
  <c r="P48" i="1"/>
  <c r="Q48" i="1" s="1"/>
  <c r="N46" i="1"/>
  <c r="O46" i="1"/>
  <c r="P46" i="1"/>
  <c r="G45" i="1"/>
  <c r="L45" i="1"/>
  <c r="L47" i="1" s="1"/>
  <c r="G36" i="1"/>
  <c r="G46" i="1"/>
  <c r="O40" i="1"/>
  <c r="O30" i="1"/>
  <c r="O34" i="1"/>
  <c r="P36" i="1"/>
  <c r="G39" i="1"/>
  <c r="O36" i="1"/>
  <c r="N36" i="1"/>
  <c r="P40" i="1"/>
  <c r="G31" i="1"/>
  <c r="G34" i="1"/>
  <c r="G40" i="1"/>
  <c r="G30" i="1"/>
  <c r="N33" i="1" l="1"/>
  <c r="Q42" i="1"/>
  <c r="Q77" i="1"/>
  <c r="AE30" i="1"/>
  <c r="Q83" i="1"/>
  <c r="P31" i="1"/>
  <c r="P47" i="1"/>
  <c r="O47" i="1"/>
  <c r="Q47" i="1" s="1"/>
  <c r="Q80" i="1"/>
  <c r="P39" i="1"/>
  <c r="O31" i="1"/>
  <c r="Q36" i="1"/>
  <c r="P37" i="1"/>
  <c r="O33" i="1"/>
  <c r="Q33" i="1" s="1"/>
  <c r="Q30" i="1"/>
  <c r="K30" i="1"/>
  <c r="J30" i="1"/>
  <c r="K34" i="1"/>
  <c r="J34" i="1"/>
  <c r="K46" i="1"/>
  <c r="J46" i="1"/>
  <c r="K33" i="1"/>
  <c r="J33" i="1"/>
  <c r="K40" i="1"/>
  <c r="J40" i="1"/>
  <c r="K31" i="1"/>
  <c r="J31" i="1"/>
  <c r="K39" i="1"/>
  <c r="J39" i="1"/>
  <c r="K36" i="1"/>
  <c r="J36" i="1"/>
  <c r="K45" i="1"/>
  <c r="J45" i="1"/>
  <c r="K43" i="1"/>
  <c r="J43" i="1"/>
  <c r="K42" i="1"/>
  <c r="J42" i="1"/>
  <c r="K37" i="1"/>
  <c r="J37" i="1"/>
  <c r="N31" i="1"/>
  <c r="N37" i="1"/>
  <c r="Q34" i="1"/>
  <c r="P32" i="1"/>
  <c r="O32" i="1"/>
  <c r="K48" i="1"/>
  <c r="O35" i="1"/>
  <c r="P35" i="1"/>
  <c r="O39" i="1"/>
  <c r="Q39" i="1" s="1"/>
  <c r="L41" i="1"/>
  <c r="O44" i="1"/>
  <c r="P44" i="1"/>
  <c r="L38" i="1"/>
  <c r="Q46" i="1"/>
  <c r="AE31" i="1"/>
  <c r="M66" i="1"/>
  <c r="M54" i="1"/>
  <c r="M55" i="1" s="1"/>
  <c r="M59" i="1"/>
  <c r="M61" i="1" s="1"/>
  <c r="M67" i="1"/>
  <c r="L54" i="1"/>
  <c r="G54" i="1"/>
  <c r="K66" i="1"/>
  <c r="M57" i="1"/>
  <c r="M58" i="1" s="1"/>
  <c r="M62" i="1"/>
  <c r="M64" i="1" s="1"/>
  <c r="Q37" i="1"/>
  <c r="Q40" i="1"/>
  <c r="N48" i="1"/>
  <c r="N45" i="1"/>
  <c r="O45" i="1"/>
  <c r="P45" i="1"/>
  <c r="Q31" i="1" l="1"/>
  <c r="Q44" i="1"/>
  <c r="Q35" i="1"/>
  <c r="Q32" i="1"/>
  <c r="K54" i="1"/>
  <c r="J54" i="1"/>
  <c r="O38" i="1"/>
  <c r="P38" i="1"/>
  <c r="O41" i="1"/>
  <c r="P41" i="1"/>
  <c r="Z59" i="1"/>
  <c r="Z63" i="1"/>
  <c r="U63" i="1"/>
  <c r="L63" i="1"/>
  <c r="G63" i="1"/>
  <c r="Z60" i="1"/>
  <c r="U60" i="1"/>
  <c r="Z53" i="1"/>
  <c r="U53" i="1"/>
  <c r="L56" i="1"/>
  <c r="G56" i="1"/>
  <c r="L65" i="1"/>
  <c r="K65" i="1"/>
  <c r="L67" i="1"/>
  <c r="G59" i="1"/>
  <c r="G67" i="1"/>
  <c r="L66" i="1"/>
  <c r="L59" i="1"/>
  <c r="O54" i="1"/>
  <c r="N54" i="1"/>
  <c r="P54" i="1"/>
  <c r="Z56" i="1"/>
  <c r="U56" i="1"/>
  <c r="L60" i="1"/>
  <c r="G60" i="1"/>
  <c r="L53" i="1"/>
  <c r="G53" i="1"/>
  <c r="L62" i="1"/>
  <c r="L64" i="1" s="1"/>
  <c r="O64" i="1" s="1"/>
  <c r="G62" i="1"/>
  <c r="G57" i="1"/>
  <c r="L57" i="1"/>
  <c r="Q45" i="1"/>
  <c r="L55" i="1" l="1"/>
  <c r="O55" i="1" s="1"/>
  <c r="Y56" i="1"/>
  <c r="X56" i="1"/>
  <c r="Y60" i="1"/>
  <c r="X60" i="1"/>
  <c r="Y53" i="1"/>
  <c r="X53" i="1"/>
  <c r="Y63" i="1"/>
  <c r="X63" i="1"/>
  <c r="K62" i="1"/>
  <c r="J62" i="1"/>
  <c r="K53" i="1"/>
  <c r="J53" i="1"/>
  <c r="K60" i="1"/>
  <c r="J60" i="1"/>
  <c r="K59" i="1"/>
  <c r="J59" i="1"/>
  <c r="K56" i="1"/>
  <c r="J56" i="1"/>
  <c r="K63" i="1"/>
  <c r="J63" i="1"/>
  <c r="K57" i="1"/>
  <c r="J57" i="1"/>
  <c r="K67" i="1"/>
  <c r="J67" i="1"/>
  <c r="L58" i="1"/>
  <c r="O58" i="1" s="1"/>
  <c r="L61" i="1"/>
  <c r="P58" i="1"/>
  <c r="Q58" i="1" s="1"/>
  <c r="P64" i="1"/>
  <c r="Q64" i="1" s="1"/>
  <c r="Q41" i="1"/>
  <c r="Q38" i="1"/>
  <c r="U59" i="1"/>
  <c r="Z66" i="1"/>
  <c r="U66" i="1"/>
  <c r="Z65" i="1"/>
  <c r="U65" i="1"/>
  <c r="Z67" i="1"/>
  <c r="U67" i="1"/>
  <c r="O62" i="1"/>
  <c r="N62" i="1"/>
  <c r="P62" i="1"/>
  <c r="O53" i="1"/>
  <c r="N53" i="1"/>
  <c r="P53" i="1"/>
  <c r="O60" i="1"/>
  <c r="N60" i="1"/>
  <c r="P60" i="1"/>
  <c r="AB56" i="1"/>
  <c r="AD56" i="1"/>
  <c r="AC56" i="1"/>
  <c r="O59" i="1"/>
  <c r="N59" i="1"/>
  <c r="P59" i="1"/>
  <c r="O67" i="1"/>
  <c r="N67" i="1"/>
  <c r="P67" i="1"/>
  <c r="Z62" i="1"/>
  <c r="U62" i="1"/>
  <c r="O65" i="1"/>
  <c r="N65" i="1"/>
  <c r="P65" i="1"/>
  <c r="O56" i="1"/>
  <c r="N56" i="1"/>
  <c r="P56" i="1"/>
  <c r="AB53" i="1"/>
  <c r="AD53" i="1"/>
  <c r="AC53" i="1"/>
  <c r="AB60" i="1"/>
  <c r="AD60" i="1"/>
  <c r="AC60" i="1"/>
  <c r="O63" i="1"/>
  <c r="N63" i="1"/>
  <c r="P63" i="1"/>
  <c r="AB59" i="1"/>
  <c r="AD59" i="1"/>
  <c r="AC59" i="1"/>
  <c r="AB63" i="1"/>
  <c r="AD63" i="1"/>
  <c r="AC63" i="1"/>
  <c r="O57" i="1"/>
  <c r="N57" i="1"/>
  <c r="P57" i="1"/>
  <c r="O66" i="1"/>
  <c r="N66" i="1"/>
  <c r="P66" i="1"/>
  <c r="Z54" i="1"/>
  <c r="U54" i="1"/>
  <c r="Z57" i="1"/>
  <c r="U57" i="1"/>
  <c r="Q54" i="1"/>
  <c r="P55" i="1" l="1"/>
  <c r="Q55" i="1" s="1"/>
  <c r="Y54" i="1"/>
  <c r="X54" i="1"/>
  <c r="Y62" i="1"/>
  <c r="X62" i="1"/>
  <c r="Y67" i="1"/>
  <c r="X67" i="1"/>
  <c r="Y65" i="1"/>
  <c r="X65" i="1"/>
  <c r="Y66" i="1"/>
  <c r="X66" i="1"/>
  <c r="Y59" i="1"/>
  <c r="X59" i="1"/>
  <c r="Y57" i="1"/>
  <c r="X57" i="1"/>
  <c r="O61" i="1"/>
  <c r="P61" i="1"/>
  <c r="AE56" i="1"/>
  <c r="AE63" i="1"/>
  <c r="AE53" i="1"/>
  <c r="Q63" i="1"/>
  <c r="Q66" i="1"/>
  <c r="AB57" i="1"/>
  <c r="AD57" i="1"/>
  <c r="AC57" i="1"/>
  <c r="AB54" i="1"/>
  <c r="AD54" i="1"/>
  <c r="AC54" i="1"/>
  <c r="AB62" i="1"/>
  <c r="AD62" i="1"/>
  <c r="AC62" i="1"/>
  <c r="AB66" i="1"/>
  <c r="AD66" i="1"/>
  <c r="AC66" i="1"/>
  <c r="Q57" i="1"/>
  <c r="AE59" i="1"/>
  <c r="AE60" i="1"/>
  <c r="Q56" i="1"/>
  <c r="Q65" i="1"/>
  <c r="Q59" i="1"/>
  <c r="Q53" i="1"/>
  <c r="AB67" i="1"/>
  <c r="AD67" i="1"/>
  <c r="AC67" i="1"/>
  <c r="AB65" i="1"/>
  <c r="AD65" i="1"/>
  <c r="AC65" i="1"/>
  <c r="Q67" i="1"/>
  <c r="Q60" i="1"/>
  <c r="Q62" i="1"/>
  <c r="Q61" i="1" l="1"/>
  <c r="AE65" i="1"/>
  <c r="AE62" i="1"/>
  <c r="AE54" i="1"/>
  <c r="AE67" i="1"/>
  <c r="AE66" i="1"/>
  <c r="AE57" i="1"/>
</calcChain>
</file>

<file path=xl/sharedStrings.xml><?xml version="1.0" encoding="utf-8"?>
<sst xmlns="http://schemas.openxmlformats.org/spreadsheetml/2006/main" count="331" uniqueCount="97">
  <si>
    <t>Study</t>
  </si>
  <si>
    <t>n</t>
  </si>
  <si>
    <t>DR% Score</t>
  </si>
  <si>
    <t>d</t>
  </si>
  <si>
    <t>Online/Lab</t>
  </si>
  <si>
    <t>Bem/Not Bem</t>
  </si>
  <si>
    <t>Published/Unpublished</t>
  </si>
  <si>
    <t>Researcher Bias</t>
  </si>
  <si>
    <t>r b/w DR and Sensation Seeking</t>
  </si>
  <si>
    <t>Bem 2011, Exp 8</t>
  </si>
  <si>
    <t>Lab</t>
  </si>
  <si>
    <t>Bem</t>
  </si>
  <si>
    <t>Published</t>
  </si>
  <si>
    <t>Pro</t>
  </si>
  <si>
    <t>Bem 2011, Exp 9</t>
  </si>
  <si>
    <t>Experiment 1</t>
  </si>
  <si>
    <t>Experiment 2</t>
  </si>
  <si>
    <t>Experiment 3</t>
  </si>
  <si>
    <t>Experiment 4</t>
  </si>
  <si>
    <t>Experiment 5</t>
  </si>
  <si>
    <t>Experiment 6</t>
  </si>
  <si>
    <t>Online</t>
  </si>
  <si>
    <t>Not Bem</t>
  </si>
  <si>
    <t>Unpublished</t>
  </si>
  <si>
    <t>Against</t>
  </si>
  <si>
    <t>Milyavsky 2010</t>
  </si>
  <si>
    <t>Notes</t>
  </si>
  <si>
    <t>Cite</t>
  </si>
  <si>
    <t>Milyavsk, M. (2010). Unpublished Research, Hebrew University of Jersalem, Israel</t>
  </si>
  <si>
    <t>Ritchie et al 2012, Exp 1</t>
  </si>
  <si>
    <t>Ritchie et al 2012, Exp 3</t>
  </si>
  <si>
    <t>Ritchie et al 2012, Exp 2</t>
  </si>
  <si>
    <t>Software</t>
  </si>
  <si>
    <t>Snodgrass, Steve, Examining Retroactive Facilitation of Recall: an Adapted Replication of Bem (2011, Study 9) and Galak and Nelson (2010) (September 27, 2011). Available at SSRN: http://ssrn.com/abstract=1935942 or http://dx.doi.org/10.2139/ssrn.1935942</t>
  </si>
  <si>
    <t>Snodgrass 2012, Exp 2</t>
  </si>
  <si>
    <t>Excluding Study 1 due to N = 1, sensation seeking never collected, not enough data to compute d</t>
  </si>
  <si>
    <t>Robinson 2011</t>
  </si>
  <si>
    <r>
      <t xml:space="preserve">Robinson, E. (2011), Not Feeling the Future: A Failed Replication of Retroactive Faciliation of Memory Recall, </t>
    </r>
    <r>
      <rPr>
        <i/>
        <sz val="11"/>
        <color theme="1"/>
        <rFont val="Calibri"/>
        <family val="2"/>
        <scheme val="minor"/>
      </rPr>
      <t xml:space="preserve">Journal of the Society for Psychical Research," </t>
    </r>
    <r>
      <rPr>
        <sz val="11"/>
        <color theme="1"/>
        <rFont val="Calibri"/>
        <family val="2"/>
        <scheme val="minor"/>
      </rPr>
      <t>75.3 (904), 142-147.</t>
    </r>
  </si>
  <si>
    <t>Experiment</t>
  </si>
  <si>
    <t>StDev</t>
  </si>
  <si>
    <t>r</t>
  </si>
  <si>
    <t>StError</t>
  </si>
  <si>
    <t>w</t>
  </si>
  <si>
    <t>w_times_d</t>
  </si>
  <si>
    <t>Experiment 8</t>
  </si>
  <si>
    <t>Experiment 9</t>
  </si>
  <si>
    <t>Sum(w)</t>
  </si>
  <si>
    <t>Bem Software</t>
  </si>
  <si>
    <t>Not Bem Software</t>
  </si>
  <si>
    <t>All</t>
  </si>
  <si>
    <t>SE(d)</t>
  </si>
  <si>
    <t>Z-test</t>
  </si>
  <si>
    <t>95%CI_LOWER</t>
  </si>
  <si>
    <t>95%CI_UPPER</t>
  </si>
  <si>
    <t>w_times_es^2</t>
  </si>
  <si>
    <t>sum(w*d)</t>
  </si>
  <si>
    <t>sum(w*d^2)</t>
  </si>
  <si>
    <t>Q</t>
  </si>
  <si>
    <t>df(q) = count-1</t>
  </si>
  <si>
    <t>testing for homogeneity</t>
  </si>
  <si>
    <t>homogenous?</t>
  </si>
  <si>
    <t>N</t>
  </si>
  <si>
    <t>Subbotsky, E. (2012). Sensing the future: The Non-standard observer effect on an ESP task. Lancaster University, UK</t>
  </si>
  <si>
    <t>Done in Italian</t>
  </si>
  <si>
    <r>
      <t xml:space="preserve">sensation seeking never collected, </t>
    </r>
    <r>
      <rPr>
        <b/>
        <sz val="11"/>
        <color theme="1"/>
        <rFont val="Calibri"/>
        <family val="2"/>
        <scheme val="minor"/>
      </rPr>
      <t>done in Hebrew</t>
    </r>
  </si>
  <si>
    <t>Subbotsky 2012, Exp 1</t>
  </si>
  <si>
    <t>Subbotsky 2012, Exp 2</t>
  </si>
  <si>
    <t>Tressoldi, Masserdotti, &amp; Marana 2012</t>
  </si>
  <si>
    <t>Tressoldi, P. E., Masserdotti, F., &amp; Marana C. (2012). Feeling the future: an exact replication of the Retroactive Facilitation of  Recall II and Retroactive Priming experiments with Italian participants, Universita di Padova, Italy</t>
  </si>
  <si>
    <t>Platzer 2012</t>
  </si>
  <si>
    <t>Done in German</t>
  </si>
  <si>
    <t>Platzer, C. Unpulished Research, University of Mannheim, Germany</t>
  </si>
  <si>
    <t>Pedersen, J. C., Shepardson, S. K., Lemka, Z. R., &amp; Harton, H. C. (2012, January). Psi ability and belief: A replication of Bem (2011). Poster presented at the 13th annual meeting of the Society of Personality and Social Psychology, San Diego, CA.</t>
  </si>
  <si>
    <t>Pedersen et al 2012</t>
  </si>
  <si>
    <t>chi-sq critical value</t>
  </si>
  <si>
    <t>ES_adjusted</t>
  </si>
  <si>
    <t>Experiment 7</t>
  </si>
  <si>
    <t>95CI both</t>
  </si>
  <si>
    <t>transformed_r ES</t>
  </si>
  <si>
    <t>w for r</t>
  </si>
  <si>
    <t>se for r</t>
  </si>
  <si>
    <t>w_times_r</t>
  </si>
  <si>
    <t>sum(w*r)</t>
  </si>
  <si>
    <t>sum(w*r^2)</t>
  </si>
  <si>
    <t>SE(r)</t>
  </si>
  <si>
    <t>INCLUDING BEM</t>
  </si>
  <si>
    <t>EXCLUDING BEM</t>
  </si>
  <si>
    <t>p-value</t>
  </si>
  <si>
    <t>Excluding Online Study</t>
  </si>
  <si>
    <t>weight</t>
  </si>
  <si>
    <t>SE</t>
  </si>
  <si>
    <t>95% lower</t>
  </si>
  <si>
    <t>95% upper</t>
  </si>
  <si>
    <t>Name</t>
  </si>
  <si>
    <t>95%range</t>
  </si>
  <si>
    <t>Overall Effect</t>
  </si>
  <si>
    <t>mean dr%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</si>
</sst>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color rgb="FF003366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0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  <xf numFmtId="0" fontId="2" fillId="2" borderId="0" xfId="0" applyFont="1" applyFill="1"/>
    <xf numFmtId="0" fontId="0" fillId="0" borderId="0" xfId="0" applyFill="1"/>
    <xf numFmtId="1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quotePrefix="1" applyFill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10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0" fillId="0" borderId="0" xfId="0" quotePrefix="1" applyNumberFormat="1" applyFill="1" applyBorder="1"/>
    <xf numFmtId="2" fontId="0" fillId="0" borderId="0" xfId="0" quotePrefix="1" applyNumberFormat="1" applyFill="1" applyBorder="1"/>
    <xf numFmtId="0" fontId="1" fillId="0" borderId="0" xfId="0" applyFont="1" applyFill="1" applyBorder="1"/>
    <xf numFmtId="2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76434462809993"/>
          <c:y val="1.8393905676219721E-2"/>
          <c:w val="0.71533486598102547"/>
          <c:h val="0.90269251252108484"/>
        </c:manualLayout>
      </c:layout>
      <c:bubbleChart>
        <c:varyColors val="0"/>
        <c:ser>
          <c:idx val="0"/>
          <c:order val="0"/>
          <c:spPr>
            <a:solidFill>
              <a:sysClr val="windowText" lastClr="000000"/>
            </a:solidFill>
          </c:spPr>
          <c:invertIfNegative val="0"/>
          <c:errBars>
            <c:errDir val="y"/>
            <c:errBarType val="both"/>
            <c:errValType val="cust"/>
            <c:noEndCap val="0"/>
            <c:plus>
              <c:numRef>
                <c:f>'forest plot data'!$F$2:$F$20</c:f>
                <c:numCache>
                  <c:formatCode>General</c:formatCode>
                  <c:ptCount val="19"/>
                  <c:pt idx="0">
                    <c:v>2.2089199999999996E-2</c:v>
                  </c:pt>
                  <c:pt idx="1">
                    <c:v>4.1356000000000004E-2</c:v>
                  </c:pt>
                  <c:pt idx="2">
                    <c:v>2.5076400651874525E-2</c:v>
                  </c:pt>
                  <c:pt idx="3">
                    <c:v>3.6034161569266462E-2</c:v>
                  </c:pt>
                  <c:pt idx="4">
                    <c:v>3.9554421968725564E-2</c:v>
                  </c:pt>
                  <c:pt idx="5">
                    <c:v>3.3899830460932985E-2</c:v>
                  </c:pt>
                  <c:pt idx="6">
                    <c:v>3.5008573893833488E-2</c:v>
                  </c:pt>
                  <c:pt idx="7">
                    <c:v>2.2788637344080053E-2</c:v>
                  </c:pt>
                  <c:pt idx="8">
                    <c:v>1.9224003749652847E-2</c:v>
                  </c:pt>
                  <c:pt idx="9">
                    <c:v>3.556723608157876E-2</c:v>
                  </c:pt>
                  <c:pt idx="10">
                    <c:v>2.7730525226201109E-2</c:v>
                  </c:pt>
                  <c:pt idx="11">
                    <c:v>2.3034075982548682E-2</c:v>
                  </c:pt>
                  <c:pt idx="12">
                    <c:v>4.3310965625091829E-3</c:v>
                  </c:pt>
                  <c:pt idx="13">
                    <c:v>1.7156346560484328E-2</c:v>
                  </c:pt>
                  <c:pt idx="14">
                    <c:v>1.3526299804012862E-2</c:v>
                  </c:pt>
                  <c:pt idx="15">
                    <c:v>1.7609938318848013E-2</c:v>
                  </c:pt>
                  <c:pt idx="16">
                    <c:v>1.8035320824118507E-2</c:v>
                  </c:pt>
                  <c:pt idx="17">
                    <c:v>1.5182629916937669E-2</c:v>
                  </c:pt>
                  <c:pt idx="18">
                    <c:v>1.9753382677873806E-2</c:v>
                  </c:pt>
                </c:numCache>
              </c:numRef>
            </c:plus>
            <c:minus>
              <c:numRef>
                <c:f>'forest plot data'!$F$2:$F$20</c:f>
                <c:numCache>
                  <c:formatCode>General</c:formatCode>
                  <c:ptCount val="19"/>
                  <c:pt idx="0">
                    <c:v>2.2089199999999996E-2</c:v>
                  </c:pt>
                  <c:pt idx="1">
                    <c:v>4.1356000000000004E-2</c:v>
                  </c:pt>
                  <c:pt idx="2">
                    <c:v>2.5076400651874525E-2</c:v>
                  </c:pt>
                  <c:pt idx="3">
                    <c:v>3.6034161569266462E-2</c:v>
                  </c:pt>
                  <c:pt idx="4">
                    <c:v>3.9554421968725564E-2</c:v>
                  </c:pt>
                  <c:pt idx="5">
                    <c:v>3.3899830460932985E-2</c:v>
                  </c:pt>
                  <c:pt idx="6">
                    <c:v>3.5008573893833488E-2</c:v>
                  </c:pt>
                  <c:pt idx="7">
                    <c:v>2.2788637344080053E-2</c:v>
                  </c:pt>
                  <c:pt idx="8">
                    <c:v>1.9224003749652847E-2</c:v>
                  </c:pt>
                  <c:pt idx="9">
                    <c:v>3.556723608157876E-2</c:v>
                  </c:pt>
                  <c:pt idx="10">
                    <c:v>2.7730525226201109E-2</c:v>
                  </c:pt>
                  <c:pt idx="11">
                    <c:v>2.3034075982548682E-2</c:v>
                  </c:pt>
                  <c:pt idx="12">
                    <c:v>4.3310965625091829E-3</c:v>
                  </c:pt>
                  <c:pt idx="13">
                    <c:v>1.7156346560484328E-2</c:v>
                  </c:pt>
                  <c:pt idx="14">
                    <c:v>1.3526299804012862E-2</c:v>
                  </c:pt>
                  <c:pt idx="15">
                    <c:v>1.7609938318848013E-2</c:v>
                  </c:pt>
                  <c:pt idx="16">
                    <c:v>1.8035320824118507E-2</c:v>
                  </c:pt>
                  <c:pt idx="17">
                    <c:v>1.5182629916937669E-2</c:v>
                  </c:pt>
                  <c:pt idx="18">
                    <c:v>1.9753382677873806E-2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'forest plot data'!$F$2:$F$21</c:f>
                <c:numCache>
                  <c:formatCode>General</c:formatCode>
                  <c:ptCount val="20"/>
                  <c:pt idx="0">
                    <c:v>2.2089199999999996E-2</c:v>
                  </c:pt>
                  <c:pt idx="1">
                    <c:v>4.1356000000000004E-2</c:v>
                  </c:pt>
                  <c:pt idx="2">
                    <c:v>2.5076400651874525E-2</c:v>
                  </c:pt>
                  <c:pt idx="3">
                    <c:v>3.6034161569266462E-2</c:v>
                  </c:pt>
                  <c:pt idx="4">
                    <c:v>3.9554421968725564E-2</c:v>
                  </c:pt>
                  <c:pt idx="5">
                    <c:v>3.3899830460932985E-2</c:v>
                  </c:pt>
                  <c:pt idx="6">
                    <c:v>3.5008573893833488E-2</c:v>
                  </c:pt>
                  <c:pt idx="7">
                    <c:v>2.2788637344080053E-2</c:v>
                  </c:pt>
                  <c:pt idx="8">
                    <c:v>1.9224003749652847E-2</c:v>
                  </c:pt>
                  <c:pt idx="9">
                    <c:v>3.556723608157876E-2</c:v>
                  </c:pt>
                  <c:pt idx="10">
                    <c:v>2.7730525226201109E-2</c:v>
                  </c:pt>
                  <c:pt idx="11">
                    <c:v>2.3034075982548682E-2</c:v>
                  </c:pt>
                  <c:pt idx="12">
                    <c:v>4.3310965625091829E-3</c:v>
                  </c:pt>
                  <c:pt idx="13">
                    <c:v>1.7156346560484328E-2</c:v>
                  </c:pt>
                  <c:pt idx="14">
                    <c:v>1.3526299804012862E-2</c:v>
                  </c:pt>
                  <c:pt idx="15">
                    <c:v>1.7609938318848013E-2</c:v>
                  </c:pt>
                  <c:pt idx="16">
                    <c:v>1.8035320824118507E-2</c:v>
                  </c:pt>
                  <c:pt idx="17">
                    <c:v>1.5182629916937669E-2</c:v>
                  </c:pt>
                  <c:pt idx="18">
                    <c:v>1.9753382677873806E-2</c:v>
                  </c:pt>
                  <c:pt idx="19">
                    <c:v>8.5381852670656441E-3</c:v>
                  </c:pt>
                </c:numCache>
              </c:numRef>
            </c:plus>
            <c:minus>
              <c:numRef>
                <c:f>'forest plot data'!$F$2:$F$21</c:f>
                <c:numCache>
                  <c:formatCode>General</c:formatCode>
                  <c:ptCount val="20"/>
                  <c:pt idx="0">
                    <c:v>2.2089199999999996E-2</c:v>
                  </c:pt>
                  <c:pt idx="1">
                    <c:v>4.1356000000000004E-2</c:v>
                  </c:pt>
                  <c:pt idx="2">
                    <c:v>2.5076400651874525E-2</c:v>
                  </c:pt>
                  <c:pt idx="3">
                    <c:v>3.6034161569266462E-2</c:v>
                  </c:pt>
                  <c:pt idx="4">
                    <c:v>3.9554421968725564E-2</c:v>
                  </c:pt>
                  <c:pt idx="5">
                    <c:v>3.3899830460932985E-2</c:v>
                  </c:pt>
                  <c:pt idx="6">
                    <c:v>3.5008573893833488E-2</c:v>
                  </c:pt>
                  <c:pt idx="7">
                    <c:v>2.2788637344080053E-2</c:v>
                  </c:pt>
                  <c:pt idx="8">
                    <c:v>1.9224003749652847E-2</c:v>
                  </c:pt>
                  <c:pt idx="9">
                    <c:v>3.556723608157876E-2</c:v>
                  </c:pt>
                  <c:pt idx="10">
                    <c:v>2.7730525226201109E-2</c:v>
                  </c:pt>
                  <c:pt idx="11">
                    <c:v>2.3034075982548682E-2</c:v>
                  </c:pt>
                  <c:pt idx="12">
                    <c:v>4.3310965625091829E-3</c:v>
                  </c:pt>
                  <c:pt idx="13">
                    <c:v>1.7156346560484328E-2</c:v>
                  </c:pt>
                  <c:pt idx="14">
                    <c:v>1.3526299804012862E-2</c:v>
                  </c:pt>
                  <c:pt idx="15">
                    <c:v>1.7609938318848013E-2</c:v>
                  </c:pt>
                  <c:pt idx="16">
                    <c:v>1.8035320824118507E-2</c:v>
                  </c:pt>
                  <c:pt idx="17">
                    <c:v>1.5182629916937669E-2</c:v>
                  </c:pt>
                  <c:pt idx="18">
                    <c:v>1.9753382677873806E-2</c:v>
                  </c:pt>
                  <c:pt idx="19">
                    <c:v>8.5381852670656441E-3</c:v>
                  </c:pt>
                </c:numCache>
              </c:numRef>
            </c:minus>
          </c:errBars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'forest plot data'!$B$2:$B$21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</c:v>
                </c:pt>
              </c:numCache>
            </c:numRef>
          </c:yVal>
          <c:bubbleSize>
            <c:numRef>
              <c:f>'forest plot data'!$D$2:$D$21</c:f>
              <c:numCache>
                <c:formatCode>General</c:formatCode>
                <c:ptCount val="20"/>
                <c:pt idx="0">
                  <c:v>88.731144631765758</c:v>
                </c:pt>
                <c:pt idx="1">
                  <c:v>47.393364928909953</c:v>
                </c:pt>
                <c:pt idx="2">
                  <c:v>78.161137525671364</c:v>
                </c:pt>
                <c:pt idx="3">
                  <c:v>54.392829322042118</c:v>
                </c:pt>
                <c:pt idx="4">
                  <c:v>49.551981863107748</c:v>
                </c:pt>
                <c:pt idx="5">
                  <c:v>57.817398298164143</c:v>
                </c:pt>
                <c:pt idx="6">
                  <c:v>55.986285129576217</c:v>
                </c:pt>
                <c:pt idx="7">
                  <c:v>86.00777529636548</c:v>
                </c:pt>
                <c:pt idx="8">
                  <c:v>101.95586858618846</c:v>
                </c:pt>
                <c:pt idx="9">
                  <c:v>55.1068965692034</c:v>
                </c:pt>
                <c:pt idx="10">
                  <c:v>70.680233569759409</c:v>
                </c:pt>
                <c:pt idx="11">
                  <c:v>85.09132302441634</c:v>
                </c:pt>
                <c:pt idx="12">
                  <c:v>250</c:v>
                </c:pt>
                <c:pt idx="13">
                  <c:v>114.24343714963219</c:v>
                </c:pt>
                <c:pt idx="14">
                  <c:v>144.90289498230143</c:v>
                </c:pt>
                <c:pt idx="15">
                  <c:v>111.30078734587057</c:v>
                </c:pt>
                <c:pt idx="16">
                  <c:v>108.67563816103042</c:v>
                </c:pt>
                <c:pt idx="17">
                  <c:v>129.09489401526105</c:v>
                </c:pt>
                <c:pt idx="18">
                  <c:v>99.223511839085603</c:v>
                </c:pt>
                <c:pt idx="19">
                  <c:v>100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everything!$B$2:$B$19</c:f>
              <c:strCache>
                <c:ptCount val="1"/>
                <c:pt idx="0">
                  <c:v>Experiment 1 Experiment 2 Experiment 3 Experiment 4 Experiment 5 Experiment 6 Experiment 7 Bem 2011, Exp 8 Bem 2011, Exp 9 Milyavsky 2010 Pedersen et al 2012 Platzer 2012 Ritchie et al 2012, Exp 1 Ritchie et al 2012, Exp 2 Ritchie et al 2012, Exp 3 Robins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everything!$B$20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3D val="0"/>
        </c:ser>
        <c:ser>
          <c:idx val="2"/>
          <c:order val="2"/>
          <c:tx>
            <c:strRef>
              <c:f>everything!$B$2:$B$19</c:f>
              <c:strCache>
                <c:ptCount val="1"/>
                <c:pt idx="0">
                  <c:v>Experiment 1 Experiment 2 Experiment 3 Experiment 4 Experiment 5 Experiment 6 Experiment 7 Bem 2011, Exp 8 Bem 2011, Exp 9 Milyavsky 2010 Pedersen et al 2012 Platzer 2012 Ritchie et al 2012, Exp 1 Ritchie et al 2012, Exp 2 Ritchie et al 2012, Exp 3 Robins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everything!$B$20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3D val="0"/>
        </c:ser>
        <c:ser>
          <c:idx val="3"/>
          <c:order val="3"/>
          <c:tx>
            <c:strRef>
              <c:f>everything!$B$2:$B$19</c:f>
              <c:strCache>
                <c:ptCount val="1"/>
                <c:pt idx="0">
                  <c:v>Experiment 1 Experiment 2 Experiment 3 Experiment 4 Experiment 5 Experiment 6 Experiment 7 Bem 2011, Exp 8 Bem 2011, Exp 9 Milyavsky 2010 Pedersen et al 2012 Platzer 2012 Ritchie et al 2012, Exp 1 Ritchie et al 2012, Exp 2 Ritchie et al 2012, Exp 3 Robins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everything!$B$20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3D val="0"/>
        </c:ser>
        <c:ser>
          <c:idx val="4"/>
          <c:order val="4"/>
          <c:tx>
            <c:strRef>
              <c:f>everything!$B$2:$B$19</c:f>
              <c:strCache>
                <c:ptCount val="1"/>
                <c:pt idx="0">
                  <c:v>Experiment 1 Experiment 2 Experiment 3 Experiment 4 Experiment 5 Experiment 6 Experiment 7 Bem 2011, Exp 8 Bem 2011, Exp 9 Milyavsky 2010 Pedersen et al 2012 Platzer 2012 Ritchie et al 2012, Exp 1 Ritchie et al 2012, Exp 2 Ritchie et al 2012, Exp 3 Robins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everything!$B$20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3D val="0"/>
        </c:ser>
        <c:ser>
          <c:idx val="5"/>
          <c:order val="5"/>
          <c:tx>
            <c:strRef>
              <c:f>everything!$B$2:$B$19</c:f>
              <c:strCache>
                <c:ptCount val="1"/>
                <c:pt idx="0">
                  <c:v>Experiment 1 Experiment 2 Experiment 3 Experiment 4 Experiment 5 Experiment 6 Experiment 7 Bem 2011, Exp 8 Bem 2011, Exp 9 Milyavsky 2010 Pedersen et al 2012 Platzer 2012 Ritchie et al 2012, Exp 1 Ritchie et al 2012, Exp 2 Ritchie et al 2012, Exp 3 Robins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'forest plot data'!$C$2:$C$21</c:f>
              <c:numCache>
                <c:formatCode>General</c:formatCode>
                <c:ptCount val="20"/>
                <c:pt idx="0">
                  <c:v>2.2499999999999999E-2</c:v>
                </c:pt>
                <c:pt idx="1">
                  <c:v>-3.0599999999999999E-2</c:v>
                </c:pt>
                <c:pt idx="2">
                  <c:v>3.1300000000000001E-2</c:v>
                </c:pt>
                <c:pt idx="3">
                  <c:v>-1.6E-2</c:v>
                </c:pt>
                <c:pt idx="4">
                  <c:v>-5.7999999999999996E-3</c:v>
                </c:pt>
                <c:pt idx="5">
                  <c:v>-2.7199999999999998E-2</c:v>
                </c:pt>
                <c:pt idx="6">
                  <c:v>1.9E-3</c:v>
                </c:pt>
                <c:pt idx="7">
                  <c:v>1.29E-2</c:v>
                </c:pt>
                <c:pt idx="8">
                  <c:v>1.8100000000000002E-2</c:v>
                </c:pt>
                <c:pt idx="9">
                  <c:v>-1.4E-3</c:v>
                </c:pt>
                <c:pt idx="10">
                  <c:v>4.2099999999999999E-2</c:v>
                </c:pt>
                <c:pt idx="11">
                  <c:v>2.2700000000000001E-2</c:v>
                </c:pt>
                <c:pt idx="12">
                  <c:v>-4.8999999999999998E-4</c:v>
                </c:pt>
                <c:pt idx="13">
                  <c:v>-2.8999999999999998E-3</c:v>
                </c:pt>
                <c:pt idx="14">
                  <c:v>-4.8999999999999998E-3</c:v>
                </c:pt>
                <c:pt idx="15">
                  <c:v>1.5900000000000001E-2</c:v>
                </c:pt>
                <c:pt idx="16">
                  <c:v>1.17E-2</c:v>
                </c:pt>
                <c:pt idx="17">
                  <c:v>0</c:v>
                </c:pt>
                <c:pt idx="18">
                  <c:v>-1.21E-2</c:v>
                </c:pt>
                <c:pt idx="19">
                  <c:v>4.3856360770563527E-3</c:v>
                </c:pt>
              </c:numCache>
            </c:numRef>
          </c:xVal>
          <c:yVal>
            <c:numRef>
              <c:f>everything!$B$20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61894400"/>
        <c:axId val="162099200"/>
      </c:bubbleChart>
      <c:valAx>
        <c:axId val="161894400"/>
        <c:scaling>
          <c:orientation val="minMax"/>
          <c:max val="0.05"/>
          <c:min val="-0.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DR%</a:t>
                </a:r>
              </a:p>
            </c:rich>
          </c:tx>
          <c:layout/>
          <c:overlay val="0"/>
        </c:title>
        <c:numFmt formatCode="0.00%" sourceLinked="0"/>
        <c:majorTickMark val="in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2099200"/>
        <c:crosses val="autoZero"/>
        <c:crossBetween val="midCat"/>
        <c:majorUnit val="2.5000000000000012E-2"/>
      </c:valAx>
      <c:valAx>
        <c:axId val="162099200"/>
        <c:scaling>
          <c:orientation val="minMax"/>
          <c:max val="22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crossAx val="161894400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0.01472</cdr:x>
      <cdr:y>0.03789</cdr:y>
    </cdr:from>
    <cdr:to>
      <cdr:x>0.20216</cdr:x>
      <cdr:y>0.95129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567" y="238125"/>
          <a:ext cx="1624353" cy="5740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0.02159</cdr:x>
      <cdr:y>0.01759</cdr:y>
    </cdr:from>
    <cdr:to>
      <cdr:x>0.20314</cdr:x>
      <cdr:y>0.95805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7098" y="110558"/>
          <a:ext cx="1573326" cy="5910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0.30128</cdr:x>
      <cdr:y>0.9797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-25513" y="-25513"/>
          <a:ext cx="2610871" cy="6157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1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2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3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4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5</a:t>
          </a:r>
        </a:p>
        <a:p xmlns:a="http://schemas.openxmlformats.org/drawingml/2006/main">
          <a:endParaRPr lang="en-US" sz="50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6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Experiment 7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Bem 2011, Exp 8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Bem 2011, Exp 9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Milyavsky 2010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Pedersen et al 2012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Platzer 2012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Ritchie et al 2012, Exp 1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Ritchie et al 2012, Exp 2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Ritchie et al 2012, Exp 3</a:t>
          </a:r>
        </a:p>
        <a:p xmlns:a="http://schemas.openxmlformats.org/drawingml/2006/main">
          <a:endParaRPr lang="en-US" sz="5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Robinson 2011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Subbotsky 2012, Exp 1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Subbotsky 2012, Exp 2</a:t>
          </a:r>
        </a:p>
        <a:p xmlns:a="http://schemas.openxmlformats.org/drawingml/2006/main">
          <a:endParaRPr lang="en-US" sz="6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Tressoldi, Masserdotti, &amp; Marana 2012</a:t>
          </a:r>
        </a:p>
        <a:p xmlns:a="http://schemas.openxmlformats.org/drawingml/2006/main">
          <a:endParaRPr lang="en-US" sz="7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endParaRPr lang="en-US" sz="7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endParaRPr lang="en-US" sz="7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endParaRPr lang="en-US" sz="200">
            <a:latin typeface="Times New Roman" pitchFamily="18" charset="0"/>
            <a:ea typeface="+mn-ea"/>
            <a:cs typeface="Times New Roman" pitchFamily="18" charset="0"/>
          </a:endParaRPr>
        </a:p>
        <a:p xmlns:a="http://schemas.openxmlformats.org/drawingml/2006/main">
          <a:r>
            <a:rPr lang="en-US" sz="1200">
              <a:latin typeface="Times New Roman" pitchFamily="18" charset="0"/>
              <a:ea typeface="+mn-ea"/>
              <a:cs typeface="Times New Roman" pitchFamily="18" charset="0"/>
            </a:rPr>
            <a:t>Overall Effect</a:t>
          </a:r>
        </a:p>
      </cdr:txBody>
    </cdr:sp>
  </cdr:relSizeAnchor>
  <cdr:relSizeAnchor xmlns:cdr="http://schemas.openxmlformats.org/drawingml/2006/chartDrawing">
    <cdr:from>
      <cdr:x>0.62905</cdr:x>
      <cdr:y>0.86739</cdr:y>
    </cdr:from>
    <cdr:to>
      <cdr:x>0.64769</cdr:x>
      <cdr:y>0.8931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451362" y="5451362"/>
          <a:ext cx="161585" cy="16158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0.63788</cdr:x>
      <cdr:y>0</cdr:y>
    </cdr:from>
    <cdr:to>
      <cdr:x>0.63788</cdr:x>
      <cdr:y>0.92152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5527902" y="-204107"/>
          <a:ext cx="0" cy="57915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Normal="100" workbookViewId="0">
      <pane xSplit="2" ySplit="1" topLeftCell="C56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defaultRowHeight="14.4" outlineLevelRow="1" x14ac:dyDescent="0.3"/>
  <cols>
    <col min="2" max="2" width="35.33203125" customWidth="1"/>
    <col min="3" max="3" width="19.109375" style="7" customWidth="1"/>
    <col min="4" max="4" width="23.33203125" customWidth="1"/>
    <col min="5" max="5" width="10.33203125" style="4" bestFit="1" customWidth="1"/>
    <col min="6" max="7" width="10.33203125" style="4" customWidth="1"/>
    <col min="8" max="8" width="8.5546875" style="3" bestFit="1" customWidth="1"/>
    <col min="9" max="9" width="11.109375" style="3" customWidth="1"/>
    <col min="10" max="10" width="11.109375" style="3" bestFit="1" customWidth="1"/>
    <col min="11" max="11" width="13.6640625" style="3" bestFit="1" customWidth="1"/>
    <col min="12" max="12" width="14.6640625" style="3" customWidth="1"/>
    <col min="13" max="13" width="8.109375" style="3" customWidth="1"/>
    <col min="14" max="14" width="29.44140625" bestFit="1" customWidth="1"/>
    <col min="15" max="18" width="22.6640625" customWidth="1"/>
    <col min="19" max="19" width="33.33203125" bestFit="1" customWidth="1"/>
    <col min="20" max="20" width="13.6640625" customWidth="1"/>
    <col min="21" max="21" width="22.44140625" bestFit="1" customWidth="1"/>
    <col min="22" max="22" width="15" bestFit="1" customWidth="1"/>
    <col min="23" max="23" width="18.6640625" customWidth="1"/>
  </cols>
  <sheetData>
    <row r="1" spans="1:30" x14ac:dyDescent="0.3">
      <c r="B1" t="s">
        <v>0</v>
      </c>
      <c r="C1" s="7" t="s">
        <v>38</v>
      </c>
      <c r="D1" t="s">
        <v>1</v>
      </c>
      <c r="E1" s="4" t="s">
        <v>2</v>
      </c>
      <c r="F1" s="4" t="s">
        <v>39</v>
      </c>
      <c r="G1" s="4" t="s">
        <v>41</v>
      </c>
      <c r="H1" s="3" t="s">
        <v>3</v>
      </c>
      <c r="I1" s="3" t="s">
        <v>75</v>
      </c>
      <c r="J1" s="3" t="s">
        <v>43</v>
      </c>
      <c r="K1" s="3" t="s">
        <v>42</v>
      </c>
      <c r="L1" s="3" t="s">
        <v>54</v>
      </c>
      <c r="M1" t="s">
        <v>8</v>
      </c>
      <c r="N1" s="3" t="s">
        <v>78</v>
      </c>
      <c r="O1" s="3" t="s">
        <v>80</v>
      </c>
      <c r="P1" s="3" t="s">
        <v>81</v>
      </c>
      <c r="Q1" s="3" t="s">
        <v>79</v>
      </c>
      <c r="R1" s="3" t="s">
        <v>54</v>
      </c>
      <c r="S1" t="s">
        <v>4</v>
      </c>
      <c r="T1" t="s">
        <v>5</v>
      </c>
      <c r="U1" t="s">
        <v>32</v>
      </c>
      <c r="V1" t="s">
        <v>6</v>
      </c>
      <c r="W1" t="s">
        <v>7</v>
      </c>
      <c r="X1" t="s">
        <v>27</v>
      </c>
      <c r="Y1" t="s">
        <v>26</v>
      </c>
    </row>
    <row r="2" spans="1:30" s="9" customFormat="1" x14ac:dyDescent="0.3">
      <c r="A2" s="9">
        <f>E2*K2</f>
        <v>-1.2006044932529358</v>
      </c>
      <c r="B2" s="9" t="s">
        <v>15</v>
      </c>
      <c r="C2" s="10">
        <v>8</v>
      </c>
      <c r="D2" s="9">
        <v>112</v>
      </c>
      <c r="E2" s="11">
        <v>-1.21E-2</v>
      </c>
      <c r="F2" s="11">
        <v>0.10665824105703101</v>
      </c>
      <c r="G2" s="12">
        <f>F2/SQRT(D2)</f>
        <v>1.0078256468302961E-2</v>
      </c>
      <c r="H2" s="22">
        <v>-0.11</v>
      </c>
      <c r="I2" s="9">
        <f>H2*(1-(3/(4*D2-9)))</f>
        <v>-0.10924829157175399</v>
      </c>
      <c r="J2" s="13">
        <f>I2*K2</f>
        <v>-10.839999152169808</v>
      </c>
      <c r="K2" s="13">
        <f t="shared" ref="K2:K22" si="0">1/G2</f>
        <v>99.223511839085603</v>
      </c>
      <c r="L2" s="13">
        <f>K2*I2^2</f>
        <v>1.1842513880138132</v>
      </c>
      <c r="M2" s="14">
        <v>-5.2999999999999999E-2</v>
      </c>
      <c r="N2" s="13">
        <f>0.5*LN((1+M2)/(1-M2))</f>
        <v>-5.3049709473948652E-2</v>
      </c>
      <c r="O2" s="9">
        <f t="shared" ref="O2:O17" si="1">SQRT(1/(Q2))</f>
        <v>9.5782628522115137E-2</v>
      </c>
      <c r="P2" s="9">
        <f t="shared" ref="P2:P17" si="2">Q2*N2</f>
        <v>-5.7824183326604031</v>
      </c>
      <c r="Q2" s="9">
        <f t="shared" ref="Q2:Q17" si="3">D2-3</f>
        <v>109</v>
      </c>
      <c r="R2" s="9">
        <f t="shared" ref="R2:R17" si="4">Q2*N2^2</f>
        <v>0.30675561260446893</v>
      </c>
      <c r="S2" s="9" t="s">
        <v>21</v>
      </c>
      <c r="T2" s="9" t="s">
        <v>22</v>
      </c>
      <c r="U2" s="9" t="s">
        <v>22</v>
      </c>
      <c r="V2" s="9" t="s">
        <v>23</v>
      </c>
      <c r="W2" s="9" t="s">
        <v>13</v>
      </c>
      <c r="AC2" s="9">
        <v>0</v>
      </c>
      <c r="AD2" s="9">
        <v>0</v>
      </c>
    </row>
    <row r="3" spans="1:30" x14ac:dyDescent="0.3">
      <c r="A3" s="9">
        <f t="shared" ref="A3:A20" si="5">E3*K3</f>
        <v>0</v>
      </c>
      <c r="B3" t="s">
        <v>16</v>
      </c>
      <c r="C3" s="7">
        <v>8</v>
      </c>
      <c r="D3">
        <v>158</v>
      </c>
      <c r="E3" s="1">
        <v>0</v>
      </c>
      <c r="F3" s="1">
        <v>9.7368723882220995E-2</v>
      </c>
      <c r="G3" s="4">
        <f t="shared" ref="G3:G22" si="6">F3/SQRT(D3)</f>
        <v>7.7462397535396276E-3</v>
      </c>
      <c r="H3" s="23">
        <v>0</v>
      </c>
      <c r="I3" s="16">
        <f t="shared" ref="I3:I22" si="7">H3*(1-(3/(4*D3-9)))</f>
        <v>0</v>
      </c>
      <c r="J3" s="20">
        <f t="shared" ref="J3:J22" si="8">I3*K3</f>
        <v>0</v>
      </c>
      <c r="K3" s="3">
        <f t="shared" si="0"/>
        <v>129.09489401526105</v>
      </c>
      <c r="L3" s="13">
        <f t="shared" ref="L3:L22" si="9">K3*I3^2</f>
        <v>0</v>
      </c>
      <c r="M3" s="2">
        <v>-5.8999999999999997E-2</v>
      </c>
      <c r="N3" s="13">
        <f t="shared" ref="N3:N17" si="10">0.5*LN((1+M3)/(1-M3))</f>
        <v>-5.9068603008013372E-2</v>
      </c>
      <c r="O3" s="9">
        <f t="shared" si="1"/>
        <v>8.0321932890249886E-2</v>
      </c>
      <c r="P3" s="9">
        <f t="shared" si="2"/>
        <v>-9.1556334662420724</v>
      </c>
      <c r="Q3" s="9">
        <f t="shared" si="3"/>
        <v>155</v>
      </c>
      <c r="R3" s="9">
        <f t="shared" si="4"/>
        <v>0.54081047850433439</v>
      </c>
      <c r="S3" t="s">
        <v>21</v>
      </c>
      <c r="T3" t="s">
        <v>22</v>
      </c>
      <c r="U3" t="s">
        <v>22</v>
      </c>
      <c r="V3" t="s">
        <v>23</v>
      </c>
      <c r="W3" t="s">
        <v>24</v>
      </c>
      <c r="AC3" s="9">
        <v>0</v>
      </c>
      <c r="AD3" s="9">
        <v>0</v>
      </c>
    </row>
    <row r="4" spans="1:30" x14ac:dyDescent="0.3">
      <c r="A4" s="9">
        <f t="shared" si="5"/>
        <v>1.2715049664840559</v>
      </c>
      <c r="B4" t="s">
        <v>17</v>
      </c>
      <c r="C4" s="7">
        <v>8</v>
      </c>
      <c r="D4">
        <v>124</v>
      </c>
      <c r="E4" s="1">
        <v>1.17E-2</v>
      </c>
      <c r="F4" s="1">
        <v>0.10246573118034</v>
      </c>
      <c r="G4" s="4">
        <f t="shared" si="6"/>
        <v>9.201694298019647E-3</v>
      </c>
      <c r="H4" s="24">
        <v>0.11</v>
      </c>
      <c r="I4" s="16">
        <f t="shared" si="7"/>
        <v>0.1093223819301848</v>
      </c>
      <c r="J4" s="20">
        <f t="shared" si="8"/>
        <v>11.880679621546733</v>
      </c>
      <c r="K4" s="3">
        <f t="shared" si="0"/>
        <v>108.67563816103042</v>
      </c>
      <c r="L4" s="13">
        <f t="shared" si="9"/>
        <v>1.2988241951768955</v>
      </c>
      <c r="M4" s="2">
        <v>-0.03</v>
      </c>
      <c r="N4" s="13">
        <f t="shared" si="10"/>
        <v>-3.000900486312652E-2</v>
      </c>
      <c r="O4" s="9">
        <f t="shared" si="1"/>
        <v>9.0909090909090912E-2</v>
      </c>
      <c r="P4" s="9">
        <f t="shared" si="2"/>
        <v>-3.631089588438309</v>
      </c>
      <c r="Q4" s="9">
        <f t="shared" si="3"/>
        <v>121</v>
      </c>
      <c r="R4" s="9">
        <f t="shared" si="4"/>
        <v>0.10896538511789329</v>
      </c>
      <c r="S4" t="s">
        <v>10</v>
      </c>
      <c r="T4" t="s">
        <v>22</v>
      </c>
      <c r="U4" t="s">
        <v>22</v>
      </c>
      <c r="V4" t="s">
        <v>23</v>
      </c>
      <c r="W4" t="s">
        <v>24</v>
      </c>
      <c r="AC4" s="9">
        <v>0</v>
      </c>
      <c r="AD4" s="9">
        <v>0</v>
      </c>
    </row>
    <row r="5" spans="1:30" x14ac:dyDescent="0.3">
      <c r="A5" s="9">
        <f t="shared" si="5"/>
        <v>1.7696825187993421</v>
      </c>
      <c r="B5" t="s">
        <v>18</v>
      </c>
      <c r="C5" s="7">
        <v>9</v>
      </c>
      <c r="D5">
        <v>109</v>
      </c>
      <c r="E5" s="1">
        <v>1.5900000000000001E-2</v>
      </c>
      <c r="F5" s="1">
        <v>9.3802629414174596E-2</v>
      </c>
      <c r="G5" s="4">
        <f t="shared" si="6"/>
        <v>8.9846624075755159E-3</v>
      </c>
      <c r="H5" s="24">
        <v>0.17</v>
      </c>
      <c r="I5" s="16">
        <f t="shared" si="7"/>
        <v>0.16880562060889931</v>
      </c>
      <c r="J5" s="20">
        <f t="shared" si="8"/>
        <v>18.78819848217881</v>
      </c>
      <c r="K5" s="3">
        <f t="shared" si="0"/>
        <v>111.30078734587057</v>
      </c>
      <c r="L5" s="13">
        <f t="shared" si="9"/>
        <v>3.171553504907374</v>
      </c>
      <c r="M5" s="2">
        <v>-0.107</v>
      </c>
      <c r="N5" s="13">
        <f t="shared" si="10"/>
        <v>-0.1074111759160689</v>
      </c>
      <c r="O5" s="9">
        <f t="shared" si="1"/>
        <v>9.7128586235726413E-2</v>
      </c>
      <c r="P5" s="9">
        <f t="shared" si="2"/>
        <v>-11.385584647103304</v>
      </c>
      <c r="Q5" s="9">
        <f t="shared" si="3"/>
        <v>106</v>
      </c>
      <c r="R5" s="9">
        <f t="shared" si="4"/>
        <v>1.2229390354373062</v>
      </c>
      <c r="S5" t="s">
        <v>10</v>
      </c>
      <c r="T5" t="s">
        <v>22</v>
      </c>
      <c r="U5" t="s">
        <v>22</v>
      </c>
      <c r="V5" t="s">
        <v>23</v>
      </c>
      <c r="W5" t="s">
        <v>24</v>
      </c>
      <c r="AC5" s="9">
        <v>0</v>
      </c>
      <c r="AD5" s="9">
        <v>0</v>
      </c>
    </row>
    <row r="6" spans="1:30" x14ac:dyDescent="0.3">
      <c r="A6" s="9">
        <f t="shared" si="5"/>
        <v>-0.71002418541327705</v>
      </c>
      <c r="B6" t="s">
        <v>19</v>
      </c>
      <c r="C6" s="7">
        <v>9</v>
      </c>
      <c r="D6">
        <v>211</v>
      </c>
      <c r="E6" s="1">
        <v>-4.8999999999999998E-3</v>
      </c>
      <c r="F6" s="1">
        <v>0.100245333594668</v>
      </c>
      <c r="G6" s="4">
        <f t="shared" si="6"/>
        <v>6.9011733693943172E-3</v>
      </c>
      <c r="H6" s="24">
        <v>-0.05</v>
      </c>
      <c r="I6" s="16">
        <f t="shared" si="7"/>
        <v>-4.9820359281437132E-2</v>
      </c>
      <c r="J6" s="20">
        <f t="shared" si="8"/>
        <v>-7.2191142889386111</v>
      </c>
      <c r="K6" s="3">
        <f t="shared" si="0"/>
        <v>144.90289498230143</v>
      </c>
      <c r="L6" s="13">
        <f t="shared" si="9"/>
        <v>0.35965886756867815</v>
      </c>
      <c r="M6" s="2">
        <v>-0.13</v>
      </c>
      <c r="N6" s="13">
        <f t="shared" si="10"/>
        <v>-0.13073985002887836</v>
      </c>
      <c r="O6" s="9">
        <f t="shared" si="1"/>
        <v>6.9337524528153643E-2</v>
      </c>
      <c r="P6" s="9">
        <f t="shared" si="2"/>
        <v>-27.193888806006701</v>
      </c>
      <c r="Q6" s="9">
        <f t="shared" si="3"/>
        <v>208</v>
      </c>
      <c r="R6" s="9">
        <f t="shared" si="4"/>
        <v>3.5553249441993096</v>
      </c>
      <c r="S6" t="s">
        <v>10</v>
      </c>
      <c r="T6" t="s">
        <v>22</v>
      </c>
      <c r="U6" t="s">
        <v>22</v>
      </c>
      <c r="V6" t="s">
        <v>23</v>
      </c>
      <c r="W6" t="s">
        <v>24</v>
      </c>
      <c r="AC6" s="9">
        <v>0</v>
      </c>
      <c r="AD6" s="9">
        <v>0</v>
      </c>
    </row>
    <row r="7" spans="1:30" x14ac:dyDescent="0.3">
      <c r="A7" s="9">
        <f t="shared" si="5"/>
        <v>-0.33130596773393334</v>
      </c>
      <c r="B7" t="s">
        <v>20</v>
      </c>
      <c r="C7" s="7">
        <v>9</v>
      </c>
      <c r="D7">
        <v>106</v>
      </c>
      <c r="E7" s="1">
        <v>-2.8999999999999998E-3</v>
      </c>
      <c r="F7" s="1">
        <v>9.0120101406806694E-2</v>
      </c>
      <c r="G7" s="4">
        <f t="shared" si="6"/>
        <v>8.7532380410634339E-3</v>
      </c>
      <c r="H7" s="24">
        <v>-0.03</v>
      </c>
      <c r="I7" s="16">
        <f t="shared" si="7"/>
        <v>-2.9783132530120479E-2</v>
      </c>
      <c r="J7" s="20">
        <f t="shared" si="8"/>
        <v>-3.4025274293239849</v>
      </c>
      <c r="K7" s="3">
        <f t="shared" si="0"/>
        <v>114.24343714963219</v>
      </c>
      <c r="L7" s="13">
        <f t="shared" si="9"/>
        <v>0.10133792536492638</v>
      </c>
      <c r="M7">
        <v>-6.2E-2</v>
      </c>
      <c r="N7" s="13">
        <f t="shared" si="10"/>
        <v>-6.2079626397829796E-2</v>
      </c>
      <c r="O7" s="9">
        <f t="shared" si="1"/>
        <v>9.8532927816429305E-2</v>
      </c>
      <c r="P7" s="9">
        <f t="shared" si="2"/>
        <v>-6.3942015189764687</v>
      </c>
      <c r="Q7" s="9">
        <f t="shared" si="3"/>
        <v>103</v>
      </c>
      <c r="R7" s="9">
        <f t="shared" si="4"/>
        <v>0.39694964141049499</v>
      </c>
      <c r="S7" t="s">
        <v>21</v>
      </c>
      <c r="T7" t="s">
        <v>22</v>
      </c>
      <c r="U7" t="s">
        <v>22</v>
      </c>
      <c r="V7" t="s">
        <v>23</v>
      </c>
      <c r="W7" t="s">
        <v>24</v>
      </c>
      <c r="AC7" s="9">
        <v>0</v>
      </c>
      <c r="AD7" s="9">
        <v>0</v>
      </c>
    </row>
    <row r="8" spans="1:30" s="26" customFormat="1" x14ac:dyDescent="0.3">
      <c r="A8" s="9">
        <f t="shared" si="5"/>
        <v>-0.2217452292136384</v>
      </c>
      <c r="B8" s="26" t="s">
        <v>76</v>
      </c>
      <c r="C8" s="27">
        <v>8</v>
      </c>
      <c r="D8" s="28">
        <v>2469</v>
      </c>
      <c r="E8" s="29">
        <v>-4.8999999999999998E-4</v>
      </c>
      <c r="F8" s="29">
        <v>0.10979999999999999</v>
      </c>
      <c r="G8" s="30">
        <f t="shared" ref="G8" si="11">F8/SQRT(D8)</f>
        <v>2.209743144137338E-3</v>
      </c>
      <c r="H8" s="31">
        <f>E8/F8</f>
        <v>-4.4626593806921678E-3</v>
      </c>
      <c r="I8" s="26">
        <f t="shared" ref="I8" si="12">H8*(1-(3/(4*D8-9)))</f>
        <v>-4.4613025368549246E-3</v>
      </c>
      <c r="J8" s="32">
        <f t="shared" ref="J8" si="13">I8*K8</f>
        <v>-2.0189235788291464</v>
      </c>
      <c r="K8" s="32">
        <f t="shared" ref="K8" si="14">1/G8</f>
        <v>452.54128410946612</v>
      </c>
      <c r="L8" s="32">
        <f t="shared" ref="L8" si="15">K8*I8^2</f>
        <v>9.0070288839466939E-3</v>
      </c>
      <c r="M8" s="26">
        <v>-0.02</v>
      </c>
      <c r="N8" s="13">
        <f t="shared" si="10"/>
        <v>-2.0002667306849624E-2</v>
      </c>
      <c r="O8" s="9">
        <f t="shared" si="1"/>
        <v>2.0137403111005897E-2</v>
      </c>
      <c r="P8" s="9">
        <f t="shared" si="2"/>
        <v>-49.326577578691172</v>
      </c>
      <c r="Q8" s="9">
        <f t="shared" si="3"/>
        <v>2466</v>
      </c>
      <c r="R8" s="9">
        <f t="shared" si="4"/>
        <v>0.98666312069206752</v>
      </c>
      <c r="S8" s="33" t="s">
        <v>21</v>
      </c>
      <c r="T8" s="33" t="s">
        <v>22</v>
      </c>
      <c r="U8" s="33" t="s">
        <v>22</v>
      </c>
      <c r="V8" s="33" t="s">
        <v>23</v>
      </c>
      <c r="W8" s="33" t="s">
        <v>24</v>
      </c>
      <c r="Y8" s="34"/>
      <c r="AC8" s="9">
        <v>0</v>
      </c>
      <c r="AD8" s="9">
        <v>0</v>
      </c>
    </row>
    <row r="9" spans="1:30" s="9" customFormat="1" x14ac:dyDescent="0.3">
      <c r="A9" s="9">
        <f t="shared" si="5"/>
        <v>1.9315730326542511</v>
      </c>
      <c r="B9" s="9" t="s">
        <v>9</v>
      </c>
      <c r="C9" s="10">
        <v>8</v>
      </c>
      <c r="D9" s="9">
        <v>100</v>
      </c>
      <c r="E9" s="11">
        <v>2.2700000000000001E-2</v>
      </c>
      <c r="F9" s="11">
        <v>0.11752079582933</v>
      </c>
      <c r="G9" s="12">
        <f t="shared" si="6"/>
        <v>1.1752079582933001E-2</v>
      </c>
      <c r="H9" s="22">
        <v>0.19</v>
      </c>
      <c r="I9" s="9">
        <f t="shared" si="7"/>
        <v>0.18854219948849105</v>
      </c>
      <c r="J9" s="13">
        <f t="shared" si="8"/>
        <v>16.043305200409137</v>
      </c>
      <c r="K9" s="13">
        <f t="shared" si="0"/>
        <v>85.09132302441634</v>
      </c>
      <c r="L9" s="13">
        <f t="shared" si="9"/>
        <v>3.0248400495502854</v>
      </c>
      <c r="M9" s="9">
        <v>0.22</v>
      </c>
      <c r="N9" s="13">
        <f t="shared" si="10"/>
        <v>0.22365610902183242</v>
      </c>
      <c r="O9" s="9">
        <f t="shared" si="1"/>
        <v>0.1015346165133619</v>
      </c>
      <c r="P9" s="9">
        <f t="shared" si="2"/>
        <v>21.694642575117744</v>
      </c>
      <c r="Q9" s="9">
        <f t="shared" si="3"/>
        <v>97</v>
      </c>
      <c r="R9" s="9">
        <f t="shared" si="4"/>
        <v>4.8521393449702215</v>
      </c>
      <c r="S9" s="9" t="s">
        <v>10</v>
      </c>
      <c r="T9" s="9" t="s">
        <v>11</v>
      </c>
      <c r="U9" s="9" t="s">
        <v>11</v>
      </c>
      <c r="V9" s="9" t="s">
        <v>12</v>
      </c>
      <c r="W9" s="9" t="s">
        <v>13</v>
      </c>
      <c r="AC9" s="9">
        <v>1</v>
      </c>
      <c r="AD9" s="9">
        <v>1</v>
      </c>
    </row>
    <row r="10" spans="1:30" s="9" customFormat="1" x14ac:dyDescent="0.3">
      <c r="A10" s="9">
        <f t="shared" si="5"/>
        <v>2.9756378332868709</v>
      </c>
      <c r="B10" s="9" t="s">
        <v>14</v>
      </c>
      <c r="C10" s="10">
        <v>9</v>
      </c>
      <c r="D10" s="9">
        <v>50</v>
      </c>
      <c r="E10" s="11">
        <v>4.2099999999999999E-2</v>
      </c>
      <c r="F10" s="11">
        <v>0.100043073639344</v>
      </c>
      <c r="G10" s="12">
        <f t="shared" si="6"/>
        <v>1.4148227156225057E-2</v>
      </c>
      <c r="H10" s="22">
        <v>0.42</v>
      </c>
      <c r="I10" s="9">
        <f t="shared" si="7"/>
        <v>0.41340314136125655</v>
      </c>
      <c r="J10" s="13">
        <f t="shared" si="8"/>
        <v>29.219430589885881</v>
      </c>
      <c r="K10" s="13">
        <f t="shared" si="0"/>
        <v>70.680233569759409</v>
      </c>
      <c r="L10" s="13">
        <f t="shared" si="9"/>
        <v>12.079404394646017</v>
      </c>
      <c r="M10" s="14">
        <v>-0.1</v>
      </c>
      <c r="N10" s="13">
        <f t="shared" si="10"/>
        <v>-0.10033534773107562</v>
      </c>
      <c r="O10" s="9">
        <f t="shared" si="1"/>
        <v>0.14586499149789456</v>
      </c>
      <c r="P10" s="9">
        <f t="shared" si="2"/>
        <v>-4.7157613433605539</v>
      </c>
      <c r="Q10" s="9">
        <f t="shared" si="3"/>
        <v>47</v>
      </c>
      <c r="R10" s="9">
        <f t="shared" si="4"/>
        <v>0.47315755420284555</v>
      </c>
      <c r="S10" s="9" t="s">
        <v>10</v>
      </c>
      <c r="T10" s="9" t="s">
        <v>11</v>
      </c>
      <c r="U10" s="9" t="s">
        <v>11</v>
      </c>
      <c r="V10" s="9" t="s">
        <v>12</v>
      </c>
      <c r="W10" s="9" t="s">
        <v>13</v>
      </c>
      <c r="AC10" s="9">
        <v>1</v>
      </c>
      <c r="AD10" s="9">
        <v>1</v>
      </c>
    </row>
    <row r="11" spans="1:30" s="9" customFormat="1" x14ac:dyDescent="0.3">
      <c r="A11" s="9">
        <f t="shared" si="5"/>
        <v>-7.7149655196884756E-2</v>
      </c>
      <c r="B11" s="9" t="s">
        <v>25</v>
      </c>
      <c r="C11" s="10">
        <v>9</v>
      </c>
      <c r="D11" s="9">
        <v>58</v>
      </c>
      <c r="E11" s="11">
        <v>-1.4E-3</v>
      </c>
      <c r="F11" s="11">
        <v>0.13819999999999999</v>
      </c>
      <c r="G11" s="12">
        <f t="shared" si="6"/>
        <v>1.8146549021213654E-2</v>
      </c>
      <c r="H11" s="22">
        <v>-0.01</v>
      </c>
      <c r="I11" s="9">
        <f t="shared" si="7"/>
        <v>-9.8654708520179366E-3</v>
      </c>
      <c r="J11" s="13">
        <f t="shared" si="8"/>
        <v>-0.54365548184864332</v>
      </c>
      <c r="K11" s="13">
        <f t="shared" si="0"/>
        <v>55.1068965692034</v>
      </c>
      <c r="L11" s="13">
        <f t="shared" si="9"/>
        <v>5.3634173097175577E-3</v>
      </c>
      <c r="M11" s="9">
        <v>-0.12</v>
      </c>
      <c r="N11" s="13">
        <f t="shared" si="10"/>
        <v>-0.12058102840844405</v>
      </c>
      <c r="O11" s="9">
        <f t="shared" si="1"/>
        <v>0.13483997249264842</v>
      </c>
      <c r="P11" s="9">
        <f t="shared" si="2"/>
        <v>-6.6319565624644223</v>
      </c>
      <c r="Q11" s="9">
        <f t="shared" si="3"/>
        <v>55</v>
      </c>
      <c r="R11" s="9">
        <f t="shared" si="4"/>
        <v>0.79968814266208943</v>
      </c>
      <c r="S11" s="9" t="s">
        <v>10</v>
      </c>
      <c r="T11" s="9" t="s">
        <v>22</v>
      </c>
      <c r="U11" s="9" t="s">
        <v>11</v>
      </c>
      <c r="V11" s="9" t="s">
        <v>23</v>
      </c>
      <c r="W11" s="9" t="s">
        <v>13</v>
      </c>
      <c r="X11" s="9" t="s">
        <v>28</v>
      </c>
      <c r="Y11" s="9" t="s">
        <v>64</v>
      </c>
      <c r="AC11" s="9">
        <v>0</v>
      </c>
      <c r="AD11" s="9">
        <v>0</v>
      </c>
    </row>
    <row r="12" spans="1:30" x14ac:dyDescent="0.3">
      <c r="A12" s="9">
        <f t="shared" si="5"/>
        <v>1.8454012214100113</v>
      </c>
      <c r="B12" t="s">
        <v>73</v>
      </c>
      <c r="C12" s="7">
        <v>9</v>
      </c>
      <c r="D12">
        <v>96</v>
      </c>
      <c r="E12" s="1">
        <v>1.8100000000000002E-2</v>
      </c>
      <c r="F12" s="1">
        <v>9.6100000000000005E-2</v>
      </c>
      <c r="G12" s="4">
        <f>F12/SQRT(D12)</f>
        <v>9.8081651783943104E-3</v>
      </c>
      <c r="H12" s="24">
        <f>E12/F12</f>
        <v>0.18834547346514049</v>
      </c>
      <c r="I12" s="16">
        <f t="shared" si="7"/>
        <v>0.18683870967741936</v>
      </c>
      <c r="J12" s="20">
        <f t="shared" si="8"/>
        <v>19.049302930683986</v>
      </c>
      <c r="K12" s="3">
        <f t="shared" si="0"/>
        <v>101.95586858618846</v>
      </c>
      <c r="L12" s="13">
        <f t="shared" si="9"/>
        <v>3.5591471798232792</v>
      </c>
      <c r="M12" s="2">
        <v>0</v>
      </c>
      <c r="N12" s="13">
        <f t="shared" si="10"/>
        <v>0</v>
      </c>
      <c r="O12" s="9">
        <f t="shared" si="1"/>
        <v>0.10369516947304253</v>
      </c>
      <c r="P12" s="9">
        <f t="shared" si="2"/>
        <v>0</v>
      </c>
      <c r="Q12" s="9">
        <f t="shared" si="3"/>
        <v>93</v>
      </c>
      <c r="R12" s="9">
        <f t="shared" si="4"/>
        <v>0</v>
      </c>
      <c r="S12" t="s">
        <v>10</v>
      </c>
      <c r="T12" t="s">
        <v>22</v>
      </c>
      <c r="U12" t="s">
        <v>11</v>
      </c>
      <c r="V12" t="s">
        <v>12</v>
      </c>
      <c r="W12" t="s">
        <v>24</v>
      </c>
      <c r="X12" t="s">
        <v>72</v>
      </c>
      <c r="AC12" s="9">
        <v>0</v>
      </c>
      <c r="AD12" s="9">
        <v>1</v>
      </c>
    </row>
    <row r="13" spans="1:30" x14ac:dyDescent="0.3">
      <c r="A13" s="9">
        <f t="shared" si="5"/>
        <v>1.1095003013231146</v>
      </c>
      <c r="B13" t="s">
        <v>69</v>
      </c>
      <c r="C13" s="7">
        <v>9</v>
      </c>
      <c r="D13">
        <v>98</v>
      </c>
      <c r="E13" s="1">
        <v>1.29E-2</v>
      </c>
      <c r="F13" s="1">
        <v>0.11509999999999999</v>
      </c>
      <c r="G13" s="4">
        <f>F13/SQRT(D13)</f>
        <v>1.1626855787795945E-2</v>
      </c>
      <c r="H13" s="24">
        <f>E13/F13</f>
        <v>0.11207645525629888</v>
      </c>
      <c r="I13" s="16">
        <f t="shared" si="7"/>
        <v>0.11119857179476128</v>
      </c>
      <c r="J13" s="20">
        <f t="shared" si="8"/>
        <v>9.5639417762005934</v>
      </c>
      <c r="K13" s="3">
        <f t="shared" si="0"/>
        <v>86.00777529636548</v>
      </c>
      <c r="L13" s="13">
        <f t="shared" si="9"/>
        <v>1.0634966662417584</v>
      </c>
      <c r="M13">
        <v>-0.09</v>
      </c>
      <c r="N13" s="13">
        <f t="shared" si="10"/>
        <v>-9.0244187856146837E-2</v>
      </c>
      <c r="O13" s="9">
        <f t="shared" si="1"/>
        <v>0.10259783520851541</v>
      </c>
      <c r="P13" s="9">
        <f t="shared" si="2"/>
        <v>-8.5731978463339491</v>
      </c>
      <c r="Q13" s="9">
        <f t="shared" si="3"/>
        <v>95</v>
      </c>
      <c r="R13" s="9">
        <f t="shared" si="4"/>
        <v>0.77368127697247446</v>
      </c>
      <c r="S13" t="s">
        <v>10</v>
      </c>
      <c r="T13" t="s">
        <v>22</v>
      </c>
      <c r="U13" t="s">
        <v>22</v>
      </c>
      <c r="V13" t="s">
        <v>23</v>
      </c>
      <c r="W13" t="s">
        <v>24</v>
      </c>
      <c r="X13" t="s">
        <v>71</v>
      </c>
      <c r="Y13" s="8" t="s">
        <v>70</v>
      </c>
      <c r="AC13" s="9">
        <v>0</v>
      </c>
      <c r="AD13" s="9">
        <v>0</v>
      </c>
    </row>
    <row r="14" spans="1:30" x14ac:dyDescent="0.3">
      <c r="A14" s="9">
        <f t="shared" si="5"/>
        <v>0.10637394174619481</v>
      </c>
      <c r="B14" t="s">
        <v>29</v>
      </c>
      <c r="C14" s="7">
        <v>9</v>
      </c>
      <c r="D14">
        <v>50</v>
      </c>
      <c r="E14" s="1">
        <v>1.9E-3</v>
      </c>
      <c r="F14" s="1">
        <v>0.1263</v>
      </c>
      <c r="G14" s="4">
        <f t="shared" si="6"/>
        <v>1.7861517292772189E-2</v>
      </c>
      <c r="H14" s="24">
        <v>1.49E-2</v>
      </c>
      <c r="I14" s="16">
        <f t="shared" si="7"/>
        <v>1.4665968586387435E-2</v>
      </c>
      <c r="J14" s="20">
        <f t="shared" si="8"/>
        <v>0.82109309897889482</v>
      </c>
      <c r="K14" s="3">
        <f t="shared" si="0"/>
        <v>55.986285129576217</v>
      </c>
      <c r="L14" s="13">
        <f t="shared" si="9"/>
        <v>1.2042125596123979E-2</v>
      </c>
      <c r="M14">
        <v>0.15</v>
      </c>
      <c r="N14" s="13">
        <f t="shared" si="10"/>
        <v>0.15114043593646675</v>
      </c>
      <c r="O14" s="9">
        <f t="shared" si="1"/>
        <v>0.14586499149789456</v>
      </c>
      <c r="P14" s="9">
        <f t="shared" si="2"/>
        <v>7.103600489013937</v>
      </c>
      <c r="Q14" s="9">
        <f t="shared" si="3"/>
        <v>47</v>
      </c>
      <c r="R14" s="9">
        <f t="shared" si="4"/>
        <v>1.073641274628065</v>
      </c>
      <c r="S14" t="s">
        <v>10</v>
      </c>
      <c r="T14" t="s">
        <v>22</v>
      </c>
      <c r="U14" t="s">
        <v>11</v>
      </c>
      <c r="V14" t="s">
        <v>12</v>
      </c>
      <c r="W14" t="s">
        <v>24</v>
      </c>
      <c r="AC14" s="9">
        <v>0</v>
      </c>
      <c r="AD14" s="9">
        <v>1</v>
      </c>
    </row>
    <row r="15" spans="1:30" x14ac:dyDescent="0.3">
      <c r="A15" s="9">
        <f t="shared" si="5"/>
        <v>-1.5726332337100646</v>
      </c>
      <c r="B15" t="s">
        <v>31</v>
      </c>
      <c r="C15" s="7">
        <v>9</v>
      </c>
      <c r="D15">
        <v>50</v>
      </c>
      <c r="E15" s="1">
        <v>-2.7199999999999998E-2</v>
      </c>
      <c r="F15" s="1">
        <v>0.12230000000000001</v>
      </c>
      <c r="G15" s="4">
        <f t="shared" si="6"/>
        <v>1.7295831867822953E-2</v>
      </c>
      <c r="H15" s="24">
        <v>-0.22009999999999999</v>
      </c>
      <c r="I15" s="16">
        <f t="shared" si="7"/>
        <v>-0.21664293193717277</v>
      </c>
      <c r="J15" s="20">
        <f t="shared" si="8"/>
        <v>-12.525730684293583</v>
      </c>
      <c r="K15" s="3">
        <f t="shared" si="0"/>
        <v>57.817398298164143</v>
      </c>
      <c r="L15" s="13">
        <f t="shared" si="9"/>
        <v>2.713611020100771</v>
      </c>
      <c r="M15" s="2">
        <v>-0.19</v>
      </c>
      <c r="N15" s="13">
        <f t="shared" si="10"/>
        <v>-0.1923371692195453</v>
      </c>
      <c r="O15" s="9">
        <f t="shared" si="1"/>
        <v>0.14586499149789456</v>
      </c>
      <c r="P15" s="9">
        <f t="shared" si="2"/>
        <v>-9.0398469533186283</v>
      </c>
      <c r="Q15" s="9">
        <f t="shared" si="3"/>
        <v>47</v>
      </c>
      <c r="R15" s="9">
        <f t="shared" si="4"/>
        <v>1.7386985731792364</v>
      </c>
      <c r="S15" t="s">
        <v>10</v>
      </c>
      <c r="T15" t="s">
        <v>22</v>
      </c>
      <c r="U15" t="s">
        <v>11</v>
      </c>
      <c r="V15" t="s">
        <v>12</v>
      </c>
      <c r="W15" t="s">
        <v>24</v>
      </c>
      <c r="AC15" s="9">
        <v>0</v>
      </c>
      <c r="AD15" s="9">
        <v>1</v>
      </c>
    </row>
    <row r="16" spans="1:30" s="16" customFormat="1" x14ac:dyDescent="0.3">
      <c r="A16" s="9">
        <f t="shared" si="5"/>
        <v>-0.28740149480602495</v>
      </c>
      <c r="B16" s="16" t="s">
        <v>30</v>
      </c>
      <c r="C16" s="17">
        <v>9</v>
      </c>
      <c r="D16" s="16">
        <v>50</v>
      </c>
      <c r="E16" s="18">
        <v>-5.7999999999999996E-3</v>
      </c>
      <c r="F16" s="18">
        <v>0.14269999999999999</v>
      </c>
      <c r="G16" s="19">
        <f t="shared" si="6"/>
        <v>2.0180827535064064E-2</v>
      </c>
      <c r="H16" s="25">
        <v>-4.02E-2</v>
      </c>
      <c r="I16" s="16">
        <f t="shared" si="7"/>
        <v>-3.9568586387434559E-2</v>
      </c>
      <c r="J16" s="20">
        <f t="shared" si="8"/>
        <v>-1.9607018750189695</v>
      </c>
      <c r="K16" s="20">
        <f t="shared" si="0"/>
        <v>49.551981863107748</v>
      </c>
      <c r="L16" s="13">
        <f t="shared" si="9"/>
        <v>7.7582201521693012E-2</v>
      </c>
      <c r="M16" s="21">
        <v>-0.02</v>
      </c>
      <c r="N16" s="13">
        <f t="shared" si="10"/>
        <v>-2.0002667306849624E-2</v>
      </c>
      <c r="O16" s="9">
        <f t="shared" si="1"/>
        <v>0.14586499149789456</v>
      </c>
      <c r="P16" s="9">
        <f t="shared" si="2"/>
        <v>-0.94012536342193231</v>
      </c>
      <c r="Q16" s="9">
        <f t="shared" si="3"/>
        <v>47</v>
      </c>
      <c r="R16" s="9">
        <f t="shared" si="4"/>
        <v>1.8805014871260007E-2</v>
      </c>
      <c r="S16" s="16" t="s">
        <v>10</v>
      </c>
      <c r="T16" s="16" t="s">
        <v>22</v>
      </c>
      <c r="U16" s="16" t="s">
        <v>11</v>
      </c>
      <c r="V16" s="16" t="s">
        <v>12</v>
      </c>
      <c r="W16" s="16" t="s">
        <v>24</v>
      </c>
      <c r="AC16" s="9">
        <v>0</v>
      </c>
      <c r="AD16" s="9">
        <v>1</v>
      </c>
    </row>
    <row r="17" spans="1:31" s="9" customFormat="1" x14ac:dyDescent="0.3">
      <c r="A17" s="9">
        <f t="shared" si="5"/>
        <v>-0.8702852691526739</v>
      </c>
      <c r="B17" s="9" t="s">
        <v>36</v>
      </c>
      <c r="C17" s="10">
        <v>9</v>
      </c>
      <c r="D17" s="9">
        <v>50</v>
      </c>
      <c r="E17" s="11">
        <v>-1.6E-2</v>
      </c>
      <c r="F17" s="11">
        <v>0.13</v>
      </c>
      <c r="G17" s="12">
        <f>F17/SQRT(D17)</f>
        <v>1.8384776310850236E-2</v>
      </c>
      <c r="H17" s="22">
        <v>-0.12</v>
      </c>
      <c r="I17" s="9">
        <f>H17*(1-(3/(4*D17-9)))</f>
        <v>-0.1181151832460733</v>
      </c>
      <c r="J17" s="13">
        <f>I17*K17</f>
        <v>-6.424619002645394</v>
      </c>
      <c r="K17" s="13">
        <f t="shared" si="0"/>
        <v>54.392829322042118</v>
      </c>
      <c r="L17" s="13">
        <f>K17*I17^2</f>
        <v>0.75884505078366538</v>
      </c>
      <c r="M17" s="14">
        <v>-7.0000000000000007E-2</v>
      </c>
      <c r="N17" s="13">
        <f t="shared" si="10"/>
        <v>-7.0114670654325195E-2</v>
      </c>
      <c r="O17" s="9">
        <f t="shared" si="1"/>
        <v>0.14586499149789456</v>
      </c>
      <c r="P17" s="9">
        <f t="shared" si="2"/>
        <v>-3.2953895207532842</v>
      </c>
      <c r="Q17" s="9">
        <f t="shared" si="3"/>
        <v>47</v>
      </c>
      <c r="R17" s="9">
        <f t="shared" si="4"/>
        <v>0.23105515092533108</v>
      </c>
      <c r="S17" s="9" t="s">
        <v>10</v>
      </c>
      <c r="T17" s="9" t="s">
        <v>22</v>
      </c>
      <c r="U17" s="9" t="s">
        <v>11</v>
      </c>
      <c r="V17" s="9" t="s">
        <v>12</v>
      </c>
      <c r="W17" s="9" t="s">
        <v>13</v>
      </c>
      <c r="X17" s="9" t="s">
        <v>37</v>
      </c>
      <c r="AC17" s="9">
        <v>0</v>
      </c>
      <c r="AD17" s="9">
        <v>1</v>
      </c>
    </row>
    <row r="18" spans="1:31" s="9" customFormat="1" x14ac:dyDescent="0.3">
      <c r="A18" s="9">
        <f t="shared" si="5"/>
        <v>2.4464436045535138</v>
      </c>
      <c r="B18" s="9" t="s">
        <v>65</v>
      </c>
      <c r="C18" s="10">
        <v>9</v>
      </c>
      <c r="D18" s="9">
        <v>75</v>
      </c>
      <c r="E18" s="11">
        <v>3.1300000000000001E-2</v>
      </c>
      <c r="F18" s="11">
        <v>0.1108</v>
      </c>
      <c r="G18" s="12">
        <f t="shared" si="6"/>
        <v>1.2794081965242106E-2</v>
      </c>
      <c r="H18" s="22">
        <f>E18/F18</f>
        <v>0.28249097472924189</v>
      </c>
      <c r="I18" s="9">
        <f t="shared" si="7"/>
        <v>0.27957869663924972</v>
      </c>
      <c r="J18" s="13">
        <f t="shared" si="8"/>
        <v>21.852188957268353</v>
      </c>
      <c r="K18" s="13">
        <f t="shared" si="0"/>
        <v>78.161137525671364</v>
      </c>
      <c r="L18" s="13">
        <f t="shared" si="9"/>
        <v>6.1094065073876909</v>
      </c>
      <c r="N18" s="13"/>
      <c r="S18" s="9" t="s">
        <v>10</v>
      </c>
      <c r="T18" s="9" t="s">
        <v>22</v>
      </c>
      <c r="U18" s="9" t="s">
        <v>11</v>
      </c>
      <c r="V18" s="9" t="s">
        <v>23</v>
      </c>
      <c r="W18" s="9" t="s">
        <v>13</v>
      </c>
      <c r="X18" s="9" t="s">
        <v>62</v>
      </c>
      <c r="AC18" s="9">
        <v>0</v>
      </c>
      <c r="AD18" s="9">
        <v>0</v>
      </c>
    </row>
    <row r="19" spans="1:31" s="9" customFormat="1" x14ac:dyDescent="0.3">
      <c r="A19" s="9">
        <f t="shared" si="5"/>
        <v>-1.4502369668246444</v>
      </c>
      <c r="B19" s="9" t="s">
        <v>66</v>
      </c>
      <c r="C19" s="10">
        <v>9</v>
      </c>
      <c r="D19" s="9">
        <v>25</v>
      </c>
      <c r="E19" s="11">
        <v>-3.0599999999999999E-2</v>
      </c>
      <c r="F19" s="11">
        <v>0.1055</v>
      </c>
      <c r="G19" s="12">
        <f t="shared" si="6"/>
        <v>2.1100000000000001E-2</v>
      </c>
      <c r="H19" s="22">
        <f>E19/F19</f>
        <v>-0.29004739336492891</v>
      </c>
      <c r="I19" s="9">
        <f t="shared" si="7"/>
        <v>-0.28048539138586531</v>
      </c>
      <c r="J19" s="13">
        <f t="shared" si="8"/>
        <v>-13.293146511178451</v>
      </c>
      <c r="K19" s="13">
        <f t="shared" si="0"/>
        <v>47.393364928909953</v>
      </c>
      <c r="L19" s="13">
        <f t="shared" si="9"/>
        <v>3.7285334019375376</v>
      </c>
      <c r="N19" s="13"/>
      <c r="S19" s="9" t="s">
        <v>10</v>
      </c>
      <c r="T19" s="9" t="s">
        <v>22</v>
      </c>
      <c r="U19" s="9" t="s">
        <v>11</v>
      </c>
      <c r="V19" s="9" t="s">
        <v>23</v>
      </c>
      <c r="W19" s="9" t="s">
        <v>13</v>
      </c>
      <c r="X19" s="9" t="s">
        <v>62</v>
      </c>
      <c r="AC19" s="9">
        <v>0</v>
      </c>
      <c r="AD19" s="9">
        <v>0</v>
      </c>
    </row>
    <row r="20" spans="1:31" s="9" customFormat="1" x14ac:dyDescent="0.3">
      <c r="A20" s="9">
        <f t="shared" si="5"/>
        <v>1.9964507542147294</v>
      </c>
      <c r="B20" s="9" t="s">
        <v>67</v>
      </c>
      <c r="C20" s="10">
        <v>9</v>
      </c>
      <c r="D20" s="9">
        <v>100</v>
      </c>
      <c r="E20" s="11">
        <v>2.2499999999999999E-2</v>
      </c>
      <c r="F20" s="11">
        <v>0.11269999999999999</v>
      </c>
      <c r="G20" s="12">
        <f t="shared" si="6"/>
        <v>1.1269999999999999E-2</v>
      </c>
      <c r="H20" s="22">
        <f>E20/F20</f>
        <v>0.19964507542147295</v>
      </c>
      <c r="I20" s="9">
        <f t="shared" si="7"/>
        <v>0.19811327177373786</v>
      </c>
      <c r="J20" s="13">
        <f t="shared" si="8"/>
        <v>17.578817371227849</v>
      </c>
      <c r="K20" s="13">
        <f t="shared" si="0"/>
        <v>88.731144631765758</v>
      </c>
      <c r="L20" s="13">
        <f t="shared" si="9"/>
        <v>3.4825970233269672</v>
      </c>
      <c r="N20" s="13"/>
      <c r="S20" s="9" t="s">
        <v>10</v>
      </c>
      <c r="T20" s="9" t="s">
        <v>22</v>
      </c>
      <c r="U20" s="9" t="s">
        <v>11</v>
      </c>
      <c r="V20" s="9" t="s">
        <v>23</v>
      </c>
      <c r="W20" s="9" t="s">
        <v>13</v>
      </c>
      <c r="X20" s="9" t="s">
        <v>68</v>
      </c>
      <c r="Y20" s="15" t="s">
        <v>63</v>
      </c>
      <c r="AC20" s="9">
        <v>0</v>
      </c>
      <c r="AD20" s="9">
        <v>0</v>
      </c>
    </row>
    <row r="21" spans="1:31" s="26" customFormat="1" x14ac:dyDescent="0.3">
      <c r="A21" s="41">
        <f>SUM(A2:A20)</f>
        <v>8.7311816791680084</v>
      </c>
      <c r="C21" s="27"/>
      <c r="D21" s="28"/>
      <c r="E21" s="29"/>
      <c r="F21" s="29">
        <f>SUM(F2:F20)</f>
        <v>2.1177246300039156</v>
      </c>
      <c r="G21" s="30"/>
      <c r="H21" s="31"/>
      <c r="J21" s="32"/>
      <c r="K21" s="32">
        <f>SUM(K2:K20)</f>
        <v>1990.8586863478179</v>
      </c>
      <c r="L21" s="32"/>
      <c r="M21" s="32"/>
      <c r="N21" s="32"/>
      <c r="Y21" s="34"/>
      <c r="AC21" s="9">
        <v>0</v>
      </c>
      <c r="AD21" s="9">
        <v>0</v>
      </c>
    </row>
    <row r="22" spans="1:31" s="26" customFormat="1" x14ac:dyDescent="0.3">
      <c r="A22" s="41">
        <f>STDEV(E2:E20)</f>
        <v>1.8988309561411724E-2</v>
      </c>
      <c r="B22" s="26" t="s">
        <v>34</v>
      </c>
      <c r="C22" s="27">
        <v>8</v>
      </c>
      <c r="D22" s="26">
        <v>9</v>
      </c>
      <c r="E22" s="35">
        <v>-2.1000000000000001E-4</v>
      </c>
      <c r="F22" s="35">
        <v>6.2700000000000006E-2</v>
      </c>
      <c r="G22" s="12">
        <f t="shared" si="6"/>
        <v>2.0900000000000002E-2</v>
      </c>
      <c r="H22" s="22">
        <f>E22/F22</f>
        <v>-3.3492822966507177E-3</v>
      </c>
      <c r="I22" s="9">
        <f t="shared" si="7"/>
        <v>-2.9771398192450821E-3</v>
      </c>
      <c r="J22" s="13">
        <f t="shared" si="8"/>
        <v>-0.14244688130359243</v>
      </c>
      <c r="K22" s="13">
        <f t="shared" si="0"/>
        <v>47.846889952153106</v>
      </c>
      <c r="L22" s="13">
        <f t="shared" si="9"/>
        <v>4.2408428245620282E-4</v>
      </c>
      <c r="M22" s="36">
        <v>-0.59</v>
      </c>
      <c r="N22" s="13">
        <f t="shared" ref="N22" si="16">0.5*LN((1+M22)/(1-M22))</f>
        <v>-0.67766606775796179</v>
      </c>
      <c r="O22" s="9">
        <f t="shared" ref="O22" si="17">SQRT(1/(Q22))</f>
        <v>0.40824829046386302</v>
      </c>
      <c r="P22" s="9">
        <f t="shared" ref="P22" si="18">Q22*N22</f>
        <v>-4.0659964065477707</v>
      </c>
      <c r="Q22" s="9">
        <f t="shared" ref="Q22" si="19">D22-3</f>
        <v>6</v>
      </c>
      <c r="R22" s="9">
        <f t="shared" ref="R22" si="20">Q22*N22^2</f>
        <v>2.7553877963432307</v>
      </c>
      <c r="S22" s="26" t="s">
        <v>10</v>
      </c>
      <c r="T22" s="26" t="s">
        <v>22</v>
      </c>
      <c r="U22" s="26" t="s">
        <v>22</v>
      </c>
      <c r="V22" s="26" t="s">
        <v>23</v>
      </c>
      <c r="W22" s="26" t="s">
        <v>13</v>
      </c>
      <c r="X22" s="37" t="s">
        <v>33</v>
      </c>
      <c r="Y22" s="26" t="s">
        <v>35</v>
      </c>
      <c r="AC22" s="9">
        <v>0</v>
      </c>
      <c r="AD22" s="9">
        <v>0</v>
      </c>
    </row>
    <row r="23" spans="1:31" x14ac:dyDescent="0.3">
      <c r="A23">
        <f>A22/SQRT(19)</f>
        <v>4.3562169729926756E-3</v>
      </c>
      <c r="E23" s="1"/>
      <c r="F23" s="1"/>
      <c r="J23" s="24">
        <f>F21/K21</f>
        <v>1.0637242334305657E-3</v>
      </c>
      <c r="AD23">
        <f>CORREL(AC2:AC22,AD2:AD22)</f>
        <v>0.45883146774112354</v>
      </c>
    </row>
    <row r="24" spans="1:31" x14ac:dyDescent="0.3">
      <c r="E24" s="1"/>
      <c r="F24" s="1"/>
      <c r="J24" s="3">
        <f>STDEV(E2:E20)</f>
        <v>1.8988309561411724E-2</v>
      </c>
    </row>
    <row r="25" spans="1:31" x14ac:dyDescent="0.3">
      <c r="J25" s="3">
        <f>J24/SQRT(19)</f>
        <v>4.3562169729926756E-3</v>
      </c>
    </row>
    <row r="27" spans="1:31" x14ac:dyDescent="0.3">
      <c r="N27" s="3"/>
    </row>
    <row r="28" spans="1:31" outlineLevel="1" x14ac:dyDescent="0.3">
      <c r="B28" t="s">
        <v>85</v>
      </c>
      <c r="E28"/>
      <c r="F28" s="4" t="s">
        <v>59</v>
      </c>
      <c r="H28" s="4"/>
      <c r="N28" s="3"/>
      <c r="O28" s="3"/>
    </row>
    <row r="29" spans="1:31" outlineLevel="1" x14ac:dyDescent="0.3">
      <c r="C29" s="7" t="s">
        <v>61</v>
      </c>
      <c r="D29" s="4" t="s">
        <v>55</v>
      </c>
      <c r="E29" t="s">
        <v>46</v>
      </c>
      <c r="F29" s="4" t="s">
        <v>56</v>
      </c>
      <c r="G29" s="5" t="s">
        <v>57</v>
      </c>
      <c r="H29" s="7" t="s">
        <v>58</v>
      </c>
      <c r="I29" s="4" t="s">
        <v>74</v>
      </c>
      <c r="J29" s="4" t="s">
        <v>87</v>
      </c>
      <c r="K29" s="3" t="s">
        <v>60</v>
      </c>
      <c r="L29" s="5" t="s">
        <v>3</v>
      </c>
      <c r="M29" s="5" t="s">
        <v>50</v>
      </c>
      <c r="N29" s="4" t="s">
        <v>51</v>
      </c>
      <c r="O29" s="6" t="s">
        <v>52</v>
      </c>
      <c r="P29" s="6" t="s">
        <v>53</v>
      </c>
      <c r="Q29" t="s">
        <v>77</v>
      </c>
      <c r="R29" s="4" t="s">
        <v>82</v>
      </c>
      <c r="S29" t="s">
        <v>46</v>
      </c>
      <c r="T29" s="4" t="s">
        <v>83</v>
      </c>
      <c r="U29" s="5" t="s">
        <v>57</v>
      </c>
      <c r="V29" s="7" t="s">
        <v>58</v>
      </c>
      <c r="W29" s="4" t="s">
        <v>74</v>
      </c>
      <c r="X29" s="4" t="s">
        <v>87</v>
      </c>
      <c r="Y29" s="3" t="s">
        <v>60</v>
      </c>
      <c r="Z29" s="5" t="s">
        <v>40</v>
      </c>
      <c r="AA29" s="5" t="s">
        <v>84</v>
      </c>
      <c r="AB29" s="4" t="s">
        <v>51</v>
      </c>
      <c r="AC29" s="6" t="s">
        <v>52</v>
      </c>
      <c r="AD29" s="6" t="s">
        <v>53</v>
      </c>
      <c r="AE29" t="s">
        <v>77</v>
      </c>
    </row>
    <row r="30" spans="1:31" outlineLevel="1" x14ac:dyDescent="0.3">
      <c r="B30" t="s">
        <v>44</v>
      </c>
      <c r="C30" s="7">
        <f>$D$2+$D$3+$D$4+$D$9+$D$8</f>
        <v>2963</v>
      </c>
      <c r="D30" s="3">
        <f>J2+J3+J4+J9+J8</f>
        <v>15.065062090956914</v>
      </c>
      <c r="E30" s="3">
        <f>K2+K3+K4+K9+K8</f>
        <v>874.62665114925949</v>
      </c>
      <c r="F30" s="3">
        <f>L2+L3+L4+L9+L8</f>
        <v>5.5169226616249407</v>
      </c>
      <c r="G30" s="5">
        <f>F30-(D30^2/E30)</f>
        <v>5.2574335464622974</v>
      </c>
      <c r="H30" s="7">
        <v>4</v>
      </c>
      <c r="I30" s="4">
        <f>CHIINV(0.05,H30)</f>
        <v>9.4877290367811575</v>
      </c>
      <c r="J30" s="4">
        <f>CHIDIST(G30,H30)</f>
        <v>0.26188817129675235</v>
      </c>
      <c r="K30" s="3" t="str">
        <f>IF(G30&lt;=I30,"Homogenous","Heterogeneous")</f>
        <v>Homogenous</v>
      </c>
      <c r="L30" s="6">
        <f>D30/E30</f>
        <v>1.7224563270695468E-2</v>
      </c>
      <c r="M30" s="5">
        <f>SQRT(1/E30)</f>
        <v>3.3813384780724071E-2</v>
      </c>
      <c r="N30" s="4">
        <f>L30/M30</f>
        <v>0.50940074122702561</v>
      </c>
      <c r="O30" s="38">
        <f>L30-1.96*M30</f>
        <v>-4.9049670899523709E-2</v>
      </c>
      <c r="P30" s="38">
        <f>L30+1.96*M30</f>
        <v>8.3498797440914638E-2</v>
      </c>
      <c r="Q30" t="str">
        <f t="shared" ref="Q30:Q48" si="21">ROUND(O30,2)&amp;", "&amp;ROUND(P30,2)</f>
        <v>-0.05, 0.08</v>
      </c>
      <c r="R30" s="3">
        <f>P2+P3+P4+P9+P8</f>
        <v>-46.20107639091421</v>
      </c>
      <c r="S30" s="3">
        <f>Q2+Q3+Q4+Q9+Q8</f>
        <v>2948</v>
      </c>
      <c r="T30" s="3">
        <f>R2+R3+R4+R9+R8</f>
        <v>6.7953339418889858</v>
      </c>
      <c r="U30" s="5">
        <f>T30-(R30^2/S30)</f>
        <v>6.0712703531240297</v>
      </c>
      <c r="V30" s="7">
        <v>4</v>
      </c>
      <c r="W30" s="4">
        <f>CHIINV(0.05,V30)</f>
        <v>9.4877290367811575</v>
      </c>
      <c r="X30" s="4">
        <f>CHIDIST(U30,V30)</f>
        <v>0.19388860798228935</v>
      </c>
      <c r="Y30" s="3" t="str">
        <f>IF(U30&lt;=W30,"Homogenous","Heterogeneous")</f>
        <v>Homogenous</v>
      </c>
      <c r="Z30" s="6">
        <f>R30/S30</f>
        <v>-1.5672006916863709E-2</v>
      </c>
      <c r="AA30" s="5">
        <f>SQRT(1/S30)</f>
        <v>1.841773671709393E-2</v>
      </c>
      <c r="AB30" s="4">
        <f>Z30/AA30</f>
        <v>-0.85091926101420234</v>
      </c>
      <c r="AC30" s="38">
        <f>Z30-1.96*AA30</f>
        <v>-5.1770770882367811E-2</v>
      </c>
      <c r="AD30" s="38">
        <f>Z30+1.96*AA30</f>
        <v>2.0426757048640391E-2</v>
      </c>
      <c r="AE30" t="str">
        <f>ROUND(AC30,2)&amp;", "&amp;ROUND(AD30,2)</f>
        <v>-0.05, 0.02</v>
      </c>
    </row>
    <row r="31" spans="1:31" outlineLevel="1" x14ac:dyDescent="0.3">
      <c r="B31" t="s">
        <v>45</v>
      </c>
      <c r="C31" s="7">
        <f>D5+D6+D7+D10+D11+D14+D15+D16+D17+D18+D19+D20+D13+D12</f>
        <v>1128</v>
      </c>
      <c r="D31" s="3">
        <f>J5+J6+J7+J10+J11+J14+J15+J16+J17+J18+J19+J20+J13+J12</f>
        <v>71.503477933176725</v>
      </c>
      <c r="E31" s="3">
        <f>K5+K6+K7+K10+K11+K14+K15+K16+K17+K18+K19+K20+K13+K12</f>
        <v>1116.2320351985582</v>
      </c>
      <c r="F31" s="3">
        <f>L5+L6+L7+L10+L11+L14+L15+L16+L17+L18+L19+L20+L13+L12</f>
        <v>37.222579286516201</v>
      </c>
      <c r="G31" s="5">
        <f t="shared" ref="G31:G43" si="22">F31-(D31^2/E31)</f>
        <v>32.642216785424907</v>
      </c>
      <c r="H31" s="7">
        <v>13</v>
      </c>
      <c r="I31" s="4">
        <f>CHIINV(0.05,H31)</f>
        <v>22.362032494826938</v>
      </c>
      <c r="J31" s="4">
        <f>CHIDIST(G31,H31)</f>
        <v>1.9277529028801435E-3</v>
      </c>
      <c r="K31" s="3" t="str">
        <f>IF(G31&lt;=I31,"Homogenous","Heterogeneous")</f>
        <v>Heterogeneous</v>
      </c>
      <c r="L31" s="6">
        <f>D31/E31</f>
        <v>6.4057898069963121E-2</v>
      </c>
      <c r="M31" s="5">
        <f>SQRT(1/E31)</f>
        <v>2.9931105575670556E-2</v>
      </c>
      <c r="N31" s="4">
        <f>L31/M31</f>
        <v>2.1401781470455425</v>
      </c>
      <c r="O31" s="38">
        <f>L31-1.96*M31</f>
        <v>5.3929311416488351E-3</v>
      </c>
      <c r="P31" s="38">
        <f>L31+1.96*M31</f>
        <v>0.12272286499827741</v>
      </c>
      <c r="Q31" t="str">
        <f t="shared" si="21"/>
        <v>0.01, 0.12</v>
      </c>
      <c r="R31" s="3">
        <f>P5+P6+P7+P10+P11+P14+P15+P16+P17+P18+P19+P20+P13+P12</f>
        <v>-71.066352072725309</v>
      </c>
      <c r="S31" s="3">
        <f>Q5+Q6+Q7+Q10+Q11+Q14+Q15+Q16+Q17+Q18+Q19+Q20+Q13+Q12</f>
        <v>895</v>
      </c>
      <c r="T31" s="3">
        <f>R5+R6+R7+R10+R11+R14+R15+R16+R17+R18+R19+R20+R13+R12</f>
        <v>10.283940608488413</v>
      </c>
      <c r="U31" s="5">
        <f t="shared" ref="U31:U43" si="23">T31-(R31^2/S31)</f>
        <v>4.6410060867850067</v>
      </c>
      <c r="V31" s="7">
        <v>10</v>
      </c>
      <c r="W31" s="4">
        <f>CHIINV(0.05,V31)</f>
        <v>18.307038053275146</v>
      </c>
      <c r="X31" s="4">
        <f>CHIDIST(U31,V31)</f>
        <v>0.91383430354892492</v>
      </c>
      <c r="Y31" s="3" t="str">
        <f>IF(U31&lt;=W31,"Homogenous","Heterogeneous")</f>
        <v>Homogenous</v>
      </c>
      <c r="Z31" s="6">
        <f>R31/S31</f>
        <v>-7.9403745332653972E-2</v>
      </c>
      <c r="AA31" s="5">
        <f>SQRT(1/S31)</f>
        <v>3.3426313523243781E-2</v>
      </c>
      <c r="AB31" s="4">
        <f>Z31/AA31</f>
        <v>-2.3754861653361412</v>
      </c>
      <c r="AC31" s="38">
        <f>Z31-1.96*AA31</f>
        <v>-0.14491931983821177</v>
      </c>
      <c r="AD31" s="38">
        <f>Z31+1.96*AA31</f>
        <v>-1.3888170827096161E-2</v>
      </c>
      <c r="AE31" t="str">
        <f>ROUND(AC31,2)&amp;", "&amp;ROUND(AD31,2)</f>
        <v>-0.14, -0.01</v>
      </c>
    </row>
    <row r="32" spans="1:31" outlineLevel="1" x14ac:dyDescent="0.3">
      <c r="E32"/>
      <c r="G32" s="5"/>
      <c r="H32" s="7"/>
      <c r="I32" s="4"/>
      <c r="J32" s="4"/>
      <c r="L32" s="6">
        <f>L30-L31</f>
        <v>-4.6833334799267656E-2</v>
      </c>
      <c r="M32" s="5">
        <f>2*SQRT(M30^2+M31^2)</f>
        <v>9.0315360184439031E-2</v>
      </c>
      <c r="N32" s="4"/>
      <c r="O32" s="6">
        <f>L32-M32</f>
        <v>-0.13714869498370669</v>
      </c>
      <c r="P32" s="6">
        <f>L32+M32</f>
        <v>4.3482025385171374E-2</v>
      </c>
      <c r="Q32" s="8" t="str">
        <f t="shared" si="21"/>
        <v>-0.14, 0.04</v>
      </c>
      <c r="S32" s="38"/>
      <c r="U32" s="5"/>
      <c r="V32" s="7"/>
      <c r="W32" s="4"/>
      <c r="X32" s="4"/>
      <c r="Y32" s="3"/>
      <c r="Z32" s="6"/>
      <c r="AA32" s="5"/>
      <c r="AB32" s="4"/>
      <c r="AC32" s="38"/>
      <c r="AD32" s="38"/>
    </row>
    <row r="33" spans="2:31" outlineLevel="1" x14ac:dyDescent="0.3">
      <c r="B33" t="s">
        <v>11</v>
      </c>
      <c r="C33" s="7">
        <f>D9+D10</f>
        <v>150</v>
      </c>
      <c r="D33" s="3">
        <f>J9+J10</f>
        <v>45.262735790295018</v>
      </c>
      <c r="E33" s="3">
        <f>K9+K10</f>
        <v>155.77155659417576</v>
      </c>
      <c r="F33" s="3">
        <f>L9+L10</f>
        <v>15.104244444196302</v>
      </c>
      <c r="G33" s="5">
        <f t="shared" si="22"/>
        <v>1.952194763140124</v>
      </c>
      <c r="H33" s="7">
        <v>1</v>
      </c>
      <c r="I33" s="4">
        <f t="shared" ref="I33:I34" si="24">CHIINV(0.05,H33)</f>
        <v>3.8414588206941236</v>
      </c>
      <c r="J33" s="4">
        <f>CHIDIST(G33,H33)</f>
        <v>0.16235054029187312</v>
      </c>
      <c r="K33" s="3" t="str">
        <f>IF(G33&lt;=I33,"Homogenous","Heterogeneous")</f>
        <v>Homogenous</v>
      </c>
      <c r="L33" s="6">
        <f>D33/E33</f>
        <v>0.29057124920575761</v>
      </c>
      <c r="M33" s="5">
        <f>SQRT(1/E33)</f>
        <v>8.0122763513830964E-2</v>
      </c>
      <c r="N33" s="4">
        <f>L33/M33</f>
        <v>3.6265754757148208</v>
      </c>
      <c r="O33" s="38">
        <f>L33-1.96*M33</f>
        <v>0.13353063271864893</v>
      </c>
      <c r="P33" s="38">
        <f>L33+1.96*M33</f>
        <v>0.44761186569286626</v>
      </c>
      <c r="Q33" t="str">
        <f t="shared" si="21"/>
        <v>0.13, 0.45</v>
      </c>
      <c r="R33" s="3">
        <f>P9+P10</f>
        <v>16.978881231757189</v>
      </c>
      <c r="S33" s="3">
        <f>Q9+Q10</f>
        <v>144</v>
      </c>
      <c r="T33" s="3">
        <f>R9+R10</f>
        <v>5.3252968991730674</v>
      </c>
      <c r="U33" s="5">
        <f t="shared" si="23"/>
        <v>3.323335733325036</v>
      </c>
      <c r="V33" s="7">
        <v>1</v>
      </c>
      <c r="W33" s="4">
        <f t="shared" ref="W33:W34" si="25">CHIINV(0.05,V33)</f>
        <v>3.8414588206941236</v>
      </c>
      <c r="X33" s="4">
        <f>CHIDIST(U33,V33)</f>
        <v>6.8303111187009755E-2</v>
      </c>
      <c r="Y33" s="3" t="str">
        <f>IF(U33&lt;=W33,"Homogenous","Heterogeneous")</f>
        <v>Homogenous</v>
      </c>
      <c r="Z33" s="6">
        <f>R33/S33</f>
        <v>0.11790889744275826</v>
      </c>
      <c r="AA33" s="5">
        <f>SQRT(1/S33)</f>
        <v>8.3333333333333329E-2</v>
      </c>
      <c r="AB33" s="4">
        <f>Z33/AA33</f>
        <v>1.4149067693130992</v>
      </c>
      <c r="AC33" s="38">
        <f>Z33-1.96*AA33</f>
        <v>-4.5424435890575071E-2</v>
      </c>
      <c r="AD33" s="38">
        <f>Z33+1.96*AA33</f>
        <v>0.28124223077609156</v>
      </c>
      <c r="AE33" t="str">
        <f>ROUND(AC33,2)&amp;", "&amp;ROUND(AD33,2)</f>
        <v>-0.05, 0.28</v>
      </c>
    </row>
    <row r="34" spans="2:31" outlineLevel="1" x14ac:dyDescent="0.3">
      <c r="B34" t="s">
        <v>22</v>
      </c>
      <c r="C34" s="7">
        <f>D2+D3+D4+D5+D6+D7+D14+D15+D16+D17+D11+D18+D19+D20+D13+D12+D8</f>
        <v>3941</v>
      </c>
      <c r="D34" s="3">
        <f>J2+J3+J4+J5+J6+J7+J14+J15+J16+J17+J11+J18+J19+J20+J13+J12+J8</f>
        <v>41.305804233838629</v>
      </c>
      <c r="E34" s="3">
        <f>K2+K3+K4+K5+K6+K7+K14+K15+K16+K17+K11+K18+K19+K20+K13+K12+K8</f>
        <v>1835.0871297536419</v>
      </c>
      <c r="F34" s="3">
        <f>L2+L3+L4+L5+L6+L7+L14+L15+L16+L17+L11+L18+L19+L20+L13+L12+L8</f>
        <v>27.635257503944839</v>
      </c>
      <c r="G34" s="5">
        <f t="shared" si="22"/>
        <v>26.705509027297165</v>
      </c>
      <c r="H34" s="7">
        <v>16</v>
      </c>
      <c r="I34" s="4">
        <f t="shared" si="24"/>
        <v>26.296227604864239</v>
      </c>
      <c r="J34" s="4">
        <f>CHIDIST(G34,H34)</f>
        <v>4.4874689217990871E-2</v>
      </c>
      <c r="K34" s="3" t="str">
        <f>IF(G34&lt;=I34,"Homogenous","Heterogeneous")</f>
        <v>Heterogeneous</v>
      </c>
      <c r="L34" s="6">
        <f>D34/E34</f>
        <v>2.2508906287944965E-2</v>
      </c>
      <c r="M34" s="5">
        <f>SQRT(1/E34)</f>
        <v>2.3343805462272472E-2</v>
      </c>
      <c r="N34" s="4">
        <f>L34/M34</f>
        <v>0.96423465849743972</v>
      </c>
      <c r="O34" s="38">
        <f>L34-1.96*M34</f>
        <v>-2.3244952418109078E-2</v>
      </c>
      <c r="P34" s="38">
        <f>L34+1.96*M34</f>
        <v>6.8262764993999012E-2</v>
      </c>
      <c r="Q34" t="str">
        <f t="shared" si="21"/>
        <v>-0.02, 0.07</v>
      </c>
      <c r="R34" s="3">
        <f>P2+P3+P4+P5+P6+P7+P14+P15+P16+P17+P11+P18+P19+P20+P13+P12+P8</f>
        <v>-134.24630969539672</v>
      </c>
      <c r="S34" s="3">
        <f>Q2+Q3+Q4+Q5+Q6+Q7+Q14+Q15+Q16+Q17+Q11+Q18+Q19+Q20+Q13+Q12+Q8</f>
        <v>3699</v>
      </c>
      <c r="T34" s="3">
        <f>R2+R3+R4+R5+R6+R7+R14+R15+R16+R17+R11+R18+R19+R20+R13+R12+R8</f>
        <v>11.753977651204332</v>
      </c>
      <c r="U34" s="5">
        <f t="shared" si="23"/>
        <v>6.8818306744991782</v>
      </c>
      <c r="V34" s="7">
        <v>13</v>
      </c>
      <c r="W34" s="4">
        <f t="shared" si="25"/>
        <v>22.362032494826938</v>
      </c>
      <c r="X34" s="4">
        <f>CHIDIST(U34,V34)</f>
        <v>0.908138083184441</v>
      </c>
      <c r="Y34" s="3" t="str">
        <f>IF(U34&lt;=W34,"Homogenous","Heterogeneous")</f>
        <v>Homogenous</v>
      </c>
      <c r="Z34" s="6">
        <f>R34/S34</f>
        <v>-3.6292595213678489E-2</v>
      </c>
      <c r="AA34" s="5">
        <f>SQRT(1/S34)</f>
        <v>1.6442120788899669E-2</v>
      </c>
      <c r="AB34" s="4">
        <f>Z34/AA34</f>
        <v>-2.2072940394757459</v>
      </c>
      <c r="AC34" s="38">
        <f>Z34-1.96*AA34</f>
        <v>-6.8519151959921837E-2</v>
      </c>
      <c r="AD34" s="38">
        <f>Z34+1.96*AA34</f>
        <v>-4.0660384674351402E-3</v>
      </c>
      <c r="AE34" t="str">
        <f>ROUND(AC34,2)&amp;", "&amp;ROUND(AD34,2)</f>
        <v>-0.07, 0</v>
      </c>
    </row>
    <row r="35" spans="2:31" outlineLevel="1" x14ac:dyDescent="0.3">
      <c r="E35"/>
      <c r="G35" s="5"/>
      <c r="H35" s="7"/>
      <c r="I35" s="4"/>
      <c r="J35" s="4"/>
      <c r="L35" s="6">
        <f>L33-L34</f>
        <v>0.26806234291781267</v>
      </c>
      <c r="M35" s="5">
        <f>2*SQRT(M33^2+M34^2)</f>
        <v>0.16690824409301902</v>
      </c>
      <c r="N35" s="4"/>
      <c r="O35" s="6">
        <f>L35-M35</f>
        <v>0.10115409882479365</v>
      </c>
      <c r="P35" s="6">
        <f>L35+M35</f>
        <v>0.43497058701083169</v>
      </c>
      <c r="Q35" s="8" t="str">
        <f t="shared" si="21"/>
        <v>0.1, 0.43</v>
      </c>
      <c r="S35" s="38"/>
      <c r="U35" s="5"/>
      <c r="V35" s="7"/>
      <c r="W35" s="4"/>
      <c r="X35" s="4"/>
      <c r="Y35" s="3"/>
      <c r="Z35" s="6"/>
      <c r="AA35" s="5"/>
      <c r="AB35" s="4"/>
      <c r="AC35" s="38"/>
      <c r="AD35" s="38"/>
    </row>
    <row r="36" spans="2:31" outlineLevel="1" x14ac:dyDescent="0.3">
      <c r="B36" t="s">
        <v>21</v>
      </c>
      <c r="C36" s="7">
        <f>D2+D3+D7+D8</f>
        <v>2845</v>
      </c>
      <c r="D36" s="3">
        <f>J2+J3+J7+J8</f>
        <v>-16.261450160322941</v>
      </c>
      <c r="E36" s="3">
        <f>K2+K3+K7+K8</f>
        <v>795.103127113445</v>
      </c>
      <c r="F36" s="3">
        <f>L2+L3+L7+L8</f>
        <v>1.2945963422626865</v>
      </c>
      <c r="G36" s="5">
        <f t="shared" si="22"/>
        <v>0.96201714303770647</v>
      </c>
      <c r="H36" s="7">
        <v>3</v>
      </c>
      <c r="I36" s="4">
        <f t="shared" ref="I36:I37" si="26">CHIINV(0.05,H36)</f>
        <v>7.8147279032511792</v>
      </c>
      <c r="J36" s="4">
        <f t="shared" ref="J36:J37" si="27">CHIDIST(G36,H36)</f>
        <v>0.8104415700144284</v>
      </c>
      <c r="K36" s="3" t="str">
        <f>IF(G36&lt;=I36,"Homogenous","Heterogeneous")</f>
        <v>Homogenous</v>
      </c>
      <c r="L36" s="6">
        <f>D36/E36</f>
        <v>-2.0452001263482344E-2</v>
      </c>
      <c r="M36" s="5">
        <f>SQRT(1/E36)</f>
        <v>3.5464044989619019E-2</v>
      </c>
      <c r="N36" s="4">
        <f>L36/M36</f>
        <v>-0.57669680008214019</v>
      </c>
      <c r="O36" s="38">
        <f>L36-1.96*M36</f>
        <v>-8.9961529443135624E-2</v>
      </c>
      <c r="P36" s="38">
        <f>L36+1.96*M36</f>
        <v>4.9057526916170935E-2</v>
      </c>
      <c r="Q36" t="str">
        <f t="shared" si="21"/>
        <v>-0.09, 0.05</v>
      </c>
      <c r="R36" s="3">
        <f>P2+P3+P7+P8</f>
        <v>-70.658830896570123</v>
      </c>
      <c r="S36" s="3">
        <f>Q2+Q3+Q7+Q8</f>
        <v>2833</v>
      </c>
      <c r="T36" s="3">
        <f>R2+R3+R7+R8</f>
        <v>2.2311788532113659</v>
      </c>
      <c r="U36" s="5">
        <f t="shared" si="23"/>
        <v>0.46885256176410417</v>
      </c>
      <c r="V36" s="7">
        <v>3</v>
      </c>
      <c r="W36" s="4">
        <f t="shared" ref="W36:W37" si="28">CHIINV(0.05,V36)</f>
        <v>7.8147279032511792</v>
      </c>
      <c r="X36" s="4">
        <f t="shared" ref="X36:X37" si="29">CHIDIST(U36,V36)</f>
        <v>0.92567910129527364</v>
      </c>
      <c r="Y36" s="3" t="str">
        <f>IF(U36&lt;=W36,"Homogenous","Heterogeneous")</f>
        <v>Homogenous</v>
      </c>
      <c r="Z36" s="6">
        <f>R36/S36</f>
        <v>-2.4941345180575406E-2</v>
      </c>
      <c r="AA36" s="5">
        <f>SQRT(1/S36)</f>
        <v>1.8787833931763167E-2</v>
      </c>
      <c r="AB36" s="4">
        <f>Z36/AA36</f>
        <v>-1.3275263806972959</v>
      </c>
      <c r="AC36" s="38">
        <f>Z36-1.96*AA36</f>
        <v>-6.1765499686831211E-2</v>
      </c>
      <c r="AD36" s="38">
        <f>Z36+1.96*AA36</f>
        <v>1.18828093256804E-2</v>
      </c>
      <c r="AE36" t="str">
        <f>ROUND(AC36,2)&amp;", "&amp;ROUND(AD36,2)</f>
        <v>-0.06, 0.01</v>
      </c>
    </row>
    <row r="37" spans="2:31" outlineLevel="1" x14ac:dyDescent="0.3">
      <c r="B37" t="s">
        <v>10</v>
      </c>
      <c r="C37" s="7">
        <f>D13+D4+D5+D6+D9+D10+D11+D14+D15+D16+D17+D18+D19+D20+D12</f>
        <v>1246</v>
      </c>
      <c r="D37" s="3">
        <f>J4+J5+J6+J9+J10+J11+J14+J15+J16+J17+J18+J19+J20+J13+J12</f>
        <v>102.82999018445659</v>
      </c>
      <c r="E37" s="3">
        <f>K4+K5+K6+K9+K10+K11+K14+K15+K16+K17+K18+K19+K20+K13+K12</f>
        <v>1195.7555592343729</v>
      </c>
      <c r="F37" s="3">
        <f>L4+L5+L6+L9+L10+L11+L14+L15+L16+L17+L18+L19+L20+L13+L12</f>
        <v>41.444905605878461</v>
      </c>
      <c r="G37" s="5">
        <f t="shared" si="22"/>
        <v>32.601955389443056</v>
      </c>
      <c r="H37" s="7">
        <v>14</v>
      </c>
      <c r="I37" s="4">
        <f t="shared" si="26"/>
        <v>23.68479130484058</v>
      </c>
      <c r="J37" s="4">
        <f t="shared" si="27"/>
        <v>3.2868321818941585E-3</v>
      </c>
      <c r="K37" s="3" t="str">
        <f>IF(G37&lt;=I37,"Homogenous","Heterogeneous")</f>
        <v>Heterogeneous</v>
      </c>
      <c r="L37" s="6">
        <f>D37/E37</f>
        <v>8.5995828654392648E-2</v>
      </c>
      <c r="M37" s="5">
        <f>SQRT(1/E37)</f>
        <v>2.8918701979114246E-2</v>
      </c>
      <c r="N37" s="4">
        <f>L37/M37</f>
        <v>2.9737098406595432</v>
      </c>
      <c r="O37" s="38">
        <f>L37-1.96*M37</f>
        <v>2.9315172775328725E-2</v>
      </c>
      <c r="P37" s="38">
        <f>L37+1.96*M37</f>
        <v>0.14267648453345658</v>
      </c>
      <c r="Q37" t="str">
        <f t="shared" si="21"/>
        <v>0.03, 0.14</v>
      </c>
      <c r="R37" s="3">
        <f>P4+P5+P6+P9+P10+P11+P14+P15+P16+P17+P18+P19+P20+P13+P12</f>
        <v>-46.608597567069403</v>
      </c>
      <c r="S37" s="3">
        <f>Q4+Q5+Q6+Q9+Q10+Q11+Q14+Q15+Q16+Q17+Q18+Q19+Q20+Q13+Q12</f>
        <v>1010</v>
      </c>
      <c r="T37" s="3">
        <f>R4+R5+R6+R9+R10+R11+R14+R15+R16+R17+R18+R19+R20+R13+R12</f>
        <v>14.848095697166032</v>
      </c>
      <c r="U37" s="5">
        <f t="shared" si="23"/>
        <v>12.697242858384817</v>
      </c>
      <c r="V37" s="7">
        <v>11</v>
      </c>
      <c r="W37" s="4">
        <f t="shared" si="28"/>
        <v>19.675137572682498</v>
      </c>
      <c r="X37" s="4">
        <f t="shared" si="29"/>
        <v>0.31357313953558597</v>
      </c>
      <c r="Y37" s="3" t="str">
        <f>IF(U37&lt;=W37,"Homogenous","Heterogeneous")</f>
        <v>Homogenous</v>
      </c>
      <c r="Z37" s="6">
        <f>R37/S37</f>
        <v>-4.6147126304029111E-2</v>
      </c>
      <c r="AA37" s="5">
        <f>SQRT(1/S37)</f>
        <v>3.1465838776377632E-2</v>
      </c>
      <c r="AB37" s="4">
        <f>Z37/AA37</f>
        <v>-1.4665786166384724</v>
      </c>
      <c r="AC37" s="38">
        <f>Z37-1.96*AA37</f>
        <v>-0.10782017030572927</v>
      </c>
      <c r="AD37" s="38">
        <f>Z37+1.96*AA37</f>
        <v>1.5525917697671046E-2</v>
      </c>
      <c r="AE37" t="str">
        <f>ROUND(AC37,2)&amp;", "&amp;ROUND(AD37,2)</f>
        <v>-0.11, 0.02</v>
      </c>
    </row>
    <row r="38" spans="2:31" outlineLevel="1" x14ac:dyDescent="0.3">
      <c r="E38"/>
      <c r="G38" s="5"/>
      <c r="H38" s="7"/>
      <c r="I38" s="4"/>
      <c r="J38" s="4"/>
      <c r="L38" s="6">
        <f>L36-L37</f>
        <v>-0.10644782991787499</v>
      </c>
      <c r="M38" s="5">
        <f>2*SQRT(M36^2+M37^2)</f>
        <v>9.1520266852376436E-2</v>
      </c>
      <c r="N38" s="4"/>
      <c r="O38" s="6">
        <f>L38-M38</f>
        <v>-0.19796809677025143</v>
      </c>
      <c r="P38" s="6">
        <f>L38+M38</f>
        <v>-1.4927563065498556E-2</v>
      </c>
      <c r="Q38" s="8" t="str">
        <f t="shared" si="21"/>
        <v>-0.2, -0.01</v>
      </c>
      <c r="U38" s="5"/>
      <c r="V38" s="7"/>
      <c r="W38" s="4"/>
      <c r="X38" s="4"/>
      <c r="Y38" s="3"/>
      <c r="Z38" s="6"/>
      <c r="AA38" s="5"/>
      <c r="AB38" s="4"/>
      <c r="AC38" s="38"/>
      <c r="AD38" s="38"/>
    </row>
    <row r="39" spans="2:31" outlineLevel="1" x14ac:dyDescent="0.3">
      <c r="B39" t="s">
        <v>47</v>
      </c>
      <c r="C39" s="7">
        <f>D9+D10+D11+D14+D15+D16+D17+D12+D18+D19+D20</f>
        <v>704</v>
      </c>
      <c r="D39" s="3">
        <f>J9+J10+J11+J14+J15+J16+J17+J18+J19+J20+J12</f>
        <v>69.816284593469049</v>
      </c>
      <c r="E39" s="3">
        <f>K9+K10+K11+K14+K15+K16+K17+K18+K19+K20+K12</f>
        <v>744.86846344880496</v>
      </c>
      <c r="F39" s="3">
        <f>L9+L10+L11+L14+L15+L16+L17+L18+L19+L20+L12</f>
        <v>35.551372371983753</v>
      </c>
      <c r="G39" s="5">
        <f t="shared" si="22"/>
        <v>29.007514182756928</v>
      </c>
      <c r="H39" s="7">
        <v>10</v>
      </c>
      <c r="I39" s="4">
        <f t="shared" ref="I39:I43" si="30">CHIINV(0.05,H39)</f>
        <v>18.307038053275146</v>
      </c>
      <c r="J39" s="4">
        <f t="shared" ref="J39:J40" si="31">CHIDIST(G39,H39)</f>
        <v>1.242559356068942E-3</v>
      </c>
      <c r="K39" s="3" t="str">
        <f>IF(G39&lt;=I39,"Homogenous","Heterogeneous")</f>
        <v>Heterogeneous</v>
      </c>
      <c r="L39" s="6">
        <f>D39/E39</f>
        <v>9.3729682513626178E-2</v>
      </c>
      <c r="M39" s="5">
        <f>SQRT(1/E39)</f>
        <v>3.6640400013711195E-2</v>
      </c>
      <c r="N39" s="4">
        <f>L39/M39</f>
        <v>2.5580965949758085</v>
      </c>
      <c r="O39" s="38">
        <f>L39-1.96*M39</f>
        <v>2.191449848675224E-2</v>
      </c>
      <c r="P39" s="38">
        <f>L39+1.96*M39</f>
        <v>0.1655448665405001</v>
      </c>
      <c r="Q39" t="str">
        <f t="shared" si="21"/>
        <v>0.02, 0.17</v>
      </c>
      <c r="R39" s="3">
        <f>P9+P10+P11+P14+P15+P16+P17+P18+P19+P20+P12</f>
        <v>4.1751633208128585</v>
      </c>
      <c r="S39" s="3">
        <f>Q9+Q10+Q11+Q14+Q15+Q16+Q17+Q18+Q19+Q20+Q12</f>
        <v>480</v>
      </c>
      <c r="T39" s="3">
        <f>R9+R10+R11+R14+R15+R16+R17+R18+R19+R20+R12</f>
        <v>9.1871850554390484</v>
      </c>
      <c r="U39" s="5">
        <f t="shared" si="23"/>
        <v>9.1508684121985038</v>
      </c>
      <c r="V39" s="7">
        <v>7</v>
      </c>
      <c r="W39" s="4">
        <f t="shared" ref="W39:W40" si="32">CHIINV(0.05,V39)</f>
        <v>14.067140449340167</v>
      </c>
      <c r="X39" s="4">
        <f t="shared" ref="X39:X40" si="33">CHIDIST(U39,V39)</f>
        <v>0.24200509465709871</v>
      </c>
      <c r="Y39" s="3" t="str">
        <f>IF(U39&lt;=W39,"Homogenous","Heterogeneous")</f>
        <v>Homogenous</v>
      </c>
      <c r="Z39" s="6">
        <f>R39/S39</f>
        <v>8.698256918360122E-3</v>
      </c>
      <c r="AA39" s="5">
        <f>SQRT(1/S39)</f>
        <v>4.564354645876384E-2</v>
      </c>
      <c r="AB39" s="4">
        <f>Z39/AA39</f>
        <v>0.19056926100644844</v>
      </c>
      <c r="AC39" s="38">
        <f>Z39-1.96*AA39</f>
        <v>-8.0763094140817004E-2</v>
      </c>
      <c r="AD39" s="38">
        <f>Z39+1.96*AA39</f>
        <v>9.8159607977537255E-2</v>
      </c>
      <c r="AE39" t="str">
        <f>ROUND(AC39,2)&amp;", "&amp;ROUND(AD39,2)</f>
        <v>-0.08, 0.1</v>
      </c>
    </row>
    <row r="40" spans="2:31" outlineLevel="1" x14ac:dyDescent="0.3">
      <c r="B40" t="s">
        <v>48</v>
      </c>
      <c r="C40" s="7">
        <f>D2+D3+D4+D5+D6+D7+D13+D8</f>
        <v>3387</v>
      </c>
      <c r="D40" s="3">
        <f>J2+J3+J4+J5+J6+J7+J13+J8</f>
        <v>16.75225543066459</v>
      </c>
      <c r="E40" s="3">
        <f>K2+K3+K4+K5+K6+K7+K13+K8</f>
        <v>1245.9902228990129</v>
      </c>
      <c r="F40" s="3">
        <f>L2+L3+L4+L5+L6+L7+L13+L8</f>
        <v>7.1881295761573911</v>
      </c>
      <c r="G40" s="5">
        <f t="shared" si="22"/>
        <v>6.9628966193840398</v>
      </c>
      <c r="H40" s="7">
        <v>7</v>
      </c>
      <c r="I40" s="4">
        <f t="shared" si="30"/>
        <v>14.067140449340167</v>
      </c>
      <c r="J40" s="4">
        <f t="shared" si="31"/>
        <v>0.43275326417802906</v>
      </c>
      <c r="K40" s="3" t="str">
        <f>IF(G40&lt;=I40,"Homogenous","Heterogeneous")</f>
        <v>Homogenous</v>
      </c>
      <c r="L40" s="6">
        <f>D40/E40</f>
        <v>1.3444933293045875E-2</v>
      </c>
      <c r="M40" s="5">
        <f>SQRT(1/E40)</f>
        <v>2.8329746132513402E-2</v>
      </c>
      <c r="N40" s="4">
        <f>L40/M40</f>
        <v>0.47458714349774678</v>
      </c>
      <c r="O40" s="38">
        <f>L40-1.96*M40</f>
        <v>-4.2081369126680396E-2</v>
      </c>
      <c r="P40" s="38">
        <f>L40+1.96*M40</f>
        <v>6.8971235712772139E-2</v>
      </c>
      <c r="Q40" t="str">
        <f t="shared" si="21"/>
        <v>-0.04, 0.07</v>
      </c>
      <c r="R40" s="3">
        <f>P2+P3+P4+P5+P6+P7+P13+P8</f>
        <v>-121.44259178445238</v>
      </c>
      <c r="S40" s="3">
        <f>Q2+Q3+Q4+Q5+Q6+Q7+Q13+Q8</f>
        <v>3363</v>
      </c>
      <c r="T40" s="3">
        <f>R2+R3+R4+R5+R6+R7+R13+R8</f>
        <v>7.8920894949383484</v>
      </c>
      <c r="U40" s="5">
        <f t="shared" si="23"/>
        <v>3.5066291621030405</v>
      </c>
      <c r="V40" s="7">
        <v>7</v>
      </c>
      <c r="W40" s="4">
        <f t="shared" si="32"/>
        <v>14.067140449340167</v>
      </c>
      <c r="X40" s="4">
        <f t="shared" si="33"/>
        <v>0.83452283096717617</v>
      </c>
      <c r="Y40" s="3" t="str">
        <f>IF(U40&lt;=W40,"Homogenous","Heterogeneous")</f>
        <v>Homogenous</v>
      </c>
      <c r="Z40" s="6">
        <f>R40/S40</f>
        <v>-3.6111386198171981E-2</v>
      </c>
      <c r="AA40" s="5">
        <f>SQRT(1/S40)</f>
        <v>1.724394251251618E-2</v>
      </c>
      <c r="AB40" s="4">
        <f>Z40/AA40</f>
        <v>-2.0941490713020663</v>
      </c>
      <c r="AC40" s="38">
        <f>Z40-1.96*AA40</f>
        <v>-6.9909513522703692E-2</v>
      </c>
      <c r="AD40" s="38">
        <f>Z40+1.96*AA40</f>
        <v>-2.3132588736402698E-3</v>
      </c>
      <c r="AE40" t="str">
        <f>ROUND(AC40,2)&amp;", "&amp;ROUND(AD40,2)</f>
        <v>-0.07, 0</v>
      </c>
    </row>
    <row r="41" spans="2:31" outlineLevel="1" x14ac:dyDescent="0.3">
      <c r="E41"/>
      <c r="G41" s="5"/>
      <c r="H41" s="7"/>
      <c r="L41" s="6">
        <f>L39-L40</f>
        <v>8.0284749220580306E-2</v>
      </c>
      <c r="M41" s="5">
        <f>2*SQRT(M39^2+M40^2)</f>
        <v>9.2630306684096123E-2</v>
      </c>
      <c r="N41" s="4"/>
      <c r="O41" s="6">
        <f>L41-M41</f>
        <v>-1.2345557463515816E-2</v>
      </c>
      <c r="P41" s="6">
        <f>L41+M41</f>
        <v>0.17291505590467643</v>
      </c>
      <c r="Q41" s="8" t="str">
        <f t="shared" si="21"/>
        <v>-0.01, 0.17</v>
      </c>
      <c r="S41" s="38"/>
      <c r="U41" s="5"/>
      <c r="V41" s="7"/>
      <c r="W41" s="3"/>
      <c r="X41" s="3"/>
      <c r="Y41" s="3"/>
      <c r="Z41" s="6"/>
      <c r="AA41" s="5"/>
      <c r="AB41" s="4"/>
      <c r="AC41" s="38"/>
      <c r="AD41" s="38"/>
    </row>
    <row r="42" spans="2:31" outlineLevel="1" x14ac:dyDescent="0.3">
      <c r="B42" t="s">
        <v>12</v>
      </c>
      <c r="C42" s="7">
        <f>D9+D10+D14+D15+D16+D12</f>
        <v>396</v>
      </c>
      <c r="D42" s="3">
        <f>J9+J10+J14+J15+J16+J12</f>
        <v>50.646699260645342</v>
      </c>
      <c r="E42" s="3">
        <f>K9+K10+K14+K15+K16+K12</f>
        <v>421.08309047121236</v>
      </c>
      <c r="F42" s="3">
        <f>L9+L10+L14+L15+L16+L12</f>
        <v>21.466626971238171</v>
      </c>
      <c r="G42" s="5">
        <f t="shared" si="22"/>
        <v>15.37498329319877</v>
      </c>
      <c r="H42" s="7">
        <v>4</v>
      </c>
      <c r="I42" s="4">
        <f t="shared" si="30"/>
        <v>9.4877290367811575</v>
      </c>
      <c r="J42" s="4">
        <f t="shared" ref="J42:J43" si="34">CHIDIST(G42,H42)</f>
        <v>3.9834484215472959E-3</v>
      </c>
      <c r="K42" s="3" t="str">
        <f>IF(G42&lt;=I42,"Homogenous","Heterogeneous")</f>
        <v>Heterogeneous</v>
      </c>
      <c r="L42" s="6">
        <f>D42/E42</f>
        <v>0.12027720990640882</v>
      </c>
      <c r="M42" s="5">
        <f>SQRT(1/E42)</f>
        <v>4.8732209115106083E-2</v>
      </c>
      <c r="N42" s="4">
        <f>L42/M42</f>
        <v>2.4681255393596575</v>
      </c>
      <c r="O42" s="38">
        <f>L42-1.96*M42</f>
        <v>2.4762080040800896E-2</v>
      </c>
      <c r="P42" s="38">
        <f>L42+1.96*M42</f>
        <v>0.21579233977201673</v>
      </c>
      <c r="Q42" t="str">
        <f t="shared" si="21"/>
        <v>0.02, 0.22</v>
      </c>
      <c r="R42" s="3">
        <f>P9+P10+P14+P15+P16+P12</f>
        <v>14.102509404030567</v>
      </c>
      <c r="S42" s="3">
        <f>Q9+Q10+Q14+Q15+Q16+Q12</f>
        <v>378</v>
      </c>
      <c r="T42" s="3">
        <f>R9+R10+R14+R15+R16+R12</f>
        <v>8.1564417618516298</v>
      </c>
      <c r="U42" s="5">
        <f t="shared" si="23"/>
        <v>7.6303021547331893</v>
      </c>
      <c r="V42" s="7">
        <v>4</v>
      </c>
      <c r="W42" s="4">
        <f t="shared" ref="W42:W43" si="35">CHIINV(0.05,V42)</f>
        <v>9.4877290367811575</v>
      </c>
      <c r="X42" s="4">
        <f t="shared" ref="X42:X43" si="36">CHIDIST(U42,V42)</f>
        <v>0.10609889414175884</v>
      </c>
      <c r="Y42" s="3" t="str">
        <f>IF(U42&lt;=W42,"Homogenous","Heterogeneous")</f>
        <v>Homogenous</v>
      </c>
      <c r="Z42" s="6">
        <f>R42/S42</f>
        <v>3.73082259365888E-2</v>
      </c>
      <c r="AA42" s="5">
        <f>SQRT(1/S42)</f>
        <v>5.1434449987363969E-2</v>
      </c>
      <c r="AB42" s="4">
        <f>Z42/AA42</f>
        <v>0.72535481463794027</v>
      </c>
      <c r="AC42" s="38">
        <f>Z42-1.96*AA42</f>
        <v>-6.3503296038644574E-2</v>
      </c>
      <c r="AD42" s="38">
        <f>Z42+1.96*AA42</f>
        <v>0.13811974791182219</v>
      </c>
      <c r="AE42" t="str">
        <f>ROUND(AC42,2)&amp;", "&amp;ROUND(AD42,2)</f>
        <v>-0.06, 0.14</v>
      </c>
    </row>
    <row r="43" spans="2:31" outlineLevel="1" x14ac:dyDescent="0.3">
      <c r="B43" t="s">
        <v>23</v>
      </c>
      <c r="C43" s="7">
        <f>D2+D3+D4+D5+D6+D7+D11+D17+D12+D18+D19+D20+D13+D8</f>
        <v>3791</v>
      </c>
      <c r="D43" s="3">
        <f>J2+J3+J4+J5+J6+J7+J11+J17+J18+J19+J20+J13+J8</f>
        <v>35.921840763488305</v>
      </c>
      <c r="E43" s="3">
        <f>K2+K3+K4+K5+K6+K7+K11+K17+K18+K19+K20+K13+K8</f>
        <v>1569.7755958766056</v>
      </c>
      <c r="F43" s="3">
        <f>L2+L3+L4+L5+L6+L7+L11+L17+L18+L19+L20+L13</f>
        <v>21.263867948019023</v>
      </c>
      <c r="G43" s="5">
        <f t="shared" si="22"/>
        <v>20.441853229974672</v>
      </c>
      <c r="H43" s="7">
        <v>13</v>
      </c>
      <c r="I43" s="4">
        <f t="shared" si="30"/>
        <v>22.362032494826938</v>
      </c>
      <c r="J43" s="4">
        <f t="shared" si="34"/>
        <v>8.4727220212178253E-2</v>
      </c>
      <c r="K43" s="3" t="str">
        <f>IF(G43&lt;=I43,"Homogenous","Heterogeneous")</f>
        <v>Homogenous</v>
      </c>
      <c r="L43" s="6">
        <f>D43/E43</f>
        <v>2.2883424138995211E-2</v>
      </c>
      <c r="M43" s="5">
        <f>SQRT(1/E43)</f>
        <v>2.523952709585681E-2</v>
      </c>
      <c r="N43" s="4">
        <f>L43/M43</f>
        <v>0.90665027328311687</v>
      </c>
      <c r="O43" s="38">
        <f>L43-1.96*M43</f>
        <v>-2.6586048968884134E-2</v>
      </c>
      <c r="P43" s="38">
        <f>L43+1.96*M43</f>
        <v>7.2352897246874548E-2</v>
      </c>
      <c r="Q43" t="str">
        <f t="shared" si="21"/>
        <v>-0.03, 0.07</v>
      </c>
      <c r="R43" s="3">
        <f>P2+P3+P4+P5+P6+P7+P11+P17+P18+P19+P20+P13+P8</f>
        <v>-131.3699378676701</v>
      </c>
      <c r="S43" s="3">
        <f>Q2+Q3+Q4+Q5+Q6+Q7+Q11+Q17+Q18+Q19+Q20+Q13+Q8</f>
        <v>3465</v>
      </c>
      <c r="T43" s="3">
        <f>R2+R3+R4+R5+R6+R7+R11+R17+R18+R19+R20+R13+R8</f>
        <v>8.9228327885257706</v>
      </c>
      <c r="U43" s="5">
        <f t="shared" si="23"/>
        <v>3.94215152579691</v>
      </c>
      <c r="V43" s="7">
        <v>10</v>
      </c>
      <c r="W43" s="4">
        <f t="shared" si="35"/>
        <v>18.307038053275146</v>
      </c>
      <c r="X43" s="4">
        <f t="shared" si="36"/>
        <v>0.94991889082429071</v>
      </c>
      <c r="Y43" s="3" t="str">
        <f>IF(U43&lt;=W43,"Homogenous","Heterogeneous")</f>
        <v>Homogenous</v>
      </c>
      <c r="Z43" s="6">
        <f>R43/S43</f>
        <v>-3.7913401982011576E-2</v>
      </c>
      <c r="AA43" s="5">
        <f>SQRT(1/S43)</f>
        <v>1.698823971458752E-2</v>
      </c>
      <c r="AB43" s="4">
        <f>Z43/AA43</f>
        <v>-2.2317439957864478</v>
      </c>
      <c r="AC43" s="38">
        <f>Z43-1.96*AA43</f>
        <v>-7.1210351822603116E-2</v>
      </c>
      <c r="AD43" s="38">
        <f>Z43+1.96*AA43</f>
        <v>-4.6164521414200355E-3</v>
      </c>
      <c r="AE43" t="str">
        <f>ROUND(AC43,2)&amp;", "&amp;ROUND(AD43,2)</f>
        <v>-0.07, 0</v>
      </c>
    </row>
    <row r="44" spans="2:31" outlineLevel="1" x14ac:dyDescent="0.3">
      <c r="E44"/>
      <c r="G44" s="5"/>
      <c r="H44" s="7"/>
      <c r="I44" s="4"/>
      <c r="J44" s="4"/>
      <c r="L44" s="6">
        <f>L42-L43</f>
        <v>9.7393785767413615E-2</v>
      </c>
      <c r="M44" s="5">
        <f>2*SQRT(M42^2+M43^2)</f>
        <v>0.10976086612743029</v>
      </c>
      <c r="N44" s="4"/>
      <c r="O44" s="6">
        <f>L44-M44</f>
        <v>-1.2367080360016672E-2</v>
      </c>
      <c r="P44" s="6">
        <f>L44+M44</f>
        <v>0.20715465189484389</v>
      </c>
      <c r="Q44" s="8" t="str">
        <f t="shared" si="21"/>
        <v>-0.01, 0.21</v>
      </c>
      <c r="S44" s="38"/>
      <c r="U44" s="5"/>
      <c r="V44" s="7"/>
      <c r="W44" s="4"/>
      <c r="X44" s="4"/>
      <c r="Y44" s="3"/>
      <c r="Z44" s="6"/>
      <c r="AA44" s="5"/>
      <c r="AB44" s="4"/>
      <c r="AC44" s="38"/>
      <c r="AD44" s="38"/>
    </row>
    <row r="45" spans="2:31" outlineLevel="1" x14ac:dyDescent="0.3">
      <c r="B45" t="s">
        <v>13</v>
      </c>
      <c r="C45" s="7">
        <f>D2+D9+D10+D11+D18+D19+D20+D17</f>
        <v>570</v>
      </c>
      <c r="D45" s="3">
        <f>J2+J9+J10+J11+J18+J19+J20+J17</f>
        <v>53.592321970948923</v>
      </c>
      <c r="E45" s="3">
        <f>K2+K9+K10+K11+K18+K19+K20+K17</f>
        <v>578.78044141085388</v>
      </c>
      <c r="F45" s="3">
        <f>L2+L9+L10+L11+L18+L19+L20+L17</f>
        <v>30.373241232955692</v>
      </c>
      <c r="G45" s="5">
        <f t="shared" ref="G45:G46" si="37">F45-(D45^2/E45)</f>
        <v>25.410846568691223</v>
      </c>
      <c r="H45" s="7">
        <v>7</v>
      </c>
      <c r="I45" s="4">
        <f t="shared" ref="I45:I46" si="38">CHIINV(0.05,H45)</f>
        <v>14.067140449340167</v>
      </c>
      <c r="J45" s="4">
        <f t="shared" ref="J45:J48" si="39">CHIDIST(G45,H45)</f>
        <v>6.4146625038504932E-4</v>
      </c>
      <c r="K45" s="3" t="str">
        <f>IF(G45&lt;=I45,"Homogenous","Heterogeneous")</f>
        <v>Heterogeneous</v>
      </c>
      <c r="L45" s="6">
        <f t="shared" ref="L45:L46" si="40">D45/E45</f>
        <v>9.2595253979748438E-2</v>
      </c>
      <c r="M45" s="5">
        <f t="shared" ref="M45:M46" si="41">SQRT(1/E45)</f>
        <v>4.1566463559154242E-2</v>
      </c>
      <c r="N45" s="4">
        <f t="shared" ref="N45:N46" si="42">L45/M45</f>
        <v>2.2276432982559098</v>
      </c>
      <c r="O45" s="38">
        <f t="shared" ref="O45:O46" si="43">L45-1.96*M45</f>
        <v>1.1124985403806131E-2</v>
      </c>
      <c r="P45" s="38">
        <f t="shared" ref="P45:P46" si="44">L45+1.96*M45</f>
        <v>0.17406552255569074</v>
      </c>
      <c r="Q45" t="str">
        <f t="shared" si="21"/>
        <v>0.01, 0.17</v>
      </c>
      <c r="R45" s="3">
        <f>P2+P9+P10+P11+P18+P19+P20+P17</f>
        <v>1.2691168158790802</v>
      </c>
      <c r="S45" s="3">
        <f>Q2+Q9+Q10+Q11+Q18+Q19+Q20+Q17</f>
        <v>355</v>
      </c>
      <c r="T45" s="3">
        <f>R2+R9+R10+R11+R18+R19+R20+R17</f>
        <v>6.662795805364957</v>
      </c>
      <c r="U45" s="5">
        <f t="shared" ref="U45:U48" si="45">T45-(R45^2/S45)</f>
        <v>6.6582587420062325</v>
      </c>
      <c r="V45" s="7">
        <v>4</v>
      </c>
      <c r="W45" s="4">
        <f t="shared" ref="W45:W48" si="46">CHIINV(0.05,V45)</f>
        <v>9.4877290367811575</v>
      </c>
      <c r="X45" s="4">
        <f t="shared" ref="X45:X48" si="47">CHIDIST(U45,V45)</f>
        <v>0.15508794773127044</v>
      </c>
      <c r="Y45" s="3" t="str">
        <f>IF(U45&lt;=W45,"Homogenous","Heterogeneous")</f>
        <v>Homogenous</v>
      </c>
      <c r="Z45" s="6">
        <f t="shared" ref="Z45:Z46" si="48">R45/S45</f>
        <v>3.5749769461382542E-3</v>
      </c>
      <c r="AA45" s="5">
        <f t="shared" ref="AA45:AA46" si="49">SQRT(1/S45)</f>
        <v>5.3074489243427531E-2</v>
      </c>
      <c r="AB45" s="4">
        <f t="shared" ref="AB45:AB46" si="50">Z45/AA45</f>
        <v>6.7357726793027234E-2</v>
      </c>
      <c r="AC45" s="38">
        <f t="shared" ref="AC45:AC46" si="51">Z45-1.96*AA45</f>
        <v>-0.1004510219709797</v>
      </c>
      <c r="AD45" s="38">
        <f t="shared" ref="AD45:AD46" si="52">Z45+1.96*AA45</f>
        <v>0.10760097586325622</v>
      </c>
      <c r="AE45" t="str">
        <f>ROUND(AC45,2)&amp;", "&amp;ROUND(AD45,2)</f>
        <v>-0.1, 0.11</v>
      </c>
    </row>
    <row r="46" spans="2:31" outlineLevel="1" x14ac:dyDescent="0.3">
      <c r="B46" t="s">
        <v>24</v>
      </c>
      <c r="C46" s="7">
        <f>D3+D4+D5+D6+D7+D12+D13+D14+D15+D16+D8</f>
        <v>3521</v>
      </c>
      <c r="D46" s="3">
        <f>J3+J4+J5+J6+J7+J14+J15+J16+J12+J13+J8</f>
        <v>32.976218053184724</v>
      </c>
      <c r="E46" s="3">
        <f>K3+K4+K5+K6+K7+K14+K15+K16+K12+K13+K8</f>
        <v>1412.0782449369638</v>
      </c>
      <c r="F46" s="3">
        <f>L3+L4+L5+L6+L7+L14+L15+L16+L12+L13+L8</f>
        <v>12.366260715185444</v>
      </c>
      <c r="G46" s="5">
        <f t="shared" si="37"/>
        <v>11.596168150562915</v>
      </c>
      <c r="H46" s="7">
        <v>10</v>
      </c>
      <c r="I46" s="4">
        <f t="shared" si="38"/>
        <v>18.307038053275146</v>
      </c>
      <c r="J46" s="4">
        <f t="shared" si="39"/>
        <v>0.31299193988730251</v>
      </c>
      <c r="K46" s="3" t="str">
        <f>IF(G46&lt;=I46,"Homogenous","Heterogeneous")</f>
        <v>Homogenous</v>
      </c>
      <c r="L46" s="6">
        <f t="shared" si="40"/>
        <v>2.3352967989855835E-2</v>
      </c>
      <c r="M46" s="5">
        <f t="shared" si="41"/>
        <v>2.6611577450378548E-2</v>
      </c>
      <c r="N46" s="4">
        <f t="shared" si="42"/>
        <v>0.87754918074289656</v>
      </c>
      <c r="O46" s="38">
        <f t="shared" si="43"/>
        <v>-2.8805723812886114E-2</v>
      </c>
      <c r="P46" s="38">
        <f t="shared" si="44"/>
        <v>7.5511659792597788E-2</v>
      </c>
      <c r="Q46" t="str">
        <f t="shared" si="21"/>
        <v>-0.03, 0.08</v>
      </c>
      <c r="R46" s="3">
        <f>P3+P4+P5+P6+P7+P14+P15+P16+P12+P13+P8</f>
        <v>-118.53654527951861</v>
      </c>
      <c r="S46" s="3">
        <f>Q3+Q4+Q5+Q6+Q7+Q14+Q15+Q16+Q12+Q13+Q8</f>
        <v>3488</v>
      </c>
      <c r="T46" s="3">
        <f>R3+R4+R5+R6+R7+R14+R15+R16+R12+R13+R8</f>
        <v>10.416478745012443</v>
      </c>
      <c r="U46" s="5">
        <f t="shared" si="45"/>
        <v>6.3881207843463406</v>
      </c>
      <c r="V46" s="7">
        <v>10</v>
      </c>
      <c r="W46" s="4">
        <f t="shared" si="46"/>
        <v>18.307038053275146</v>
      </c>
      <c r="X46" s="4">
        <f t="shared" si="47"/>
        <v>0.78166952497072129</v>
      </c>
      <c r="Y46" s="3" t="str">
        <f>IF(U46&lt;=W46,"Homogenous","Heterogeneous")</f>
        <v>Homogenous</v>
      </c>
      <c r="Z46" s="6">
        <f t="shared" si="48"/>
        <v>-3.3984101284265655E-2</v>
      </c>
      <c r="AA46" s="5">
        <f t="shared" si="49"/>
        <v>1.693213653696491E-2</v>
      </c>
      <c r="AB46" s="4">
        <f t="shared" si="50"/>
        <v>-2.0070769692929322</v>
      </c>
      <c r="AC46" s="38">
        <f t="shared" si="51"/>
        <v>-6.7171088896716885E-2</v>
      </c>
      <c r="AD46" s="38">
        <f t="shared" si="52"/>
        <v>-7.9711367181443255E-4</v>
      </c>
      <c r="AE46" t="str">
        <f>ROUND(AC46,2)&amp;", "&amp;ROUND(AD46,2)</f>
        <v>-0.07, 0</v>
      </c>
    </row>
    <row r="47" spans="2:31" outlineLevel="1" x14ac:dyDescent="0.3">
      <c r="E47"/>
      <c r="G47" s="5"/>
      <c r="H47" s="7"/>
      <c r="I47" s="4"/>
      <c r="J47" s="4"/>
      <c r="L47" s="6">
        <f>L45-L46</f>
        <v>6.9242285989892599E-2</v>
      </c>
      <c r="M47" s="5">
        <f>2*SQRT(M45^2+M46^2)</f>
        <v>9.8710626524442513E-2</v>
      </c>
      <c r="N47" s="4"/>
      <c r="O47" s="6">
        <f>L47-M47</f>
        <v>-2.9468340534549914E-2</v>
      </c>
      <c r="P47" s="6">
        <f>L47+M47</f>
        <v>0.16795291251433511</v>
      </c>
      <c r="Q47" s="8" t="str">
        <f t="shared" ref="Q47" si="53">ROUND(O47,2)&amp;", "&amp;ROUND(P47,2)</f>
        <v>-0.03, 0.17</v>
      </c>
      <c r="S47" s="38"/>
      <c r="U47" s="5"/>
      <c r="V47" s="7"/>
      <c r="W47" s="4"/>
      <c r="X47" s="4"/>
      <c r="Y47" s="3"/>
      <c r="Z47" s="6"/>
      <c r="AA47" s="5"/>
      <c r="AB47" s="4"/>
      <c r="AC47" s="38"/>
      <c r="AD47" s="38"/>
    </row>
    <row r="48" spans="2:31" outlineLevel="1" x14ac:dyDescent="0.3">
      <c r="B48" t="s">
        <v>49</v>
      </c>
      <c r="C48" s="7">
        <f>SUM(D2:D20)</f>
        <v>4091</v>
      </c>
      <c r="D48" s="3">
        <f>SUM(J2:J20)</f>
        <v>86.568540024133654</v>
      </c>
      <c r="E48" s="3">
        <f>SUM(K2:K20)</f>
        <v>1990.8586863478179</v>
      </c>
      <c r="F48" s="3">
        <f>SUM(L2:L20)</f>
        <v>42.73950194814114</v>
      </c>
      <c r="G48" s="5">
        <f t="shared" ref="G48" si="54">F48-(D48^2/E48)</f>
        <v>38.975240741004534</v>
      </c>
      <c r="H48" s="7">
        <v>18</v>
      </c>
      <c r="I48" s="4">
        <f t="shared" ref="I48" si="55">CHIINV(0.05,H48)</f>
        <v>28.869299430392633</v>
      </c>
      <c r="J48" s="4">
        <f t="shared" si="39"/>
        <v>2.8715421773745655E-3</v>
      </c>
      <c r="K48" s="3" t="str">
        <f>IF(G48&lt;=I48,"Homogenous","Heterogeneous")</f>
        <v>Heterogeneous</v>
      </c>
      <c r="L48" s="6">
        <f>D48/E48</f>
        <v>4.3483015955764065E-2</v>
      </c>
      <c r="M48" s="5">
        <f>SQRT(1/E48)</f>
        <v>2.2411957117278926E-2</v>
      </c>
      <c r="N48" s="4">
        <f>L48/M48</f>
        <v>1.9401704067263275</v>
      </c>
      <c r="O48" s="39">
        <f>L48-1.96*M48</f>
        <v>-4.4441999410262806E-4</v>
      </c>
      <c r="P48" s="38">
        <f>L48+1.96*M48</f>
        <v>8.7410451905630765E-2</v>
      </c>
      <c r="Q48" t="str">
        <f t="shared" si="21"/>
        <v>0, 0.09</v>
      </c>
      <c r="R48" s="3">
        <f>SUM(P2:P20)</f>
        <v>-117.26742846363953</v>
      </c>
      <c r="S48" s="3">
        <f>SUM(Q2:Q20)</f>
        <v>3843</v>
      </c>
      <c r="T48" s="3">
        <f>SUM(R2:R20)</f>
        <v>17.079274550377399</v>
      </c>
      <c r="U48" s="5">
        <f t="shared" si="45"/>
        <v>13.50091135014976</v>
      </c>
      <c r="V48" s="7">
        <v>15</v>
      </c>
      <c r="W48" s="4">
        <f t="shared" si="46"/>
        <v>24.99579013972863</v>
      </c>
      <c r="X48" s="4">
        <f t="shared" si="47"/>
        <v>0.56366695184753046</v>
      </c>
      <c r="Y48" s="3" t="str">
        <f>IF(U48&lt;=W48,"Homogenous","Heterogeneous")</f>
        <v>Homogenous</v>
      </c>
      <c r="Z48" s="6">
        <f>R48/S48</f>
        <v>-3.0514553334280388E-2</v>
      </c>
      <c r="AA48" s="5">
        <f>SQRT(1/S48)</f>
        <v>1.6131130616527576E-2</v>
      </c>
      <c r="AB48" s="4">
        <f>Z48/AA48</f>
        <v>-1.8916562056112729</v>
      </c>
      <c r="AC48" s="38">
        <f>Z48-1.96*AA48</f>
        <v>-6.2131569342674435E-2</v>
      </c>
      <c r="AD48" s="38">
        <f>Z48+1.96*AA48</f>
        <v>1.1024626741136592E-3</v>
      </c>
      <c r="AE48" t="str">
        <f>ROUND(AC48,2)&amp;", "&amp;ROUND(AD48,2)</f>
        <v>-0.06, 0</v>
      </c>
    </row>
    <row r="49" spans="2:31" x14ac:dyDescent="0.3">
      <c r="G49" s="5"/>
      <c r="I49" s="4"/>
      <c r="J49" s="4"/>
      <c r="N49" s="3"/>
      <c r="U49" s="8"/>
      <c r="X49" s="4"/>
    </row>
    <row r="50" spans="2:31" x14ac:dyDescent="0.3">
      <c r="G50" s="5"/>
      <c r="I50" s="4"/>
      <c r="J50" s="4"/>
      <c r="N50" s="3"/>
      <c r="U50" s="8"/>
      <c r="X50" s="4"/>
    </row>
    <row r="51" spans="2:31" outlineLevel="1" x14ac:dyDescent="0.3">
      <c r="B51" t="s">
        <v>86</v>
      </c>
      <c r="F51" s="4" t="s">
        <v>59</v>
      </c>
      <c r="G51" s="5"/>
      <c r="I51" s="4"/>
      <c r="J51" s="4"/>
      <c r="N51" s="3"/>
      <c r="U51" s="8"/>
      <c r="X51" s="4"/>
    </row>
    <row r="52" spans="2:31" outlineLevel="1" x14ac:dyDescent="0.3">
      <c r="C52" s="7" t="s">
        <v>61</v>
      </c>
      <c r="D52" t="s">
        <v>55</v>
      </c>
      <c r="E52" s="4" t="s">
        <v>46</v>
      </c>
      <c r="F52" s="4" t="s">
        <v>56</v>
      </c>
      <c r="G52" s="5" t="s">
        <v>57</v>
      </c>
      <c r="H52" s="3" t="s">
        <v>58</v>
      </c>
      <c r="I52" s="4" t="s">
        <v>74</v>
      </c>
      <c r="J52" s="4"/>
      <c r="K52" s="3" t="s">
        <v>60</v>
      </c>
      <c r="L52" s="3" t="s">
        <v>3</v>
      </c>
      <c r="M52" s="3" t="s">
        <v>50</v>
      </c>
      <c r="N52" s="3" t="s">
        <v>51</v>
      </c>
      <c r="O52" t="s">
        <v>52</v>
      </c>
      <c r="P52" t="s">
        <v>53</v>
      </c>
      <c r="Q52" t="s">
        <v>77</v>
      </c>
      <c r="R52" t="s">
        <v>82</v>
      </c>
      <c r="S52" t="s">
        <v>46</v>
      </c>
      <c r="T52" t="s">
        <v>83</v>
      </c>
      <c r="U52" s="8" t="s">
        <v>57</v>
      </c>
      <c r="V52" t="s">
        <v>58</v>
      </c>
      <c r="W52" t="s">
        <v>74</v>
      </c>
      <c r="X52" s="4"/>
      <c r="Y52" t="s">
        <v>60</v>
      </c>
      <c r="Z52" t="s">
        <v>40</v>
      </c>
      <c r="AA52" t="s">
        <v>84</v>
      </c>
      <c r="AB52" t="s">
        <v>51</v>
      </c>
      <c r="AC52" t="s">
        <v>52</v>
      </c>
      <c r="AD52" t="s">
        <v>53</v>
      </c>
      <c r="AE52" t="s">
        <v>77</v>
      </c>
    </row>
    <row r="53" spans="2:31" outlineLevel="1" x14ac:dyDescent="0.3">
      <c r="B53" t="s">
        <v>44</v>
      </c>
      <c r="C53" s="7">
        <f>D2+D3+D4+D8</f>
        <v>2863</v>
      </c>
      <c r="D53" s="3">
        <f>J2+J3+J4+J8</f>
        <v>-0.97824310945222148</v>
      </c>
      <c r="E53" s="3">
        <f>K2+K3+K4+K8</f>
        <v>789.5353281248432</v>
      </c>
      <c r="F53" s="3">
        <f>L2+L3+L4+L8</f>
        <v>2.4920826120746553</v>
      </c>
      <c r="G53" s="5">
        <f>F53-(D53^2/E53)</f>
        <v>2.49087055791178</v>
      </c>
      <c r="H53" s="3">
        <v>4</v>
      </c>
      <c r="I53" s="4">
        <f>CHIINV(0.05,H53)</f>
        <v>9.4877290367811575</v>
      </c>
      <c r="J53" s="4">
        <f t="shared" ref="J53:J54" si="56">CHIDIST(G53,H53)</f>
        <v>0.64627130384039577</v>
      </c>
      <c r="K53" s="3" t="str">
        <f>IF(G53&lt;=I53,"Homogenous","Heterogeneous")</f>
        <v>Homogenous</v>
      </c>
      <c r="L53" s="3">
        <f>D53/E53</f>
        <v>-1.2390111938063136E-3</v>
      </c>
      <c r="M53" s="3">
        <f>SQRT(1/E53)</f>
        <v>3.558887143690951E-2</v>
      </c>
      <c r="N53" s="3">
        <f>L53/M53</f>
        <v>-3.4814568256337712E-2</v>
      </c>
      <c r="O53">
        <f>L53-1.96*M53</f>
        <v>-7.0993199210148961E-2</v>
      </c>
      <c r="P53">
        <f>L53+1.96*M53</f>
        <v>6.8515176822536328E-2</v>
      </c>
      <c r="Q53" t="str">
        <f t="shared" ref="Q53:Q67" si="57">ROUND(O53,2)&amp;", "&amp;ROUND(P53,2)</f>
        <v>-0.07, 0.07</v>
      </c>
      <c r="R53" s="3">
        <f>P2+P3+P4+P8</f>
        <v>-67.89571896603195</v>
      </c>
      <c r="S53" s="3">
        <f>Q2+Q3+Q4+Q8</f>
        <v>2851</v>
      </c>
      <c r="T53" s="3">
        <f>R2+R3+R4+R8</f>
        <v>1.9431945969187643</v>
      </c>
      <c r="U53" s="8">
        <f>T53-(R53^2/S53)</f>
        <v>0.32627819779060196</v>
      </c>
      <c r="V53" s="7">
        <v>4</v>
      </c>
      <c r="W53">
        <f>CHIINV(0.05,V53)</f>
        <v>9.4877290367811575</v>
      </c>
      <c r="X53" s="4">
        <f t="shared" ref="X53:X54" si="58">CHIDIST(U53,V53)</f>
        <v>0.98805528236452278</v>
      </c>
      <c r="Y53" t="str">
        <f>IF(U53&lt;=W53,"Homogenous","Heterogeneous")</f>
        <v>Homogenous</v>
      </c>
      <c r="Z53">
        <f>R53/S53</f>
        <v>-2.3814703250098896E-2</v>
      </c>
      <c r="AA53">
        <f>SQRT(1/S53)</f>
        <v>1.8728430830182382E-2</v>
      </c>
      <c r="AB53">
        <f>Z53/AA53</f>
        <v>-1.2715802763208317</v>
      </c>
      <c r="AC53">
        <f>Z53-1.96*AA53</f>
        <v>-6.0522427677256366E-2</v>
      </c>
      <c r="AD53">
        <f>Z53+1.96*AA53</f>
        <v>1.289302117705857E-2</v>
      </c>
      <c r="AE53" t="str">
        <f>ROUND(AC53,2)&amp;", "&amp;ROUND(AD53,2)</f>
        <v>-0.06, 0.01</v>
      </c>
    </row>
    <row r="54" spans="2:31" outlineLevel="1" x14ac:dyDescent="0.3">
      <c r="B54" t="s">
        <v>45</v>
      </c>
      <c r="C54" s="7">
        <f>D5+D6+D7+D12+D11+D13+D14+D15+D16+D17+D18+D19+D20</f>
        <v>1078</v>
      </c>
      <c r="D54" s="3">
        <f>J5+J6+J7+J11+J12+J13+J14+J15+J16+J17+J18+J19+J20</f>
        <v>42.284047343290844</v>
      </c>
      <c r="E54" s="3">
        <f>K5+K6+K7+K11+K12+K13+K14+K15+K16+K17+K18+K19+K20</f>
        <v>1045.5518016287988</v>
      </c>
      <c r="F54" s="3">
        <f>L5+L6+L7+L11+L12+L13+L14+L15+L16+L17+L18+L19+L20</f>
        <v>25.143174891870185</v>
      </c>
      <c r="G54" s="5">
        <f t="shared" ref="G54" si="59">F54-(D54^2/E54)</f>
        <v>23.433129864025229</v>
      </c>
      <c r="H54" s="3">
        <v>13</v>
      </c>
      <c r="I54" s="4">
        <f>CHIINV(0.05,H54)</f>
        <v>22.362032494826938</v>
      </c>
      <c r="J54" s="4">
        <f t="shared" si="56"/>
        <v>3.6762910680455382E-2</v>
      </c>
      <c r="K54" s="3" t="str">
        <f>IF(G54&lt;=I54,"Homogenous","Heterogeneous")</f>
        <v>Heterogeneous</v>
      </c>
      <c r="L54" s="3">
        <f>D54/E54</f>
        <v>4.044184829237462E-2</v>
      </c>
      <c r="M54" s="3">
        <f>SQRT(1/E54)</f>
        <v>3.0926247176836976E-2</v>
      </c>
      <c r="N54" s="3">
        <f>L54/M54</f>
        <v>1.3076868997756896</v>
      </c>
      <c r="O54">
        <f>L54-1.96*M54</f>
        <v>-2.0173596174225851E-2</v>
      </c>
      <c r="P54">
        <f>L54+1.96*M54</f>
        <v>0.1010572927589751</v>
      </c>
      <c r="Q54" t="str">
        <f t="shared" si="57"/>
        <v>-0.02, 0.1</v>
      </c>
      <c r="R54" s="3">
        <f>P5+P6+P7+P11+P12+P13+P14+P15+P16+P17+P18+P19+P20</f>
        <v>-66.350590729364754</v>
      </c>
      <c r="S54" s="3">
        <f>Q5+Q6+Q7+Q11+Q12+Q13+Q14+Q15+Q16+Q17+Q18+Q19+Q20</f>
        <v>848</v>
      </c>
      <c r="T54" s="3">
        <f>R5+R6+R7+R11+R12+R13+R14+R15+R16+R17+R18+R19+R20</f>
        <v>9.810783054285567</v>
      </c>
      <c r="U54" s="8">
        <f t="shared" ref="U54" si="60">T54-(R54^2/S54)</f>
        <v>4.6192725706350197</v>
      </c>
      <c r="V54" s="7">
        <v>9</v>
      </c>
      <c r="W54">
        <f>CHIINV(0.05,V54)</f>
        <v>16.918977604620451</v>
      </c>
      <c r="X54" s="4">
        <f t="shared" si="58"/>
        <v>0.86615520439915894</v>
      </c>
      <c r="Y54" t="str">
        <f>IF(U54&lt;=W54,"Homogenous","Heterogeneous")</f>
        <v>Homogenous</v>
      </c>
      <c r="Z54">
        <f>R54/S54</f>
        <v>-7.8243621143118808E-2</v>
      </c>
      <c r="AA54">
        <f>SQRT(1/S54)</f>
        <v>3.4340140987172259E-2</v>
      </c>
      <c r="AB54">
        <f>Z54/AA54</f>
        <v>-2.2784886402285496</v>
      </c>
      <c r="AC54">
        <f>Z54-1.96*AA54</f>
        <v>-0.14555029747797643</v>
      </c>
      <c r="AD54">
        <f>Z54+1.96*AA54</f>
        <v>-1.0936944808261184E-2</v>
      </c>
      <c r="AE54" t="str">
        <f>ROUND(AC54,2)&amp;", "&amp;ROUND(AD54,2)</f>
        <v>-0.15, -0.01</v>
      </c>
    </row>
    <row r="55" spans="2:31" outlineLevel="1" x14ac:dyDescent="0.3">
      <c r="G55" s="5"/>
      <c r="I55" s="4"/>
      <c r="J55" s="4"/>
      <c r="L55" s="6">
        <f>L53-L54</f>
        <v>-4.1680859486180936E-2</v>
      </c>
      <c r="M55" s="5">
        <f>2*SQRT(M53^2+M54^2)</f>
        <v>9.4297413211512651E-2</v>
      </c>
      <c r="N55" s="4"/>
      <c r="O55" s="6">
        <f>L55-M55</f>
        <v>-0.13597827269769358</v>
      </c>
      <c r="P55" s="6">
        <f>L55+M55</f>
        <v>5.2616553725331715E-2</v>
      </c>
      <c r="Q55" s="8" t="str">
        <f t="shared" si="57"/>
        <v>-0.14, 0.05</v>
      </c>
      <c r="U55" s="8"/>
      <c r="V55" s="7"/>
      <c r="X55" s="4"/>
    </row>
    <row r="56" spans="2:31" outlineLevel="1" x14ac:dyDescent="0.3">
      <c r="B56" t="s">
        <v>21</v>
      </c>
      <c r="C56" s="7">
        <f>D2+D3+D7+D8</f>
        <v>2845</v>
      </c>
      <c r="D56" s="3">
        <f>J2+J3+J7+J8</f>
        <v>-16.261450160322941</v>
      </c>
      <c r="E56" s="3">
        <f>K2+K3+K7+K8</f>
        <v>795.103127113445</v>
      </c>
      <c r="F56" s="3">
        <f>L2+L3+L7+L8</f>
        <v>1.2945963422626865</v>
      </c>
      <c r="G56" s="5">
        <f t="shared" ref="G56:G57" si="61">F56-(D56^2/E56)</f>
        <v>0.96201714303770647</v>
      </c>
      <c r="H56" s="3">
        <v>3</v>
      </c>
      <c r="I56" s="4">
        <f t="shared" ref="I56:I57" si="62">CHIINV(0.05,H56)</f>
        <v>7.8147279032511792</v>
      </c>
      <c r="J56" s="4">
        <f t="shared" ref="J56:J57" si="63">CHIDIST(G56,H56)</f>
        <v>0.8104415700144284</v>
      </c>
      <c r="K56" s="3" t="str">
        <f>IF(G56&lt;=I56,"Homogenous","Heterogeneous")</f>
        <v>Homogenous</v>
      </c>
      <c r="L56" s="3">
        <f>D56/E56</f>
        <v>-2.0452001263482344E-2</v>
      </c>
      <c r="M56" s="3">
        <f>SQRT(1/E56)</f>
        <v>3.5464044989619019E-2</v>
      </c>
      <c r="N56" s="3">
        <f>L56/M56</f>
        <v>-0.57669680008214019</v>
      </c>
      <c r="O56">
        <f>L56-1.96*M56</f>
        <v>-8.9961529443135624E-2</v>
      </c>
      <c r="P56">
        <f>L56+1.96*M56</f>
        <v>4.9057526916170935E-2</v>
      </c>
      <c r="Q56" t="str">
        <f t="shared" si="57"/>
        <v>-0.09, 0.05</v>
      </c>
      <c r="R56" s="3">
        <f>P2+P3+P7+P8</f>
        <v>-70.658830896570123</v>
      </c>
      <c r="S56" s="3">
        <f>Q2+Q3+Q7+Q8</f>
        <v>2833</v>
      </c>
      <c r="T56" s="3">
        <f>R2+R3+R7+R8</f>
        <v>2.2311788532113659</v>
      </c>
      <c r="U56" s="8">
        <f t="shared" ref="U56:U57" si="64">T56-(R56^2/S56)</f>
        <v>0.46885256176410417</v>
      </c>
      <c r="V56" s="7">
        <v>3</v>
      </c>
      <c r="W56">
        <f t="shared" ref="W56:W57" si="65">CHIINV(0.05,V56)</f>
        <v>7.8147279032511792</v>
      </c>
      <c r="X56" s="4">
        <f t="shared" ref="X56:X57" si="66">CHIDIST(U56,V56)</f>
        <v>0.92567910129527364</v>
      </c>
      <c r="Y56" t="str">
        <f>IF(U56&lt;=W56,"Homogenous","Heterogeneous")</f>
        <v>Homogenous</v>
      </c>
      <c r="Z56">
        <f>R56/S56</f>
        <v>-2.4941345180575406E-2</v>
      </c>
      <c r="AA56">
        <f>SQRT(1/S56)</f>
        <v>1.8787833931763167E-2</v>
      </c>
      <c r="AB56">
        <f>Z56/AA56</f>
        <v>-1.3275263806972959</v>
      </c>
      <c r="AC56">
        <f>Z56-1.96*AA56</f>
        <v>-6.1765499686831211E-2</v>
      </c>
      <c r="AD56">
        <f>Z56+1.96*AA56</f>
        <v>1.18828093256804E-2</v>
      </c>
      <c r="AE56" t="str">
        <f>ROUND(AC56,2)&amp;", "&amp;ROUND(AD56,2)</f>
        <v>-0.06, 0.01</v>
      </c>
    </row>
    <row r="57" spans="2:31" outlineLevel="1" x14ac:dyDescent="0.3">
      <c r="B57" t="s">
        <v>10</v>
      </c>
      <c r="C57" s="7">
        <f>D4+D5+D6+D11+D12+D13+D14+D15+D16+D17+D18+D19+D20</f>
        <v>1096</v>
      </c>
      <c r="D57" s="3">
        <f>J4+J5+J6+J11+J12+J13+J14+J15+J16+J17+J18+J19+J20</f>
        <v>57.567254394161573</v>
      </c>
      <c r="E57" s="3">
        <f>K4+K5+K6+K11+K12+K13+K14+K15+K16+K17+K18+K19+K20</f>
        <v>1039.9840026401969</v>
      </c>
      <c r="F57" s="3">
        <f>L4+L5+L6+L11+L12+L13+L14+L15+L16+L17+L18+L19+L20</f>
        <v>26.340661161682153</v>
      </c>
      <c r="G57" s="5">
        <f t="shared" si="61"/>
        <v>23.154084473897605</v>
      </c>
      <c r="H57" s="3">
        <v>14</v>
      </c>
      <c r="I57" s="4">
        <f t="shared" si="62"/>
        <v>23.68479130484058</v>
      </c>
      <c r="J57" s="4">
        <f t="shared" si="63"/>
        <v>5.7808215467128193E-2</v>
      </c>
      <c r="K57" s="3" t="str">
        <f>IF(G57&lt;=I57,"Homogenous","Heterogeneous")</f>
        <v>Homogenous</v>
      </c>
      <c r="L57" s="3">
        <f>D57/E57</f>
        <v>5.5353980684333767E-2</v>
      </c>
      <c r="M57" s="3">
        <f>SQRT(1/E57)</f>
        <v>3.100892213902913E-2</v>
      </c>
      <c r="N57" s="3">
        <f>L57/M57</f>
        <v>1.7850985092662388</v>
      </c>
      <c r="O57">
        <f>L57-1.96*M57</f>
        <v>-5.4235067081633281E-3</v>
      </c>
      <c r="P57">
        <f>L57+1.96*M57</f>
        <v>0.11613146807683086</v>
      </c>
      <c r="Q57" t="str">
        <f t="shared" si="57"/>
        <v>-0.01, 0.12</v>
      </c>
      <c r="R57" s="3">
        <f>P4+P5+P6+P11+P12+P13+P14+P15+P16+P17+P18+P19+P20</f>
        <v>-63.587478798826595</v>
      </c>
      <c r="S57" s="3">
        <f>Q4+Q5+Q6+Q11+Q12+Q13+Q14+Q15+Q16+Q17+Q18+Q19+Q20</f>
        <v>866</v>
      </c>
      <c r="T57" s="3">
        <f>R4+R5+R6+R11+R12+R13+R14+R15+R16+R17+R18+R19+R20</f>
        <v>9.5227987979929658</v>
      </c>
      <c r="U57" s="8">
        <f t="shared" si="64"/>
        <v>4.8537832552779294</v>
      </c>
      <c r="V57" s="7">
        <v>11</v>
      </c>
      <c r="W57">
        <f t="shared" si="65"/>
        <v>19.675137572682498</v>
      </c>
      <c r="X57" s="4">
        <f t="shared" si="66"/>
        <v>0.93804025981240757</v>
      </c>
      <c r="Y57" t="str">
        <f>IF(U57&lt;=W57,"Homogenous","Heterogeneous")</f>
        <v>Homogenous</v>
      </c>
      <c r="Z57">
        <f>R57/S57</f>
        <v>-7.3426649883171588E-2</v>
      </c>
      <c r="AA57">
        <f>SQRT(1/S57)</f>
        <v>3.3981383301529243E-2</v>
      </c>
      <c r="AB57">
        <f>Z57/AA57</f>
        <v>-2.1607904902407906</v>
      </c>
      <c r="AC57">
        <f>Z57-1.96*AA57</f>
        <v>-0.14003016115416889</v>
      </c>
      <c r="AD57">
        <f>Z57+1.96*AA57</f>
        <v>-6.823138612174276E-3</v>
      </c>
      <c r="AE57" t="str">
        <f>ROUND(AC57,2)&amp;", "&amp;ROUND(AD57,2)</f>
        <v>-0.14, -0.01</v>
      </c>
    </row>
    <row r="58" spans="2:31" outlineLevel="1" x14ac:dyDescent="0.3">
      <c r="G58" s="5"/>
      <c r="I58" s="4"/>
      <c r="J58" s="4"/>
      <c r="L58" s="6">
        <f>L56-L57</f>
        <v>-7.5805981947816112E-2</v>
      </c>
      <c r="M58" s="5">
        <f>2*SQRT(M56^2+M57^2)</f>
        <v>9.4217869626734674E-2</v>
      </c>
      <c r="N58" s="4"/>
      <c r="O58" s="6">
        <f>L58-M58</f>
        <v>-0.1700238515745508</v>
      </c>
      <c r="P58" s="6">
        <f>L58+M58</f>
        <v>1.8411887678918562E-2</v>
      </c>
      <c r="Q58" s="8" t="str">
        <f t="shared" si="57"/>
        <v>-0.17, 0.02</v>
      </c>
      <c r="U58" s="8"/>
      <c r="V58" s="7"/>
      <c r="X58" s="4"/>
    </row>
    <row r="59" spans="2:31" outlineLevel="1" x14ac:dyDescent="0.3">
      <c r="B59" t="s">
        <v>47</v>
      </c>
      <c r="C59" s="7">
        <f>D11+D12+D14+D15+D17+D16+D18+D19+D20</f>
        <v>554</v>
      </c>
      <c r="D59" s="3">
        <f>J11+J12+J14+J15+J16+J17+J18+J19+J20</f>
        <v>24.553548803174046</v>
      </c>
      <c r="E59" s="3">
        <f t="shared" ref="E59:F59" si="67">K11+K12+K14+K15+K16+K17+K18+K19+K20</f>
        <v>589.0969068546292</v>
      </c>
      <c r="F59" s="3">
        <f t="shared" si="67"/>
        <v>20.447127927787445</v>
      </c>
      <c r="G59" s="5">
        <f t="shared" ref="G59:G60" si="68">F59-(D59^2/E59)</f>
        <v>19.423736441913253</v>
      </c>
      <c r="H59" s="3">
        <v>10</v>
      </c>
      <c r="I59" s="4">
        <f t="shared" ref="I59:I60" si="69">CHIINV(0.05,H59)</f>
        <v>18.307038053275146</v>
      </c>
      <c r="J59" s="4">
        <f t="shared" ref="J59:J60" si="70">CHIDIST(G59,H59)</f>
        <v>3.5199189694159125E-2</v>
      </c>
      <c r="K59" s="3" t="str">
        <f>IF(G59&lt;=I59,"Homogenous","Heterogeneous")</f>
        <v>Heterogeneous</v>
      </c>
      <c r="L59" s="3">
        <f>D59/E59</f>
        <v>4.1679982558851046E-2</v>
      </c>
      <c r="M59" s="3">
        <f>SQRT(1/E59)</f>
        <v>4.120089296546102E-2</v>
      </c>
      <c r="N59" s="3">
        <f>L59/M59</f>
        <v>1.0116281361617976</v>
      </c>
      <c r="O59">
        <f>L59-1.96*M59</f>
        <v>-3.9073767653452544E-2</v>
      </c>
      <c r="P59">
        <f>L59+1.96*M59</f>
        <v>0.12243373277115463</v>
      </c>
      <c r="Q59" t="str">
        <f t="shared" si="57"/>
        <v>-0.04, 0.12</v>
      </c>
      <c r="R59" s="3">
        <f>P11+P12+P14+P15+P16+P17+P18+P19+P20</f>
        <v>-12.80371791094433</v>
      </c>
      <c r="S59" s="3">
        <f>Q11+Q12+Q14+Q15+Q16+Q17+Q18+Q19+Q20</f>
        <v>336</v>
      </c>
      <c r="T59" s="3">
        <f>R11+R12+R14+R15+R16+R17+R18+R19+R20</f>
        <v>3.8618881562659819</v>
      </c>
      <c r="U59" s="8">
        <f t="shared" ref="U59:U60" si="71">T59-(R59^2/S59)</f>
        <v>3.3739857981021824</v>
      </c>
      <c r="V59" s="7">
        <v>7</v>
      </c>
      <c r="W59">
        <f t="shared" ref="W59:W60" si="72">CHIINV(0.05,V59)</f>
        <v>14.067140449340167</v>
      </c>
      <c r="X59" s="4">
        <f t="shared" ref="X59:X60" si="73">CHIDIST(U59,V59)</f>
        <v>0.84838698320029593</v>
      </c>
      <c r="Y59" t="str">
        <f>IF(U59&lt;=W59,"Homogenous","Heterogeneous")</f>
        <v>Homogenous</v>
      </c>
      <c r="Z59">
        <f>R59/S59</f>
        <v>-3.8106303306381935E-2</v>
      </c>
      <c r="AA59">
        <f>SQRT(1/S59)</f>
        <v>5.4554472558998091E-2</v>
      </c>
      <c r="AB59">
        <f>Z59/AA59</f>
        <v>-0.69850007742576492</v>
      </c>
      <c r="AC59">
        <f>Z59-1.96*AA59</f>
        <v>-0.14503306952201819</v>
      </c>
      <c r="AD59">
        <f>Z59+1.96*AA59</f>
        <v>6.882046290925431E-2</v>
      </c>
      <c r="AE59" t="str">
        <f>ROUND(AC59,2)&amp;", "&amp;ROUND(AD59,2)</f>
        <v>-0.15, 0.07</v>
      </c>
    </row>
    <row r="60" spans="2:31" outlineLevel="1" x14ac:dyDescent="0.3">
      <c r="B60" t="s">
        <v>48</v>
      </c>
      <c r="C60">
        <f>D3+D2+D4+D6+D5+D7+D8+D13</f>
        <v>3387</v>
      </c>
      <c r="D60" s="3">
        <f>J2+J3+J4+J5+J6+J7+J8+J13</f>
        <v>16.752255430664587</v>
      </c>
      <c r="E60" s="3">
        <f>K2+K3+K4+K5+K6+K7+K8+K13</f>
        <v>1245.9902228990129</v>
      </c>
      <c r="F60" s="3">
        <f>L2+L3+L4+L5+L6+L7+L8+L13</f>
        <v>7.1881295761573911</v>
      </c>
      <c r="G60" s="5">
        <f t="shared" si="68"/>
        <v>6.9628966193840407</v>
      </c>
      <c r="H60" s="3">
        <v>7</v>
      </c>
      <c r="I60" s="4">
        <f t="shared" si="69"/>
        <v>14.067140449340167</v>
      </c>
      <c r="J60" s="4">
        <f t="shared" si="70"/>
        <v>0.43275326417802895</v>
      </c>
      <c r="K60" s="3" t="str">
        <f>IF(G60&lt;=I60,"Homogenous","Heterogeneous")</f>
        <v>Homogenous</v>
      </c>
      <c r="L60" s="3">
        <f>D60/E60</f>
        <v>1.3444933293045873E-2</v>
      </c>
      <c r="M60" s="3">
        <f>SQRT(1/E60)</f>
        <v>2.8329746132513402E-2</v>
      </c>
      <c r="N60" s="3">
        <f>L60/M60</f>
        <v>0.47458714349774672</v>
      </c>
      <c r="O60">
        <f>L60-1.96*M60</f>
        <v>-4.2081369126680396E-2</v>
      </c>
      <c r="P60">
        <f>L60+1.96*M60</f>
        <v>6.8971235712772139E-2</v>
      </c>
      <c r="Q60" t="str">
        <f t="shared" si="57"/>
        <v>-0.04, 0.07</v>
      </c>
      <c r="R60" s="3">
        <f>P2+P3+P4+P5+P6+P7+P8+P13</f>
        <v>-121.44259178445239</v>
      </c>
      <c r="S60" s="3">
        <f>Q2+Q3+Q4+Q5+Q6+Q7+Q8+Q13</f>
        <v>3363</v>
      </c>
      <c r="T60" s="3">
        <f>R2+R3+R4+R5+R6+R7+R8+R13</f>
        <v>7.8920894949383493</v>
      </c>
      <c r="U60" s="8">
        <f t="shared" si="71"/>
        <v>3.5066291621030405</v>
      </c>
      <c r="V60" s="7">
        <v>7</v>
      </c>
      <c r="W60">
        <f t="shared" si="72"/>
        <v>14.067140449340167</v>
      </c>
      <c r="X60" s="4">
        <f t="shared" si="73"/>
        <v>0.83452283096717617</v>
      </c>
      <c r="Y60" t="str">
        <f>IF(U60&lt;=W60,"Homogenous","Heterogeneous")</f>
        <v>Homogenous</v>
      </c>
      <c r="Z60">
        <f>R60/S60</f>
        <v>-3.6111386198171988E-2</v>
      </c>
      <c r="AA60">
        <f>SQRT(1/S60)</f>
        <v>1.724394251251618E-2</v>
      </c>
      <c r="AB60">
        <f>Z60/AA60</f>
        <v>-2.0941490713020667</v>
      </c>
      <c r="AC60">
        <f>Z60-1.96*AA60</f>
        <v>-6.9909513522703692E-2</v>
      </c>
      <c r="AD60">
        <f>Z60+1.96*AA60</f>
        <v>-2.3132588736402768E-3</v>
      </c>
      <c r="AE60" t="str">
        <f>ROUND(AC60,2)&amp;", "&amp;ROUND(AD60,2)</f>
        <v>-0.07, 0</v>
      </c>
    </row>
    <row r="61" spans="2:31" outlineLevel="1" x14ac:dyDescent="0.3">
      <c r="G61" s="5"/>
      <c r="I61" s="4"/>
      <c r="J61" s="4"/>
      <c r="L61" s="6">
        <f>L59-L60</f>
        <v>2.8235049265805175E-2</v>
      </c>
      <c r="M61" s="5">
        <f>2*SQRT(M59^2+M60^2)</f>
        <v>0.10000176192615876</v>
      </c>
      <c r="N61" s="4"/>
      <c r="O61" s="6">
        <f>L61-M61</f>
        <v>-7.1766712660353588E-2</v>
      </c>
      <c r="P61" s="6">
        <f>L61+M61</f>
        <v>0.12823681119196392</v>
      </c>
      <c r="Q61" s="8" t="str">
        <f t="shared" si="57"/>
        <v>-0.07, 0.13</v>
      </c>
      <c r="U61" s="8"/>
      <c r="V61" s="7"/>
      <c r="X61" s="4"/>
    </row>
    <row r="62" spans="2:31" outlineLevel="1" x14ac:dyDescent="0.3">
      <c r="B62" t="s">
        <v>12</v>
      </c>
      <c r="C62" s="7">
        <f>D12+D14+D16+D15+D17</f>
        <v>296</v>
      </c>
      <c r="D62" s="3">
        <f>J12+J14+J15+J16+J17</f>
        <v>-1.040655532295065</v>
      </c>
      <c r="E62" s="3">
        <f t="shared" ref="E62:F62" si="74">K12+K14+K15+K16+K17</f>
        <v>319.70436319907867</v>
      </c>
      <c r="F62" s="3">
        <f t="shared" si="74"/>
        <v>7.1212275778255325</v>
      </c>
      <c r="G62" s="5">
        <f t="shared" ref="G62:G63" si="75">F62-(D62^2/E62)</f>
        <v>7.1178401860300005</v>
      </c>
      <c r="H62" s="3">
        <v>4</v>
      </c>
      <c r="I62" s="4">
        <f t="shared" ref="I62:I63" si="76">CHIINV(0.05,H62)</f>
        <v>9.4877290367811575</v>
      </c>
      <c r="J62" s="4">
        <f t="shared" ref="J62:J63" si="77">CHIDIST(G62,H62)</f>
        <v>0.1297904153338352</v>
      </c>
      <c r="K62" s="3" t="str">
        <f>IF(G62&lt;=I62,"Homogenous","Heterogeneous")</f>
        <v>Homogenous</v>
      </c>
      <c r="L62" s="3">
        <f>D62/E62</f>
        <v>-3.2550557705308914E-3</v>
      </c>
      <c r="M62" s="3">
        <f>SQRT(1/E62)</f>
        <v>5.5927540155731169E-2</v>
      </c>
      <c r="N62" s="3">
        <f>L62/M62</f>
        <v>-5.8201304070716046E-2</v>
      </c>
      <c r="O62">
        <f>L62-1.96*M62</f>
        <v>-0.11287303447576398</v>
      </c>
      <c r="P62">
        <f>L62+1.96*M62</f>
        <v>0.10636292293470219</v>
      </c>
      <c r="Q62" t="str">
        <f t="shared" si="57"/>
        <v>-0.11, 0.11</v>
      </c>
      <c r="R62" s="3">
        <f>P12+P14+P15+P16+P17</f>
        <v>-6.1717613484799081</v>
      </c>
      <c r="S62" s="3">
        <f>Q12+Q14+Q15+Q16+Q17</f>
        <v>281</v>
      </c>
      <c r="T62" s="3">
        <f>R12+R14+R15+R16+R17</f>
        <v>3.0622000136038925</v>
      </c>
      <c r="U62" s="8">
        <f t="shared" ref="U62:U63" si="78">T62-(R62^2/S62)</f>
        <v>2.9266461412103317</v>
      </c>
      <c r="V62" s="7">
        <v>4</v>
      </c>
      <c r="W62">
        <f t="shared" ref="W62:W63" si="79">CHIINV(0.05,V62)</f>
        <v>9.4877290367811575</v>
      </c>
      <c r="X62" s="4">
        <f t="shared" ref="X62:X63" si="80">CHIDIST(U62,V62)</f>
        <v>0.57017508963870833</v>
      </c>
      <c r="Y62" t="str">
        <f>IF(U62&lt;=W62,"Homogenous","Heterogeneous")</f>
        <v>Homogenous</v>
      </c>
      <c r="Z62">
        <f>R62/S62</f>
        <v>-2.1963563517722093E-2</v>
      </c>
      <c r="AA62">
        <f>SQRT(1/S62)</f>
        <v>5.9654998627189357E-2</v>
      </c>
      <c r="AB62">
        <f>Z62/AA62</f>
        <v>-0.36817641477090929</v>
      </c>
      <c r="AC62">
        <f>Z62-1.96*AA62</f>
        <v>-0.13888736082701322</v>
      </c>
      <c r="AD62">
        <f>Z62+1.96*AA62</f>
        <v>9.4960233791569038E-2</v>
      </c>
      <c r="AE62" t="str">
        <f>ROUND(AC62,2)&amp;", "&amp;ROUND(AD62,2)</f>
        <v>-0.14, 0.09</v>
      </c>
    </row>
    <row r="63" spans="2:31" outlineLevel="1" x14ac:dyDescent="0.3">
      <c r="B63" t="s">
        <v>23</v>
      </c>
      <c r="C63" s="7">
        <f>D2+D3+D4+D5+D6+D7+D8+D11+D13+D18+D19+D20</f>
        <v>3645</v>
      </c>
      <c r="D63" s="3">
        <f>J2+J3+J4+J5+J6+J7+J8+J11+J13+J18+J19+J20</f>
        <v>42.346459766133698</v>
      </c>
      <c r="E63" s="3">
        <f>K2+K3+K4+K5+K6+K7+K8+K11+K13+K18+K19+K20</f>
        <v>1515.3827665545634</v>
      </c>
      <c r="F63" s="3">
        <f>L2+L3+L4+L5+L6+L7+L8+L11+L13+L18+L19+L20</f>
        <v>20.514029926119303</v>
      </c>
      <c r="G63" s="5">
        <f t="shared" si="75"/>
        <v>19.330683583332309</v>
      </c>
      <c r="H63" s="3">
        <v>13</v>
      </c>
      <c r="I63" s="4">
        <f t="shared" si="76"/>
        <v>22.362032494826938</v>
      </c>
      <c r="J63" s="4">
        <f t="shared" si="77"/>
        <v>0.11320222034461125</v>
      </c>
      <c r="K63" s="3" t="str">
        <f>IF(G63&lt;=I63,"Homogenous","Heterogeneous")</f>
        <v>Homogenous</v>
      </c>
      <c r="L63" s="3">
        <f>D63/E63</f>
        <v>2.7944398405964684E-2</v>
      </c>
      <c r="M63" s="3">
        <f>SQRT(1/E63)</f>
        <v>2.5688504866203686E-2</v>
      </c>
      <c r="N63" s="3">
        <f>L63/M63</f>
        <v>1.0878172377688238</v>
      </c>
      <c r="O63">
        <f>L63-1.96*M63</f>
        <v>-2.2405071131794543E-2</v>
      </c>
      <c r="P63">
        <f>L63+1.96*M63</f>
        <v>7.8293867943723908E-2</v>
      </c>
      <c r="Q63" t="str">
        <f t="shared" si="57"/>
        <v>-0.02, 0.08</v>
      </c>
      <c r="R63" s="3">
        <f>P2+P3+P4+P5+P6+P7+P8+P11+P13+P18+P19+P20</f>
        <v>-128.0745483469168</v>
      </c>
      <c r="S63" s="3">
        <f>Q2+Q3+Q4+Q5+Q6+Q7+Q8+Q11+Q13+Q18+Q19+Q20</f>
        <v>3418</v>
      </c>
      <c r="T63" s="3">
        <f>R2+R3+R4+R5+R6+R7+R8+R11+R13+R18+R19+R20</f>
        <v>8.6917776376004401</v>
      </c>
      <c r="U63" s="8">
        <f t="shared" si="78"/>
        <v>3.8927460594065462</v>
      </c>
      <c r="V63" s="7">
        <v>10</v>
      </c>
      <c r="W63">
        <f t="shared" si="79"/>
        <v>18.307038053275146</v>
      </c>
      <c r="X63" s="4">
        <f t="shared" si="80"/>
        <v>0.95205569330702466</v>
      </c>
      <c r="Y63" t="str">
        <f>IF(U63&lt;=W63,"Homogenous","Heterogeneous")</f>
        <v>Homogenous</v>
      </c>
      <c r="Z63">
        <f>R63/S63</f>
        <v>-3.747061098505465E-2</v>
      </c>
      <c r="AA63">
        <f>SQRT(1/S63)</f>
        <v>1.7104641289927988E-2</v>
      </c>
      <c r="AB63">
        <f>Z63/AA63</f>
        <v>-2.1906692078435515</v>
      </c>
      <c r="AC63">
        <f>Z63-1.96*AA63</f>
        <v>-7.0995707913313499E-2</v>
      </c>
      <c r="AD63">
        <f>Z63+1.96*AA63</f>
        <v>-3.9455140567957944E-3</v>
      </c>
      <c r="AE63" t="str">
        <f>ROUND(AC63,2)&amp;", "&amp;ROUND(AD63,2)</f>
        <v>-0.07, 0</v>
      </c>
    </row>
    <row r="64" spans="2:31" outlineLevel="1" x14ac:dyDescent="0.3">
      <c r="G64" s="5"/>
      <c r="I64" s="4"/>
      <c r="J64" s="4"/>
      <c r="L64" s="6">
        <f>L62-L63</f>
        <v>-3.1199454176495577E-2</v>
      </c>
      <c r="M64" s="5">
        <f>2*SQRT(M62^2+M63^2)</f>
        <v>0.12309003257992733</v>
      </c>
      <c r="N64" s="4"/>
      <c r="O64" s="6">
        <f>L64-M64</f>
        <v>-0.1542894867564229</v>
      </c>
      <c r="P64" s="6">
        <f>L64+M64</f>
        <v>9.1890578403431761E-2</v>
      </c>
      <c r="Q64" s="8" t="str">
        <f t="shared" si="57"/>
        <v>-0.15, 0.09</v>
      </c>
      <c r="U64" s="8"/>
      <c r="V64" s="7"/>
      <c r="X64" s="4"/>
    </row>
    <row r="65" spans="2:31" outlineLevel="1" x14ac:dyDescent="0.3">
      <c r="B65" t="s">
        <v>13</v>
      </c>
      <c r="C65" s="7">
        <f>D2+D11+D18+D19+D20+D17</f>
        <v>420</v>
      </c>
      <c r="D65" s="3">
        <f>J2+J11+J18+J19+J20+J17</f>
        <v>8.3295861806539051</v>
      </c>
      <c r="E65" s="3">
        <f>K2+K11+K18+K19+K20+K17</f>
        <v>423.00888481667818</v>
      </c>
      <c r="F65" s="3">
        <f>L2+L11+L18+L19+L20+L17</f>
        <v>15.268996788759393</v>
      </c>
      <c r="G65" s="5">
        <f t="shared" ref="G65:G67" si="81">F65-(D65^2/E65)</f>
        <v>15.104976579181505</v>
      </c>
      <c r="H65" s="3">
        <v>6</v>
      </c>
      <c r="I65" s="4">
        <f t="shared" ref="I65:I67" si="82">CHIINV(0.05,H65)</f>
        <v>12.591587243743978</v>
      </c>
      <c r="J65" s="4">
        <f t="shared" ref="J65:J67" si="83">CHIDIST(G65,H65)</f>
        <v>1.9455760556294742E-2</v>
      </c>
      <c r="K65" s="3" t="str">
        <f>IF(G65&lt;=I65,"Homogenous","Heterogeneous")</f>
        <v>Heterogeneous</v>
      </c>
      <c r="L65" s="3">
        <f t="shared" ref="L65:L66" si="84">D65/E65</f>
        <v>1.969127949703408E-2</v>
      </c>
      <c r="M65" s="3">
        <f t="shared" ref="M65:M66" si="85">SQRT(1/E65)</f>
        <v>4.8621153208796349E-2</v>
      </c>
      <c r="N65" s="3">
        <f t="shared" ref="N65:N66" si="86">L65/M65</f>
        <v>0.40499408585544638</v>
      </c>
      <c r="O65">
        <f t="shared" ref="O65:O66" si="87">L65-1.96*M65</f>
        <v>-7.5606180792206767E-2</v>
      </c>
      <c r="P65">
        <f t="shared" ref="P65:P66" si="88">L65+1.96*M65</f>
        <v>0.11498873978627491</v>
      </c>
      <c r="Q65" t="str">
        <f t="shared" si="57"/>
        <v>-0.08, 0.11</v>
      </c>
      <c r="R65" s="3">
        <f>P2+P11+P18+P19+P20+P17</f>
        <v>-15.70976441587811</v>
      </c>
      <c r="S65" s="3">
        <f>Q2+Q11+Q18+Q19+Q20+Q17</f>
        <v>211</v>
      </c>
      <c r="T65" s="3">
        <f>R2+R11+R18+R19+R20+R17</f>
        <v>1.3374989061918894</v>
      </c>
      <c r="U65" s="8">
        <f t="shared" ref="U65:U67" si="89">T65-(R65^2/S65)</f>
        <v>0.16784630902416375</v>
      </c>
      <c r="V65" s="7">
        <v>4</v>
      </c>
      <c r="W65">
        <f t="shared" ref="W65:W67" si="90">CHIINV(0.05,V65)</f>
        <v>9.4877290367811575</v>
      </c>
      <c r="X65" s="4">
        <f t="shared" ref="X65:X67" si="91">CHIDIST(U65,V65)</f>
        <v>0.99666941406834531</v>
      </c>
      <c r="Y65" t="str">
        <f>IF(U65&lt;=W65,"Homogenous","Heterogeneous")</f>
        <v>Homogenous</v>
      </c>
      <c r="Z65">
        <f t="shared" ref="Z65:Z66" si="92">R65/S65</f>
        <v>-7.4453859790891516E-2</v>
      </c>
      <c r="AA65">
        <f t="shared" ref="AA65:AA66" si="93">SQRT(1/S65)</f>
        <v>6.8842839082151427E-2</v>
      </c>
      <c r="AB65">
        <f t="shared" ref="AB65:AB66" si="94">Z65/AA65</f>
        <v>-1.0815047837008052</v>
      </c>
      <c r="AC65">
        <f t="shared" ref="AC65:AC66" si="95">Z65-1.96*AA65</f>
        <v>-0.20938582439190834</v>
      </c>
      <c r="AD65">
        <f t="shared" ref="AD65:AD66" si="96">Z65+1.96*AA65</f>
        <v>6.0478104810125291E-2</v>
      </c>
      <c r="AE65" t="str">
        <f>ROUND(AC65,2)&amp;", "&amp;ROUND(AD65,2)</f>
        <v>-0.21, 0.06</v>
      </c>
    </row>
    <row r="66" spans="2:31" outlineLevel="1" x14ac:dyDescent="0.3">
      <c r="B66" t="s">
        <v>24</v>
      </c>
      <c r="C66" s="7">
        <f>D3+D4+D5+D6+D7+D8+D12+D13+D14+D15+D16</f>
        <v>3521</v>
      </c>
      <c r="D66" s="3">
        <f>J3+J4+J5+J6+J7+J8+J12+J13+J14+J15+J16</f>
        <v>32.976218053184716</v>
      </c>
      <c r="E66" s="3">
        <f>K3+K4+K5+K6+K7+K8+K12+K13+K14+K15+K16</f>
        <v>1412.0782449369638</v>
      </c>
      <c r="F66" s="3">
        <f>L3+L4+L5+L6+L7+L8+L12+L13+L14+L15+L16</f>
        <v>12.366260715185447</v>
      </c>
      <c r="G66" s="5">
        <f t="shared" si="81"/>
        <v>11.596168150562919</v>
      </c>
      <c r="H66" s="3">
        <v>11</v>
      </c>
      <c r="I66" s="4">
        <f t="shared" si="82"/>
        <v>19.675137572682498</v>
      </c>
      <c r="J66" s="4">
        <f t="shared" si="83"/>
        <v>0.39475000923923798</v>
      </c>
      <c r="K66" s="3" t="str">
        <f>IF(G66&lt;=I66,"Homogenous","Heterogeneous")</f>
        <v>Homogenous</v>
      </c>
      <c r="L66" s="3">
        <f t="shared" si="84"/>
        <v>2.3352967989855831E-2</v>
      </c>
      <c r="M66" s="3">
        <f t="shared" si="85"/>
        <v>2.6611577450378548E-2</v>
      </c>
      <c r="N66" s="3">
        <f t="shared" si="86"/>
        <v>0.87754918074289645</v>
      </c>
      <c r="O66">
        <f t="shared" si="87"/>
        <v>-2.8805723812886118E-2</v>
      </c>
      <c r="P66">
        <f t="shared" si="88"/>
        <v>7.5511659792597774E-2</v>
      </c>
      <c r="Q66" t="str">
        <f t="shared" si="57"/>
        <v>-0.03, 0.08</v>
      </c>
      <c r="R66" s="3">
        <f>P3+P4+P5+P6+P7+P8+P12+P13+P14+P15+P16</f>
        <v>-118.53654527951861</v>
      </c>
      <c r="S66" s="3">
        <f>Q3+Q4+Q5+Q6+Q7+Q8+Q12+Q13+Q14+Q15+Q16</f>
        <v>3488</v>
      </c>
      <c r="T66" s="3">
        <f>R3+R4+R5+R6+R7+R8+R12+R13+R14+R15+R16</f>
        <v>10.416478745012443</v>
      </c>
      <c r="U66" s="8">
        <f t="shared" si="89"/>
        <v>6.3881207843463406</v>
      </c>
      <c r="V66" s="7">
        <v>10</v>
      </c>
      <c r="W66">
        <f t="shared" si="90"/>
        <v>18.307038053275146</v>
      </c>
      <c r="X66" s="4">
        <f t="shared" si="91"/>
        <v>0.78166952497072129</v>
      </c>
      <c r="Y66" t="str">
        <f>IF(U66&lt;=W66,"Homogenous","Heterogeneous")</f>
        <v>Homogenous</v>
      </c>
      <c r="Z66">
        <f t="shared" si="92"/>
        <v>-3.3984101284265655E-2</v>
      </c>
      <c r="AA66">
        <f t="shared" si="93"/>
        <v>1.693213653696491E-2</v>
      </c>
      <c r="AB66">
        <f t="shared" si="94"/>
        <v>-2.0070769692929322</v>
      </c>
      <c r="AC66">
        <f t="shared" si="95"/>
        <v>-6.7171088896716885E-2</v>
      </c>
      <c r="AD66">
        <f t="shared" si="96"/>
        <v>-7.9711367181443255E-4</v>
      </c>
      <c r="AE66" t="str">
        <f>ROUND(AC66,2)&amp;", "&amp;ROUND(AD66,2)</f>
        <v>-0.07, 0</v>
      </c>
    </row>
    <row r="67" spans="2:31" outlineLevel="1" x14ac:dyDescent="0.3">
      <c r="B67" t="s">
        <v>49</v>
      </c>
      <c r="C67" s="7">
        <f>SUM(D2:D20)-D9-D10</f>
        <v>3941</v>
      </c>
      <c r="D67" s="3">
        <f>SUM(J2:J20)-J10-J9</f>
        <v>41.305804233838636</v>
      </c>
      <c r="E67" s="3">
        <f>SUM(K2:K20)-K10-K9</f>
        <v>1835.0871297536421</v>
      </c>
      <c r="F67" s="3">
        <f>SUM(L2:L20)-L10-L9</f>
        <v>27.635257503944835</v>
      </c>
      <c r="G67" s="5">
        <f t="shared" si="81"/>
        <v>26.705509027297161</v>
      </c>
      <c r="H67" s="3">
        <v>18</v>
      </c>
      <c r="I67" s="4">
        <f t="shared" si="82"/>
        <v>28.869299430392633</v>
      </c>
      <c r="J67" s="4">
        <f t="shared" si="83"/>
        <v>8.4687128808268106E-2</v>
      </c>
      <c r="K67" s="3" t="str">
        <f>IF(G67&lt;=I67,"Homogenous","Heterogeneous")</f>
        <v>Homogenous</v>
      </c>
      <c r="L67" s="3">
        <f>D67/E67</f>
        <v>2.2508906287944965E-2</v>
      </c>
      <c r="M67" s="3">
        <f>SQRT(1/E67)</f>
        <v>2.3343805462272472E-2</v>
      </c>
      <c r="N67" s="3">
        <f>L67/M67</f>
        <v>0.96423465849743972</v>
      </c>
      <c r="O67">
        <f>L67-1.96*M67</f>
        <v>-2.3244952418109078E-2</v>
      </c>
      <c r="P67">
        <f>L67+1.96*M67</f>
        <v>6.8262764993999012E-2</v>
      </c>
      <c r="Q67" t="str">
        <f t="shared" si="57"/>
        <v>-0.02, 0.07</v>
      </c>
      <c r="R67" s="3">
        <f>SUM(P2:P20)-P10-P9</f>
        <v>-134.24630969539672</v>
      </c>
      <c r="S67" s="3">
        <f>SUM(Q2:Q20)-Q10-Q9</f>
        <v>3699</v>
      </c>
      <c r="T67" s="3">
        <f>SUM(R2:R20)-R10-R9</f>
        <v>11.75397765120433</v>
      </c>
      <c r="U67" s="8">
        <f t="shared" si="89"/>
        <v>6.8818306744991764</v>
      </c>
      <c r="V67" s="7">
        <v>15</v>
      </c>
      <c r="W67">
        <f t="shared" si="90"/>
        <v>24.99579013972863</v>
      </c>
      <c r="X67" s="4">
        <f t="shared" si="91"/>
        <v>0.96084620725358749</v>
      </c>
      <c r="Y67" t="str">
        <f>IF(U67&lt;=W67,"Homogenous","Heterogeneous")</f>
        <v>Homogenous</v>
      </c>
      <c r="Z67">
        <f>R67/S67</f>
        <v>-3.6292595213678489E-2</v>
      </c>
      <c r="AA67">
        <f>SQRT(1/S67)</f>
        <v>1.6442120788899669E-2</v>
      </c>
      <c r="AB67">
        <f>Z67/AA67</f>
        <v>-2.2072940394757459</v>
      </c>
      <c r="AC67">
        <f>Z67-1.96*AA67</f>
        <v>-6.8519151959921837E-2</v>
      </c>
      <c r="AD67">
        <f>Z67+1.96*AA67</f>
        <v>-4.0660384674351402E-3</v>
      </c>
      <c r="AE67" t="str">
        <f>ROUND(AC67,2)&amp;", "&amp;ROUND(AD67,2)</f>
        <v>-0.07, 0</v>
      </c>
    </row>
    <row r="68" spans="2:31" x14ac:dyDescent="0.3">
      <c r="I68" s="4"/>
      <c r="J68" s="4"/>
      <c r="N68" s="3"/>
      <c r="V68" s="7"/>
    </row>
    <row r="69" spans="2:31" x14ac:dyDescent="0.3">
      <c r="I69" s="4"/>
      <c r="J69" s="4"/>
      <c r="N69" s="3"/>
      <c r="V69" s="7"/>
    </row>
    <row r="70" spans="2:31" x14ac:dyDescent="0.3">
      <c r="B70" t="s">
        <v>88</v>
      </c>
      <c r="F70" s="4" t="s">
        <v>59</v>
      </c>
    </row>
    <row r="71" spans="2:31" x14ac:dyDescent="0.3">
      <c r="C71" s="7" t="s">
        <v>61</v>
      </c>
      <c r="D71" t="s">
        <v>55</v>
      </c>
      <c r="E71" s="4" t="s">
        <v>46</v>
      </c>
      <c r="F71" s="4" t="s">
        <v>56</v>
      </c>
      <c r="G71" s="4" t="s">
        <v>57</v>
      </c>
      <c r="H71" s="3" t="s">
        <v>58</v>
      </c>
      <c r="I71" s="3" t="s">
        <v>74</v>
      </c>
      <c r="J71" s="3" t="s">
        <v>87</v>
      </c>
      <c r="K71" s="3" t="s">
        <v>60</v>
      </c>
      <c r="L71" s="3" t="s">
        <v>3</v>
      </c>
      <c r="M71" s="3" t="s">
        <v>50</v>
      </c>
      <c r="N71" t="s">
        <v>51</v>
      </c>
      <c r="O71" t="s">
        <v>52</v>
      </c>
      <c r="P71" t="s">
        <v>53</v>
      </c>
      <c r="Q71" t="s">
        <v>77</v>
      </c>
      <c r="R71" t="s">
        <v>82</v>
      </c>
      <c r="S71" t="s">
        <v>46</v>
      </c>
      <c r="T71" t="s">
        <v>83</v>
      </c>
      <c r="U71" t="s">
        <v>57</v>
      </c>
      <c r="V71" t="s">
        <v>58</v>
      </c>
      <c r="W71" t="s">
        <v>74</v>
      </c>
      <c r="X71" t="s">
        <v>87</v>
      </c>
      <c r="Y71" t="s">
        <v>60</v>
      </c>
      <c r="Z71" t="s">
        <v>40</v>
      </c>
      <c r="AA71" t="s">
        <v>84</v>
      </c>
      <c r="AB71" t="s">
        <v>51</v>
      </c>
      <c r="AC71" t="s">
        <v>52</v>
      </c>
      <c r="AD71" t="s">
        <v>53</v>
      </c>
      <c r="AE71" t="s">
        <v>77</v>
      </c>
    </row>
    <row r="72" spans="2:31" outlineLevel="1" x14ac:dyDescent="0.3">
      <c r="B72" t="s">
        <v>44</v>
      </c>
      <c r="C72" s="40">
        <f>D2+D3+D4+D9</f>
        <v>494</v>
      </c>
      <c r="D72" s="3">
        <f>J2+J3+J4+J9</f>
        <v>17.08398566978606</v>
      </c>
      <c r="E72" s="3">
        <f t="shared" ref="E72:F72" si="97">K2+K3+K4+K9</f>
        <v>422.08536703979343</v>
      </c>
      <c r="F72" s="3">
        <f t="shared" si="97"/>
        <v>5.5079156327409944</v>
      </c>
      <c r="G72" s="5">
        <f>F72-(D72^2/E72)</f>
        <v>4.8164380569786029</v>
      </c>
      <c r="H72" s="7">
        <v>3</v>
      </c>
      <c r="I72" s="4">
        <f>CHIINV(0.05,H72)</f>
        <v>7.8147279032511792</v>
      </c>
      <c r="J72" s="4">
        <f>CHIDIST(G72,H72)</f>
        <v>0.18574259131805904</v>
      </c>
      <c r="K72" s="3" t="str">
        <f>IF(G72&lt;=I72,"Homogenous","Heterogeneous")</f>
        <v>Homogenous</v>
      </c>
      <c r="L72" s="6">
        <f>D72/E72</f>
        <v>4.0475190574837942E-2</v>
      </c>
      <c r="M72" s="5">
        <f>SQRT(1/E72)</f>
        <v>4.8674315398396999E-2</v>
      </c>
      <c r="N72" s="4">
        <f>L72/M72</f>
        <v>0.83155130675286126</v>
      </c>
      <c r="O72" s="38">
        <f>L72-1.96*M72</f>
        <v>-5.4926467606020178E-2</v>
      </c>
      <c r="P72" s="38">
        <f>L72+1.96*M72</f>
        <v>0.13587684875569606</v>
      </c>
      <c r="Q72" t="str">
        <f t="shared" ref="Q72:Q89" si="98">ROUND(O72,2)&amp;", "&amp;ROUND(P72,2)</f>
        <v>-0.05, 0.14</v>
      </c>
      <c r="R72" s="3">
        <f>P2+P3+P4+P9</f>
        <v>3.1255011877769583</v>
      </c>
      <c r="S72" s="3">
        <f>Q2+Q3+Q4+Q9</f>
        <v>482</v>
      </c>
      <c r="T72" s="3">
        <f t="shared" ref="T72" si="99">R2+R3+R4+R9</f>
        <v>5.8086708211969178</v>
      </c>
      <c r="U72" s="5">
        <f>T72-(R72^2/S72)</f>
        <v>5.7884036890915338</v>
      </c>
      <c r="V72" s="7">
        <v>3</v>
      </c>
      <c r="W72" s="4">
        <f>CHIINV(0.05,V72)</f>
        <v>7.8147279032511792</v>
      </c>
      <c r="X72" s="4">
        <f>CHIDIST(U72,V72)</f>
        <v>0.12237113425063149</v>
      </c>
      <c r="Y72" s="3" t="str">
        <f>IF(U72&lt;=W72,"Homogenous","Heterogeneous")</f>
        <v>Homogenous</v>
      </c>
      <c r="Z72" s="6">
        <f>R72/S72</f>
        <v>6.4844422982924445E-3</v>
      </c>
      <c r="AA72" s="5">
        <f>SQRT(1/S72)</f>
        <v>4.5548751867427698E-2</v>
      </c>
      <c r="AB72" s="4">
        <f>Z72/AA72</f>
        <v>0.14236267806340319</v>
      </c>
      <c r="AC72" s="38">
        <f>Z72-1.96*AA72</f>
        <v>-8.2791111361865843E-2</v>
      </c>
      <c r="AD72" s="38">
        <f>Z72+1.96*AA72</f>
        <v>9.5759995958450722E-2</v>
      </c>
      <c r="AE72" t="str">
        <f>ROUND(AC72,2)&amp;", "&amp;ROUND(AD72,2)</f>
        <v>-0.08, 0.1</v>
      </c>
    </row>
    <row r="73" spans="2:31" outlineLevel="1" x14ac:dyDescent="0.3">
      <c r="B73" t="s">
        <v>45</v>
      </c>
      <c r="C73" s="40">
        <f>D5+D6+D7+D10+D11+D14+D15+D16+D17+D18+D19+D20+D13+D12</f>
        <v>1128</v>
      </c>
      <c r="D73" s="3">
        <f>J5+J6+J7+J10+J11+J14+J15+J16+J17+J18+J19+J20+J13+J12</f>
        <v>71.503477933176725</v>
      </c>
      <c r="E73" s="3">
        <f t="shared" ref="E73:F73" si="100">K5+K6+K7+K10+K11+K14+K15+K16+K17+K18+K19+K20+K13+K12</f>
        <v>1116.2320351985582</v>
      </c>
      <c r="F73" s="3">
        <f t="shared" si="100"/>
        <v>37.222579286516201</v>
      </c>
      <c r="G73" s="5">
        <f t="shared" ref="G73" si="101">F73-(D73^2/E73)</f>
        <v>32.642216785424907</v>
      </c>
      <c r="H73" s="7">
        <v>13</v>
      </c>
      <c r="I73" s="4">
        <f>CHIINV(0.05,H73)</f>
        <v>22.362032494826938</v>
      </c>
      <c r="J73" s="4">
        <f>CHIDIST(G73,H73)</f>
        <v>1.9277529028801435E-3</v>
      </c>
      <c r="K73" s="3" t="str">
        <f>IF(G73&lt;=I73,"Homogenous","Heterogeneous")</f>
        <v>Heterogeneous</v>
      </c>
      <c r="L73" s="6">
        <f>D73/E73</f>
        <v>6.4057898069963121E-2</v>
      </c>
      <c r="M73" s="5">
        <f>SQRT(1/E73)</f>
        <v>2.9931105575670556E-2</v>
      </c>
      <c r="N73" s="4">
        <f>L73/M73</f>
        <v>2.1401781470455425</v>
      </c>
      <c r="O73" s="38">
        <f>L73-1.96*M73</f>
        <v>5.3929311416488351E-3</v>
      </c>
      <c r="P73" s="38">
        <f>L73+1.96*M73</f>
        <v>0.12272286499827741</v>
      </c>
      <c r="Q73" t="str">
        <f t="shared" si="98"/>
        <v>0.01, 0.12</v>
      </c>
      <c r="R73" s="3">
        <f>P5+P6+P7+P10+P11+P14+P15+P16+P17+P18+P19+P20+P13+P12</f>
        <v>-71.066352072725309</v>
      </c>
      <c r="S73" s="3">
        <f>Q5+Q6+Q7+Q10+Q11+Q14+Q15+Q16+Q17+Q18+Q19+Q20+Q13+Q12</f>
        <v>895</v>
      </c>
      <c r="T73" s="3">
        <f t="shared" ref="T73" si="102">R5+R6+R7+R10+R11+R14+R15+R16+R17+R18+R19+R20+R13+R12</f>
        <v>10.283940608488413</v>
      </c>
      <c r="U73" s="5">
        <f t="shared" ref="U73" si="103">T73-(R73^2/S73)</f>
        <v>4.6410060867850067</v>
      </c>
      <c r="V73" s="7">
        <v>9</v>
      </c>
      <c r="W73" s="4">
        <f>CHIINV(0.05,V73)</f>
        <v>16.918977604620451</v>
      </c>
      <c r="X73" s="4">
        <f>CHIDIST(U73,V73)</f>
        <v>0.86441336883170439</v>
      </c>
      <c r="Y73" s="3" t="str">
        <f>IF(U73&lt;=W73,"Homogenous","Heterogeneous")</f>
        <v>Homogenous</v>
      </c>
      <c r="Z73" s="6">
        <f>R73/S73</f>
        <v>-7.9403745332653972E-2</v>
      </c>
      <c r="AA73" s="5">
        <f>SQRT(1/S73)</f>
        <v>3.3426313523243781E-2</v>
      </c>
      <c r="AB73" s="4">
        <f>Z73/AA73</f>
        <v>-2.3754861653361412</v>
      </c>
      <c r="AC73" s="38">
        <f>Z73-1.96*AA73</f>
        <v>-0.14491931983821177</v>
      </c>
      <c r="AD73" s="38">
        <f>Z73+1.96*AA73</f>
        <v>-1.3888170827096161E-2</v>
      </c>
      <c r="AE73" t="str">
        <f>ROUND(AC73,2)&amp;", "&amp;ROUND(AD73,2)</f>
        <v>-0.14, -0.01</v>
      </c>
    </row>
    <row r="74" spans="2:31" outlineLevel="1" x14ac:dyDescent="0.3">
      <c r="C74" s="40"/>
      <c r="E74"/>
      <c r="F74"/>
      <c r="G74" s="5"/>
      <c r="H74" s="7"/>
      <c r="I74" s="4"/>
      <c r="J74" s="4"/>
      <c r="L74" s="6">
        <f>L72-L73</f>
        <v>-2.3582707495125178E-2</v>
      </c>
      <c r="M74" s="5">
        <f>2*SQRT(M72^2+M73^2)</f>
        <v>0.11428140812021113</v>
      </c>
      <c r="N74" s="4"/>
      <c r="O74" s="6">
        <f>L74-M74</f>
        <v>-0.13786411561533632</v>
      </c>
      <c r="P74" s="6">
        <f>L74+M74</f>
        <v>9.0698700625085948E-2</v>
      </c>
      <c r="Q74" s="8" t="str">
        <f t="shared" si="98"/>
        <v>-0.14, 0.09</v>
      </c>
      <c r="S74" s="38"/>
      <c r="T74" s="38"/>
      <c r="U74" s="5"/>
      <c r="V74" s="7"/>
      <c r="W74" s="4"/>
      <c r="X74" s="4"/>
      <c r="Y74" s="3"/>
      <c r="Z74" s="6"/>
      <c r="AA74" s="5"/>
      <c r="AB74" s="4"/>
      <c r="AC74" s="38"/>
      <c r="AD74" s="38"/>
    </row>
    <row r="75" spans="2:31" outlineLevel="1" x14ac:dyDescent="0.3">
      <c r="B75" t="s">
        <v>11</v>
      </c>
      <c r="C75" s="40">
        <f>D9+D10</f>
        <v>150</v>
      </c>
      <c r="D75" s="3">
        <f>J9+J10</f>
        <v>45.262735790295018</v>
      </c>
      <c r="E75" s="3">
        <f t="shared" ref="E75:F75" si="104">K9+K10</f>
        <v>155.77155659417576</v>
      </c>
      <c r="F75" s="3">
        <f t="shared" si="104"/>
        <v>15.104244444196302</v>
      </c>
      <c r="G75" s="5">
        <f t="shared" ref="G75:G76" si="105">F75-(D75^2/E75)</f>
        <v>1.952194763140124</v>
      </c>
      <c r="H75" s="7">
        <v>1</v>
      </c>
      <c r="I75" s="4">
        <f t="shared" ref="I75:I76" si="106">CHIINV(0.05,H75)</f>
        <v>3.8414588206941236</v>
      </c>
      <c r="J75" s="4">
        <f>CHIDIST(G75,H75)</f>
        <v>0.16235054029187312</v>
      </c>
      <c r="K75" s="3" t="str">
        <f>IF(G75&lt;=I75,"Homogenous","Heterogeneous")</f>
        <v>Homogenous</v>
      </c>
      <c r="L75" s="6">
        <f>D75/E75</f>
        <v>0.29057124920575761</v>
      </c>
      <c r="M75" s="5">
        <f>SQRT(1/E75)</f>
        <v>8.0122763513830964E-2</v>
      </c>
      <c r="N75" s="4">
        <f>L75/M75</f>
        <v>3.6265754757148208</v>
      </c>
      <c r="O75" s="38">
        <f>L75-1.96*M75</f>
        <v>0.13353063271864893</v>
      </c>
      <c r="P75" s="38">
        <f>L75+1.96*M75</f>
        <v>0.44761186569286626</v>
      </c>
      <c r="Q75" t="str">
        <f t="shared" si="98"/>
        <v>0.13, 0.45</v>
      </c>
      <c r="R75" s="3">
        <f>P9+P10</f>
        <v>16.978881231757189</v>
      </c>
      <c r="S75" s="3">
        <f>Q9+Q10</f>
        <v>144</v>
      </c>
      <c r="T75" s="3">
        <f t="shared" ref="T75" si="107">R9+R10</f>
        <v>5.3252968991730674</v>
      </c>
      <c r="U75" s="5">
        <f t="shared" ref="U75:U76" si="108">T75-(R75^2/S75)</f>
        <v>3.323335733325036</v>
      </c>
      <c r="V75" s="7">
        <v>1</v>
      </c>
      <c r="W75" s="4">
        <f t="shared" ref="W75:W76" si="109">CHIINV(0.05,V75)</f>
        <v>3.8414588206941236</v>
      </c>
      <c r="X75" s="4">
        <f>CHIDIST(U75,V75)</f>
        <v>6.8303111187009755E-2</v>
      </c>
      <c r="Y75" s="3" t="str">
        <f>IF(U75&lt;=W75,"Homogenous","Heterogeneous")</f>
        <v>Homogenous</v>
      </c>
      <c r="Z75" s="6">
        <f>R75/S75</f>
        <v>0.11790889744275826</v>
      </c>
      <c r="AA75" s="5">
        <f>SQRT(1/S75)</f>
        <v>8.3333333333333329E-2</v>
      </c>
      <c r="AB75" s="4">
        <f>Z75/AA75</f>
        <v>1.4149067693130992</v>
      </c>
      <c r="AC75" s="38">
        <f>Z75-1.96*AA75</f>
        <v>-4.5424435890575071E-2</v>
      </c>
      <c r="AD75" s="38">
        <f>Z75+1.96*AA75</f>
        <v>0.28124223077609156</v>
      </c>
      <c r="AE75" t="str">
        <f>ROUND(AC75,2)&amp;", "&amp;ROUND(AD75,2)</f>
        <v>-0.05, 0.28</v>
      </c>
    </row>
    <row r="76" spans="2:31" outlineLevel="1" x14ac:dyDescent="0.3">
      <c r="B76" t="s">
        <v>22</v>
      </c>
      <c r="C76" s="40">
        <f>D2+D3+D4+D5+D6+D7+D14+D15+D16+D17+D11+D18+D19+D20+D13+D12</f>
        <v>1472</v>
      </c>
      <c r="D76" s="3">
        <f>J2+J3+J4+J5+J6+J7+J14+J15+J16+J17+J11+J18+J19+J20+J13+J12</f>
        <v>43.324727812667774</v>
      </c>
      <c r="E76" s="3">
        <f t="shared" ref="E76:F76" si="110">K2+K3+K4+K5+K6+K7+K14+K15+K16+K17+K11+K18+K19+K20+K13+K12</f>
        <v>1382.5458456441759</v>
      </c>
      <c r="F76" s="3">
        <f t="shared" si="110"/>
        <v>27.626250475060893</v>
      </c>
      <c r="G76" s="5">
        <f t="shared" si="105"/>
        <v>26.268586969032871</v>
      </c>
      <c r="H76" s="7">
        <v>15</v>
      </c>
      <c r="I76" s="4">
        <f t="shared" si="106"/>
        <v>24.99579013972863</v>
      </c>
      <c r="J76" s="4">
        <f>CHIDIST(G76,H76)</f>
        <v>3.5292583486974428E-2</v>
      </c>
      <c r="K76" s="3" t="str">
        <f>IF(G76&lt;=I76,"Homogenous","Heterogeneous")</f>
        <v>Heterogeneous</v>
      </c>
      <c r="L76" s="6">
        <f>D76/E76</f>
        <v>3.1336919458523481E-2</v>
      </c>
      <c r="M76" s="5">
        <f>SQRT(1/E76)</f>
        <v>2.6894299021363928E-2</v>
      </c>
      <c r="N76" s="4">
        <f>L76/M76</f>
        <v>1.1651881848130894</v>
      </c>
      <c r="O76" s="38">
        <f>L76-1.96*M76</f>
        <v>-2.1375906623349816E-2</v>
      </c>
      <c r="P76" s="38">
        <f>L76+1.96*M76</f>
        <v>8.4049745540396778E-2</v>
      </c>
      <c r="Q76" t="str">
        <f t="shared" si="98"/>
        <v>-0.02, 0.08</v>
      </c>
      <c r="R76" s="3">
        <f>P2+P3+P4+P5+P6+P7+P14+P15+P16+P17+P11+P18+P19+P20+P13+P12</f>
        <v>-84.919732116705546</v>
      </c>
      <c r="S76" s="3">
        <f>Q2+Q3+Q4+Q5+Q6+Q7+Q14+Q15+Q16+Q17+Q11+Q18+Q19+Q20+Q13+Q12</f>
        <v>1233</v>
      </c>
      <c r="T76" s="3">
        <f t="shared" ref="T76" si="111">R2+R3+R4+R5+R6+R7+R14+R15+R16+R17+R11+R18+R19+R20+R13+R12</f>
        <v>10.767314530512264</v>
      </c>
      <c r="U76" s="5">
        <f t="shared" si="108"/>
        <v>4.9186844390499509</v>
      </c>
      <c r="V76" s="7">
        <v>12</v>
      </c>
      <c r="W76" s="4">
        <f t="shared" si="109"/>
        <v>21.026069817483066</v>
      </c>
      <c r="X76" s="4">
        <f>CHIDIST(U76,V76)</f>
        <v>0.96063988248598497</v>
      </c>
      <c r="Y76" s="3" t="str">
        <f>IF(U76&lt;=W76,"Homogenous","Heterogeneous")</f>
        <v>Homogenous</v>
      </c>
      <c r="Z76" s="6">
        <f>R76/S76</f>
        <v>-6.8872451027336204E-2</v>
      </c>
      <c r="AA76" s="5">
        <f>SQRT(1/S76)</f>
        <v>2.8478588590558698E-2</v>
      </c>
      <c r="AB76" s="4">
        <f>Z76/AA76</f>
        <v>-2.4183941141721115</v>
      </c>
      <c r="AC76" s="38">
        <f>Z76-1.96*AA76</f>
        <v>-0.12469048466483125</v>
      </c>
      <c r="AD76" s="38">
        <f>Z76+1.96*AA76</f>
        <v>-1.3054417389841158E-2</v>
      </c>
      <c r="AE76" t="str">
        <f>ROUND(AC76,2)&amp;", "&amp;ROUND(AD76,2)</f>
        <v>-0.12, -0.01</v>
      </c>
    </row>
    <row r="77" spans="2:31" outlineLevel="1" x14ac:dyDescent="0.3">
      <c r="C77" s="40"/>
      <c r="E77"/>
      <c r="F77"/>
      <c r="G77" s="5"/>
      <c r="H77" s="7"/>
      <c r="I77" s="4"/>
      <c r="J77" s="4"/>
      <c r="L77" s="6">
        <f>L75-L76</f>
        <v>0.25923432974723415</v>
      </c>
      <c r="M77" s="5">
        <f>2*SQRT(M75^2+M76^2)</f>
        <v>0.16903207450592114</v>
      </c>
      <c r="N77" s="4"/>
      <c r="O77" s="6">
        <f>L77-M77</f>
        <v>9.0202255241313006E-2</v>
      </c>
      <c r="P77" s="6">
        <f>L77+M77</f>
        <v>0.42826640425315532</v>
      </c>
      <c r="Q77" s="8" t="str">
        <f t="shared" si="98"/>
        <v>0.09, 0.43</v>
      </c>
      <c r="S77" s="38"/>
      <c r="T77" s="38"/>
      <c r="U77" s="5"/>
      <c r="V77" s="7"/>
      <c r="W77" s="4"/>
      <c r="X77" s="4"/>
      <c r="Y77" s="3"/>
      <c r="Z77" s="6"/>
      <c r="AA77" s="5"/>
      <c r="AB77" s="4"/>
      <c r="AC77" s="38"/>
      <c r="AD77" s="38"/>
    </row>
    <row r="78" spans="2:31" outlineLevel="1" x14ac:dyDescent="0.3">
      <c r="B78" t="s">
        <v>21</v>
      </c>
      <c r="C78" s="40">
        <f>D2+D3+D7</f>
        <v>376</v>
      </c>
      <c r="D78" s="3">
        <f>J2+J3+J7</f>
        <v>-14.242526581493793</v>
      </c>
      <c r="E78" s="3">
        <f t="shared" ref="E78:F78" si="112">K2+K3+K7</f>
        <v>342.56184300397882</v>
      </c>
      <c r="F78" s="3">
        <f t="shared" si="112"/>
        <v>1.2855893133787397</v>
      </c>
      <c r="G78" s="5">
        <f t="shared" ref="G78:G79" si="113">F78-(D78^2/E78)</f>
        <v>0.69343473584103887</v>
      </c>
      <c r="H78" s="7">
        <v>2</v>
      </c>
      <c r="I78" s="4">
        <f t="shared" ref="I78:I79" si="114">CHIINV(0.05,H78)</f>
        <v>5.9914645471079817</v>
      </c>
      <c r="J78" s="4">
        <f t="shared" ref="J78:J79" si="115">CHIDIST(G78,H78)</f>
        <v>0.70700512235024282</v>
      </c>
      <c r="K78" s="3" t="str">
        <f>IF(G78&lt;=I78,"Homogenous","Heterogeneous")</f>
        <v>Homogenous</v>
      </c>
      <c r="L78" s="6">
        <f>D78/E78</f>
        <v>-4.1576512014878338E-2</v>
      </c>
      <c r="M78" s="5">
        <f>SQRT(1/E78)</f>
        <v>5.402944504273912E-2</v>
      </c>
      <c r="N78" s="4">
        <f>L78/M78</f>
        <v>-0.7695158072045698</v>
      </c>
      <c r="O78" s="38">
        <f>L78-1.96*M78</f>
        <v>-0.14747422429864701</v>
      </c>
      <c r="P78" s="38">
        <f>L78+1.96*M78</f>
        <v>6.4321200268890349E-2</v>
      </c>
      <c r="Q78" t="str">
        <f t="shared" si="98"/>
        <v>-0.15, 0.06</v>
      </c>
      <c r="R78" s="3">
        <f>P2+P3+P7</f>
        <v>-21.332253317878944</v>
      </c>
      <c r="S78" s="3">
        <f>Q2+Q3+Q7</f>
        <v>367</v>
      </c>
      <c r="T78" s="3">
        <f t="shared" ref="T78" si="116">R2+R3+R7</f>
        <v>1.2445157325192984</v>
      </c>
      <c r="U78" s="5">
        <f t="shared" ref="U78:U79" si="117">T78-(R78^2/S78)</f>
        <v>4.5565183008864363E-3</v>
      </c>
      <c r="V78" s="7">
        <v>2</v>
      </c>
      <c r="W78" s="4">
        <f t="shared" ref="W78:W79" si="118">CHIINV(0.05,V78)</f>
        <v>5.9914645471079817</v>
      </c>
      <c r="X78" s="4">
        <f t="shared" ref="X78:X79" si="119">CHIDIST(U78,V78)</f>
        <v>0.99772433411218642</v>
      </c>
      <c r="Y78" s="3" t="str">
        <f>IF(U78&lt;=W78,"Homogenous","Heterogeneous")</f>
        <v>Homogenous</v>
      </c>
      <c r="Z78" s="6">
        <f>R78/S78</f>
        <v>-5.8126030838907203E-2</v>
      </c>
      <c r="AA78" s="5">
        <f>SQRT(1/S78)</f>
        <v>5.2199575097188054E-2</v>
      </c>
      <c r="AB78" s="4">
        <f>Z78/AA78</f>
        <v>-1.113534559058861</v>
      </c>
      <c r="AC78" s="38">
        <f>Z78-1.96*AA78</f>
        <v>-0.16043719802939577</v>
      </c>
      <c r="AD78" s="38">
        <f>Z78+1.96*AA78</f>
        <v>4.4185136351581375E-2</v>
      </c>
      <c r="AE78" t="str">
        <f>ROUND(AC78,2)&amp;", "&amp;ROUND(AD78,2)</f>
        <v>-0.16, 0.04</v>
      </c>
    </row>
    <row r="79" spans="2:31" outlineLevel="1" x14ac:dyDescent="0.3">
      <c r="B79" t="s">
        <v>10</v>
      </c>
      <c r="C79" s="40">
        <f>D13+D4+D5+D6+D9+D10+D11+D14+D15+D16+D17+D18+D19+D20+D12</f>
        <v>1246</v>
      </c>
      <c r="D79" s="3">
        <f>J4+J5+J6+J9+J10+J11+J14+J15+J16+J17+J18+J19+J20+J13+J12</f>
        <v>102.82999018445659</v>
      </c>
      <c r="E79" s="3">
        <f t="shared" ref="E79:F79" si="120">K4+K5+K6+K9+K10+K11+K14+K15+K16+K17+K18+K19+K20+K13+K12</f>
        <v>1195.7555592343729</v>
      </c>
      <c r="F79" s="3">
        <f t="shared" si="120"/>
        <v>41.444905605878461</v>
      </c>
      <c r="G79" s="5">
        <f t="shared" si="113"/>
        <v>32.601955389443056</v>
      </c>
      <c r="H79" s="7">
        <v>14</v>
      </c>
      <c r="I79" s="4">
        <f t="shared" si="114"/>
        <v>23.68479130484058</v>
      </c>
      <c r="J79" s="4">
        <f t="shared" si="115"/>
        <v>3.2868321818941585E-3</v>
      </c>
      <c r="K79" s="3" t="str">
        <f>IF(G79&lt;=I79,"Homogenous","Heterogeneous")</f>
        <v>Heterogeneous</v>
      </c>
      <c r="L79" s="6">
        <f>D79/E79</f>
        <v>8.5995828654392648E-2</v>
      </c>
      <c r="M79" s="5">
        <f>SQRT(1/E79)</f>
        <v>2.8918701979114246E-2</v>
      </c>
      <c r="N79" s="4">
        <f>L79/M79</f>
        <v>2.9737098406595432</v>
      </c>
      <c r="O79" s="38">
        <f>L79-1.96*M79</f>
        <v>2.9315172775328725E-2</v>
      </c>
      <c r="P79" s="38">
        <f>L79+1.96*M79</f>
        <v>0.14267648453345658</v>
      </c>
      <c r="Q79" t="str">
        <f t="shared" si="98"/>
        <v>0.03, 0.14</v>
      </c>
      <c r="R79" s="3">
        <f>P4+P5+P6+P9+P10+P11+P14+P15+P16+P17+P18+P19+P20+P13+P12</f>
        <v>-46.608597567069403</v>
      </c>
      <c r="S79" s="3">
        <f>Q4+Q5+Q6+Q9+Q10+Q11+Q14+Q15+Q16+Q17+Q18+Q19+Q20+Q13+Q12</f>
        <v>1010</v>
      </c>
      <c r="T79" s="3">
        <f t="shared" ref="T79" si="121">R4+R5+R6+R9+R10+R11+R14+R15+R16+R17+R18+R19+R20+R13+R12</f>
        <v>14.848095697166032</v>
      </c>
      <c r="U79" s="5">
        <f t="shared" si="117"/>
        <v>12.697242858384817</v>
      </c>
      <c r="V79" s="7">
        <v>11</v>
      </c>
      <c r="W79" s="4">
        <f t="shared" si="118"/>
        <v>19.675137572682498</v>
      </c>
      <c r="X79" s="4">
        <f t="shared" si="119"/>
        <v>0.31357313953558597</v>
      </c>
      <c r="Y79" s="3" t="str">
        <f>IF(U79&lt;=W79,"Homogenous","Heterogeneous")</f>
        <v>Homogenous</v>
      </c>
      <c r="Z79" s="6">
        <f>R79/S79</f>
        <v>-4.6147126304029111E-2</v>
      </c>
      <c r="AA79" s="5">
        <f>SQRT(1/S79)</f>
        <v>3.1465838776377632E-2</v>
      </c>
      <c r="AB79" s="4">
        <f>Z79/AA79</f>
        <v>-1.4665786166384724</v>
      </c>
      <c r="AC79" s="38">
        <f>Z79-1.96*AA79</f>
        <v>-0.10782017030572927</v>
      </c>
      <c r="AD79" s="38">
        <f>Z79+1.96*AA79</f>
        <v>1.5525917697671046E-2</v>
      </c>
      <c r="AE79" t="str">
        <f>ROUND(AC79,2)&amp;", "&amp;ROUND(AD79,2)</f>
        <v>-0.11, 0.02</v>
      </c>
    </row>
    <row r="80" spans="2:31" outlineLevel="1" x14ac:dyDescent="0.3">
      <c r="C80" s="40"/>
      <c r="E80"/>
      <c r="F80"/>
      <c r="G80" s="5"/>
      <c r="H80" s="7"/>
      <c r="I80" s="4"/>
      <c r="J80" s="4"/>
      <c r="L80" s="6">
        <f>L78-L79</f>
        <v>-0.12757234066927098</v>
      </c>
      <c r="M80" s="5">
        <f>2*SQRT(M78^2+M79^2)</f>
        <v>0.12256381612504064</v>
      </c>
      <c r="N80" s="4"/>
      <c r="O80" s="6">
        <f>L80-M80</f>
        <v>-0.25013615679431161</v>
      </c>
      <c r="P80" s="6">
        <f>L80+M80</f>
        <v>-5.0085245442303417E-3</v>
      </c>
      <c r="Q80" s="8" t="str">
        <f t="shared" si="98"/>
        <v>-0.25, -0.01</v>
      </c>
      <c r="U80" s="5"/>
      <c r="V80" s="7"/>
      <c r="W80" s="4"/>
      <c r="X80" s="4"/>
      <c r="Y80" s="3"/>
      <c r="Z80" s="6"/>
      <c r="AA80" s="5"/>
      <c r="AB80" s="4"/>
      <c r="AC80" s="38"/>
      <c r="AD80" s="38"/>
    </row>
    <row r="81" spans="2:31" outlineLevel="1" x14ac:dyDescent="0.3">
      <c r="B81" t="s">
        <v>47</v>
      </c>
      <c r="C81" s="40">
        <f>D9+D10+D11+D14+D15+D16+D17+D12+D18+D19+D20</f>
        <v>704</v>
      </c>
      <c r="D81" s="3">
        <f>J9+J10+J11+J14+J15+J16+J17+J18+J19+J20+J12</f>
        <v>69.816284593469049</v>
      </c>
      <c r="E81" s="3">
        <f t="shared" ref="E81:F81" si="122">K9+K10+K11+K14+K15+K16+K17+K18+K19+K20+K12</f>
        <v>744.86846344880496</v>
      </c>
      <c r="F81" s="3">
        <f t="shared" si="122"/>
        <v>35.551372371983753</v>
      </c>
      <c r="G81" s="5">
        <f t="shared" ref="G81:G82" si="123">F81-(D81^2/E81)</f>
        <v>29.007514182756928</v>
      </c>
      <c r="H81" s="7">
        <v>10</v>
      </c>
      <c r="I81" s="4">
        <f t="shared" ref="I81:I82" si="124">CHIINV(0.05,H81)</f>
        <v>18.307038053275146</v>
      </c>
      <c r="J81" s="4">
        <f t="shared" ref="J81:J82" si="125">CHIDIST(G81,H81)</f>
        <v>1.242559356068942E-3</v>
      </c>
      <c r="K81" s="3" t="str">
        <f>IF(G81&lt;=I81,"Homogenous","Heterogeneous")</f>
        <v>Heterogeneous</v>
      </c>
      <c r="L81" s="6">
        <f>D81/E81</f>
        <v>9.3729682513626178E-2</v>
      </c>
      <c r="M81" s="5">
        <f>SQRT(1/E81)</f>
        <v>3.6640400013711195E-2</v>
      </c>
      <c r="N81" s="4">
        <f>L81/M81</f>
        <v>2.5580965949758085</v>
      </c>
      <c r="O81" s="38">
        <f>L81-1.96*M81</f>
        <v>2.191449848675224E-2</v>
      </c>
      <c r="P81" s="38">
        <f>L81+1.96*M81</f>
        <v>0.1655448665405001</v>
      </c>
      <c r="Q81" t="str">
        <f t="shared" si="98"/>
        <v>0.02, 0.17</v>
      </c>
      <c r="R81" s="3">
        <f>P9+P10+P11+P14+P15+P16+P17+P18+P19+P20+P12</f>
        <v>4.1751633208128585</v>
      </c>
      <c r="S81" s="3">
        <f>Q9+Q10+Q11+Q14+Q15+Q16+Q17+Q18+Q19+Q20+Q12</f>
        <v>480</v>
      </c>
      <c r="T81" s="3">
        <f t="shared" ref="T81" si="126">R9+R10+R11+R14+R15+R16+R17+R18+R19+R20+R12</f>
        <v>9.1871850554390484</v>
      </c>
      <c r="U81" s="5">
        <f t="shared" ref="U81:U82" si="127">T81-(R81^2/S81)</f>
        <v>9.1508684121985038</v>
      </c>
      <c r="V81" s="7">
        <v>7</v>
      </c>
      <c r="W81" s="4">
        <f t="shared" ref="W81:W82" si="128">CHIINV(0.05,V81)</f>
        <v>14.067140449340167</v>
      </c>
      <c r="X81" s="4">
        <f t="shared" ref="X81:X82" si="129">CHIDIST(U81,V81)</f>
        <v>0.24200509465709871</v>
      </c>
      <c r="Y81" s="3" t="str">
        <f>IF(U81&lt;=W81,"Homogenous","Heterogeneous")</f>
        <v>Homogenous</v>
      </c>
      <c r="Z81" s="6">
        <f>R81/S81</f>
        <v>8.698256918360122E-3</v>
      </c>
      <c r="AA81" s="5">
        <f>SQRT(1/S81)</f>
        <v>4.564354645876384E-2</v>
      </c>
      <c r="AB81" s="4">
        <f>Z81/AA81</f>
        <v>0.19056926100644844</v>
      </c>
      <c r="AC81" s="38">
        <f>Z81-1.96*AA81</f>
        <v>-8.0763094140817004E-2</v>
      </c>
      <c r="AD81" s="38">
        <f>Z81+1.96*AA81</f>
        <v>9.8159607977537255E-2</v>
      </c>
      <c r="AE81" t="str">
        <f>ROUND(AC81,2)&amp;", "&amp;ROUND(AD81,2)</f>
        <v>-0.08, 0.1</v>
      </c>
    </row>
    <row r="82" spans="2:31" outlineLevel="1" x14ac:dyDescent="0.3">
      <c r="B82" t="s">
        <v>48</v>
      </c>
      <c r="C82" s="40">
        <f>D2+D3+D4+D5+D6+D7+D13</f>
        <v>918</v>
      </c>
      <c r="D82" s="3">
        <f>J2+J3+J4+J5+J6+J7+J13</f>
        <v>18.771179009493736</v>
      </c>
      <c r="E82" s="3">
        <f t="shared" ref="E82:F82" si="130">K2+K3+K4+K5+K6+K7+K13</f>
        <v>793.44893878954679</v>
      </c>
      <c r="F82" s="3">
        <f t="shared" si="130"/>
        <v>7.1791225472734448</v>
      </c>
      <c r="G82" s="5">
        <f t="shared" si="123"/>
        <v>6.73503957711534</v>
      </c>
      <c r="H82" s="7">
        <v>6</v>
      </c>
      <c r="I82" s="4">
        <f t="shared" si="124"/>
        <v>12.591587243743978</v>
      </c>
      <c r="J82" s="4">
        <f t="shared" si="125"/>
        <v>0.34604713081448069</v>
      </c>
      <c r="K82" s="3" t="str">
        <f>IF(G82&lt;=I82,"Homogenous","Heterogeneous")</f>
        <v>Homogenous</v>
      </c>
      <c r="L82" s="6">
        <f>D82/E82</f>
        <v>2.365770258402548E-2</v>
      </c>
      <c r="M82" s="5">
        <f>SQRT(1/E82)</f>
        <v>3.5500993596018424E-2</v>
      </c>
      <c r="N82" s="4">
        <f>L82/M82</f>
        <v>0.66639550580575257</v>
      </c>
      <c r="O82" s="38">
        <f>L82-1.96*M82</f>
        <v>-4.5924244864170627E-2</v>
      </c>
      <c r="P82" s="38">
        <f>L82+1.96*M82</f>
        <v>9.3239650032221594E-2</v>
      </c>
      <c r="Q82" t="str">
        <f t="shared" si="98"/>
        <v>-0.05, 0.09</v>
      </c>
      <c r="R82" s="3">
        <f>P2+P3+P4+P5+P6+P7+P13</f>
        <v>-72.116014205761203</v>
      </c>
      <c r="S82" s="3">
        <f>Q2+Q3+Q4+Q5+Q6+Q7+Q13</f>
        <v>897</v>
      </c>
      <c r="T82" s="3">
        <f t="shared" ref="T82" si="131">R2+R3+R4+R5+R6+R7+R13</f>
        <v>6.9054263742462814</v>
      </c>
      <c r="U82" s="5">
        <f t="shared" si="127"/>
        <v>1.1075228013080967</v>
      </c>
      <c r="V82" s="7">
        <v>6</v>
      </c>
      <c r="W82" s="4">
        <f t="shared" si="128"/>
        <v>12.591587243743978</v>
      </c>
      <c r="X82" s="4">
        <f t="shared" si="129"/>
        <v>0.98120600362037402</v>
      </c>
      <c r="Y82" s="3" t="str">
        <f>IF(U82&lt;=W82,"Homogenous","Heterogeneous")</f>
        <v>Homogenous</v>
      </c>
      <c r="Z82" s="6">
        <f>R82/S82</f>
        <v>-8.0396894320804019E-2</v>
      </c>
      <c r="AA82" s="5">
        <f>SQRT(1/S82)</f>
        <v>3.3389028164708887E-2</v>
      </c>
      <c r="AB82" s="4">
        <f>Z82/AA82</f>
        <v>-2.4078836294427077</v>
      </c>
      <c r="AC82" s="38">
        <f>Z82-1.96*AA82</f>
        <v>-0.14583938952363346</v>
      </c>
      <c r="AD82" s="38">
        <f>Z82+1.96*AA82</f>
        <v>-1.4954399117974596E-2</v>
      </c>
      <c r="AE82" t="str">
        <f>ROUND(AC82,2)&amp;", "&amp;ROUND(AD82,2)</f>
        <v>-0.15, -0.01</v>
      </c>
    </row>
    <row r="83" spans="2:31" outlineLevel="1" x14ac:dyDescent="0.3">
      <c r="C83" s="40"/>
      <c r="E83"/>
      <c r="F83"/>
      <c r="G83" s="5"/>
      <c r="H83" s="7"/>
      <c r="L83" s="6">
        <f>L81-L82</f>
        <v>7.0071979929600695E-2</v>
      </c>
      <c r="M83" s="5">
        <f>2*SQRT(M81^2+M82^2)</f>
        <v>0.10203606145808077</v>
      </c>
      <c r="N83" s="4"/>
      <c r="O83" s="6">
        <f>L83-M83</f>
        <v>-3.1964081528480071E-2</v>
      </c>
      <c r="P83" s="6">
        <f>L83+M83</f>
        <v>0.17210804138768146</v>
      </c>
      <c r="Q83" s="8" t="str">
        <f t="shared" si="98"/>
        <v>-0.03, 0.17</v>
      </c>
      <c r="S83" s="38"/>
      <c r="T83" s="38"/>
      <c r="U83" s="5"/>
      <c r="V83" s="7"/>
      <c r="W83" s="3"/>
      <c r="X83" s="3"/>
      <c r="Y83" s="3"/>
      <c r="Z83" s="6"/>
      <c r="AA83" s="5"/>
      <c r="AB83" s="4"/>
      <c r="AC83" s="38"/>
      <c r="AD83" s="38"/>
    </row>
    <row r="84" spans="2:31" outlineLevel="1" x14ac:dyDescent="0.3">
      <c r="B84" t="s">
        <v>12</v>
      </c>
      <c r="C84" s="40">
        <f>D9+D10+D14+D15+D16+D12</f>
        <v>396</v>
      </c>
      <c r="D84" s="3">
        <f>J9+J10+J14+J15+J16+J12</f>
        <v>50.646699260645342</v>
      </c>
      <c r="E84" s="3">
        <f t="shared" ref="E84:F84" si="132">K9+K10+K14+K15+K16+K12</f>
        <v>421.08309047121236</v>
      </c>
      <c r="F84" s="3">
        <f t="shared" si="132"/>
        <v>21.466626971238171</v>
      </c>
      <c r="G84" s="5">
        <f t="shared" ref="G84:G85" si="133">F84-(D84^2/E84)</f>
        <v>15.37498329319877</v>
      </c>
      <c r="H84" s="7">
        <v>4</v>
      </c>
      <c r="I84" s="4">
        <f t="shared" ref="I84:I85" si="134">CHIINV(0.05,H84)</f>
        <v>9.4877290367811575</v>
      </c>
      <c r="J84" s="4">
        <f t="shared" ref="J84:J85" si="135">CHIDIST(G84,H84)</f>
        <v>3.9834484215472959E-3</v>
      </c>
      <c r="K84" s="3" t="str">
        <f>IF(G84&lt;=I84,"Homogenous","Heterogeneous")</f>
        <v>Heterogeneous</v>
      </c>
      <c r="L84" s="6">
        <f>D84/E84</f>
        <v>0.12027720990640882</v>
      </c>
      <c r="M84" s="5">
        <f>SQRT(1/E84)</f>
        <v>4.8732209115106083E-2</v>
      </c>
      <c r="N84" s="4">
        <f>L84/M84</f>
        <v>2.4681255393596575</v>
      </c>
      <c r="O84" s="38">
        <f>L84-1.96*M84</f>
        <v>2.4762080040800896E-2</v>
      </c>
      <c r="P84" s="38">
        <f>L84+1.96*M84</f>
        <v>0.21579233977201673</v>
      </c>
      <c r="Q84" t="str">
        <f t="shared" si="98"/>
        <v>0.02, 0.22</v>
      </c>
      <c r="R84" s="3">
        <f>P9+P10+P14+P15+P16+P12</f>
        <v>14.102509404030567</v>
      </c>
      <c r="S84" s="3">
        <f>Q9+Q10+Q14+Q15+Q16+Q12</f>
        <v>378</v>
      </c>
      <c r="T84" s="3">
        <f t="shared" ref="T84" si="136">R9+R10+R14+R15+R16+R12</f>
        <v>8.1564417618516298</v>
      </c>
      <c r="U84" s="5">
        <f t="shared" ref="U84:U85" si="137">T84-(R84^2/S84)</f>
        <v>7.6303021547331893</v>
      </c>
      <c r="V84" s="7">
        <v>4</v>
      </c>
      <c r="W84" s="4">
        <f t="shared" ref="W84:W85" si="138">CHIINV(0.05,V84)</f>
        <v>9.4877290367811575</v>
      </c>
      <c r="X84" s="4">
        <f t="shared" ref="X84:X85" si="139">CHIDIST(U84,V84)</f>
        <v>0.10609889414175884</v>
      </c>
      <c r="Y84" s="3" t="str">
        <f>IF(U84&lt;=W84,"Homogenous","Heterogeneous")</f>
        <v>Homogenous</v>
      </c>
      <c r="Z84" s="6">
        <f>R84/S84</f>
        <v>3.73082259365888E-2</v>
      </c>
      <c r="AA84" s="5">
        <f>SQRT(1/S84)</f>
        <v>5.1434449987363969E-2</v>
      </c>
      <c r="AB84" s="4">
        <f>Z84/AA84</f>
        <v>0.72535481463794027</v>
      </c>
      <c r="AC84" s="38">
        <f>Z84-1.96*AA84</f>
        <v>-6.3503296038644574E-2</v>
      </c>
      <c r="AD84" s="38">
        <f>Z84+1.96*AA84</f>
        <v>0.13811974791182219</v>
      </c>
      <c r="AE84" t="str">
        <f>ROUND(AC84,2)&amp;", "&amp;ROUND(AD84,2)</f>
        <v>-0.06, 0.14</v>
      </c>
    </row>
    <row r="85" spans="2:31" outlineLevel="1" x14ac:dyDescent="0.3">
      <c r="B85" t="s">
        <v>23</v>
      </c>
      <c r="C85" s="40">
        <f>D2+D3+D4+D5+D6+D7+D11+D17+D12+D18+D19+D20+D13</f>
        <v>1322</v>
      </c>
      <c r="D85" s="3">
        <f>J2+J3+J4+J5+J6+J7+J11+J17+J18+J19+J20+J13</f>
        <v>37.940764342317451</v>
      </c>
      <c r="E85" s="3">
        <f t="shared" ref="E85:F85" si="140">K2+K3+K4+K5+K6+K7+K11+K17+K18+K19+K20+K13</f>
        <v>1117.2343117671394</v>
      </c>
      <c r="F85" s="3">
        <f t="shared" si="140"/>
        <v>21.263867948019023</v>
      </c>
      <c r="G85" s="5">
        <f t="shared" si="133"/>
        <v>19.975417008303079</v>
      </c>
      <c r="H85" s="7">
        <v>12</v>
      </c>
      <c r="I85" s="4">
        <f t="shared" si="134"/>
        <v>21.026069817483066</v>
      </c>
      <c r="J85" s="4">
        <f t="shared" si="135"/>
        <v>6.7552421733543894E-2</v>
      </c>
      <c r="K85" s="3" t="str">
        <f>IF(G85&lt;=I85,"Homogenous","Heterogeneous")</f>
        <v>Homogenous</v>
      </c>
      <c r="L85" s="6">
        <f>D85/E85</f>
        <v>3.3959540933097741E-2</v>
      </c>
      <c r="M85" s="5">
        <f>SQRT(1/E85)</f>
        <v>2.9917676889936198E-2</v>
      </c>
      <c r="N85" s="4">
        <f>L85/M85</f>
        <v>1.1350995285506662</v>
      </c>
      <c r="O85" s="38">
        <f>L85-1.96*M85</f>
        <v>-2.4679105771177205E-2</v>
      </c>
      <c r="P85" s="38">
        <f>L85+1.96*M85</f>
        <v>9.2598187637372681E-2</v>
      </c>
      <c r="Q85" t="str">
        <f t="shared" si="98"/>
        <v>-0.02, 0.09</v>
      </c>
      <c r="R85" s="3">
        <f>P2+P3+P4+P5+P6+P7+P11+P17+P18+P19+P20+P13</f>
        <v>-82.043360288978917</v>
      </c>
      <c r="S85" s="3">
        <f>Q2+Q3+Q4+Q5+Q6+Q7+Q11+Q17+Q18+Q19+Q20+Q13</f>
        <v>999</v>
      </c>
      <c r="T85" s="3">
        <f t="shared" ref="T85" si="141">R2+R3+R4+R5+R6+R7+R11+R17+R18+R19+R20+R13</f>
        <v>7.9361696678337026</v>
      </c>
      <c r="U85" s="5">
        <f t="shared" si="137"/>
        <v>1.1983188495081745</v>
      </c>
      <c r="V85" s="7">
        <v>9</v>
      </c>
      <c r="W85" s="4">
        <f t="shared" si="138"/>
        <v>16.918977604620451</v>
      </c>
      <c r="X85" s="4">
        <f t="shared" si="139"/>
        <v>0.99882772563329325</v>
      </c>
      <c r="Y85" s="3" t="str">
        <f>IF(U85&lt;=W85,"Homogenous","Heterogeneous")</f>
        <v>Homogenous</v>
      </c>
      <c r="Z85" s="6">
        <f>R85/S85</f>
        <v>-8.2125485774753676E-2</v>
      </c>
      <c r="AA85" s="5">
        <f>SQRT(1/S85)</f>
        <v>3.1638599858416633E-2</v>
      </c>
      <c r="AB85" s="4">
        <f>Z85/AA85</f>
        <v>-2.5957370472229133</v>
      </c>
      <c r="AC85" s="38">
        <f>Z85-1.96*AA85</f>
        <v>-0.14413714149725027</v>
      </c>
      <c r="AD85" s="38">
        <f>Z85+1.96*AA85</f>
        <v>-2.011383005225708E-2</v>
      </c>
      <c r="AE85" t="str">
        <f>ROUND(AC85,2)&amp;", "&amp;ROUND(AD85,2)</f>
        <v>-0.14, -0.02</v>
      </c>
    </row>
    <row r="86" spans="2:31" outlineLevel="1" x14ac:dyDescent="0.3">
      <c r="C86" s="40"/>
      <c r="E86"/>
      <c r="F86"/>
      <c r="G86" s="5"/>
      <c r="H86" s="7"/>
      <c r="I86" s="4"/>
      <c r="J86" s="4"/>
      <c r="L86" s="6">
        <f>L84-L85</f>
        <v>8.6317668973311085E-2</v>
      </c>
      <c r="M86" s="5">
        <f>2*SQRT(M84^2+M85^2)</f>
        <v>0.1143660018664472</v>
      </c>
      <c r="N86" s="4"/>
      <c r="O86" s="6">
        <f>L86-M86</f>
        <v>-2.8048332893136116E-2</v>
      </c>
      <c r="P86" s="6">
        <f>L86+M86</f>
        <v>0.2006836708397583</v>
      </c>
      <c r="Q86" s="8" t="str">
        <f t="shared" si="98"/>
        <v>-0.03, 0.2</v>
      </c>
      <c r="S86" s="38"/>
      <c r="T86" s="38"/>
      <c r="U86" s="5"/>
      <c r="V86" s="7"/>
      <c r="W86" s="4"/>
      <c r="X86" s="4"/>
      <c r="Y86" s="3"/>
      <c r="Z86" s="6"/>
      <c r="AA86" s="5"/>
      <c r="AB86" s="4"/>
      <c r="AC86" s="38"/>
      <c r="AD86" s="38"/>
    </row>
    <row r="87" spans="2:31" outlineLevel="1" x14ac:dyDescent="0.3">
      <c r="B87" t="s">
        <v>13</v>
      </c>
      <c r="C87" s="40">
        <f>D2+D9+D10+D11+D18+D19+D20+D17</f>
        <v>570</v>
      </c>
      <c r="D87" s="3">
        <f>J2+J9+J10+J11+J18+J19+J20+J17</f>
        <v>53.592321970948923</v>
      </c>
      <c r="E87" s="3">
        <f t="shared" ref="E87:F87" si="142">K2+K9+K10+K11+K18+K19+K20+K17</f>
        <v>578.78044141085388</v>
      </c>
      <c r="F87" s="3">
        <f t="shared" si="142"/>
        <v>30.373241232955692</v>
      </c>
      <c r="G87" s="5">
        <f t="shared" ref="G87:G89" si="143">F87-(D87^2/E87)</f>
        <v>25.410846568691223</v>
      </c>
      <c r="H87" s="7">
        <v>7</v>
      </c>
      <c r="I87" s="4">
        <f t="shared" ref="I87:I89" si="144">CHIINV(0.05,H87)</f>
        <v>14.067140449340167</v>
      </c>
      <c r="J87" s="4">
        <f t="shared" ref="J87:J89" si="145">CHIDIST(G87,H87)</f>
        <v>6.4146625038504932E-4</v>
      </c>
      <c r="K87" s="3" t="str">
        <f>IF(G87&lt;=I87,"Homogenous","Heterogeneous")</f>
        <v>Heterogeneous</v>
      </c>
      <c r="L87" s="6">
        <f t="shared" ref="L87:L88" si="146">D87/E87</f>
        <v>9.2595253979748438E-2</v>
      </c>
      <c r="M87" s="5">
        <f t="shared" ref="M87:M88" si="147">SQRT(1/E87)</f>
        <v>4.1566463559154242E-2</v>
      </c>
      <c r="N87" s="4">
        <f t="shared" ref="N87:N88" si="148">L87/M87</f>
        <v>2.2276432982559098</v>
      </c>
      <c r="O87" s="38">
        <f t="shared" ref="O87:O88" si="149">L87-1.96*M87</f>
        <v>1.1124985403806131E-2</v>
      </c>
      <c r="P87" s="38">
        <f t="shared" ref="P87:P88" si="150">L87+1.96*M87</f>
        <v>0.17406552255569074</v>
      </c>
      <c r="Q87" t="str">
        <f t="shared" si="98"/>
        <v>0.01, 0.17</v>
      </c>
      <c r="R87" s="3">
        <f>P2+P9+P10+P11+P18+P19+P20+P17</f>
        <v>1.2691168158790802</v>
      </c>
      <c r="S87" s="3">
        <f>Q2+Q9+Q10+Q11+Q18+Q19+Q20+Q17</f>
        <v>355</v>
      </c>
      <c r="T87" s="3">
        <f t="shared" ref="T87" si="151">R2+R9+R10+R11+R18+R19+R20+R17</f>
        <v>6.662795805364957</v>
      </c>
      <c r="U87" s="5">
        <f t="shared" ref="U87:U89" si="152">T87-(R87^2/S87)</f>
        <v>6.6582587420062325</v>
      </c>
      <c r="V87" s="7">
        <v>4</v>
      </c>
      <c r="W87" s="4">
        <f t="shared" ref="W87:W89" si="153">CHIINV(0.05,V87)</f>
        <v>9.4877290367811575</v>
      </c>
      <c r="X87" s="4">
        <f t="shared" ref="X87:X89" si="154">CHIDIST(U87,V87)</f>
        <v>0.15508794773127044</v>
      </c>
      <c r="Y87" s="3" t="str">
        <f>IF(U87&lt;=W87,"Homogenous","Heterogeneous")</f>
        <v>Homogenous</v>
      </c>
      <c r="Z87" s="6">
        <f t="shared" ref="Z87:Z88" si="155">R87/S87</f>
        <v>3.5749769461382542E-3</v>
      </c>
      <c r="AA87" s="5">
        <f t="shared" ref="AA87:AA88" si="156">SQRT(1/S87)</f>
        <v>5.3074489243427531E-2</v>
      </c>
      <c r="AB87" s="4">
        <f t="shared" ref="AB87:AB88" si="157">Z87/AA87</f>
        <v>6.7357726793027234E-2</v>
      </c>
      <c r="AC87" s="38">
        <f t="shared" ref="AC87:AC88" si="158">Z87-1.96*AA87</f>
        <v>-0.1004510219709797</v>
      </c>
      <c r="AD87" s="38">
        <f t="shared" ref="AD87:AD88" si="159">Z87+1.96*AA87</f>
        <v>0.10760097586325622</v>
      </c>
      <c r="AE87" t="str">
        <f>ROUND(AC87,2)&amp;", "&amp;ROUND(AD87,2)</f>
        <v>-0.1, 0.11</v>
      </c>
    </row>
    <row r="88" spans="2:31" outlineLevel="1" x14ac:dyDescent="0.3">
      <c r="B88" t="s">
        <v>24</v>
      </c>
      <c r="C88" s="40">
        <f>D3+D4+D5+D6+D7+D12+D13+D14+D15+D16</f>
        <v>1052</v>
      </c>
      <c r="D88" s="3">
        <f>J3+J4+J5+J6+J7+J14+J15+J16+J12+J13</f>
        <v>34.995141632013869</v>
      </c>
      <c r="E88" s="3">
        <f t="shared" ref="E88:F88" si="160">K3+K4+K5+K6+K7+K14+K15+K16+K12+K13</f>
        <v>959.53696082749764</v>
      </c>
      <c r="F88" s="3">
        <f t="shared" si="160"/>
        <v>12.357253686301497</v>
      </c>
      <c r="G88" s="5">
        <f t="shared" si="143"/>
        <v>11.080950648648241</v>
      </c>
      <c r="H88" s="7">
        <v>9</v>
      </c>
      <c r="I88" s="4">
        <f t="shared" si="144"/>
        <v>16.918977604620451</v>
      </c>
      <c r="J88" s="4">
        <f t="shared" si="145"/>
        <v>0.27020098524205599</v>
      </c>
      <c r="K88" s="3" t="str">
        <f>IF(G88&lt;=I88,"Homogenous","Heterogeneous")</f>
        <v>Homogenous</v>
      </c>
      <c r="L88" s="6">
        <f t="shared" si="146"/>
        <v>3.6470863615127774E-2</v>
      </c>
      <c r="M88" s="5">
        <f t="shared" si="147"/>
        <v>3.2282647642029177E-2</v>
      </c>
      <c r="N88" s="4">
        <f t="shared" si="148"/>
        <v>1.1297358264892099</v>
      </c>
      <c r="O88" s="38">
        <f t="shared" si="149"/>
        <v>-2.6803125763249419E-2</v>
      </c>
      <c r="P88" s="38">
        <f t="shared" si="150"/>
        <v>9.9744852993504968E-2</v>
      </c>
      <c r="Q88" t="str">
        <f t="shared" si="98"/>
        <v>-0.03, 0.1</v>
      </c>
      <c r="R88" s="3">
        <f>P3+P4+P5+P6+P7+P14+P15+P16+P12+P13</f>
        <v>-69.209967700827434</v>
      </c>
      <c r="S88" s="3">
        <f>Q3+Q4+Q5+Q6+Q7+Q14+Q15+Q16+Q12+Q13</f>
        <v>1022</v>
      </c>
      <c r="T88" s="3">
        <f t="shared" ref="T88" si="161">R3+R4+R5+R6+R7+R14+R15+R16+R12+R13</f>
        <v>9.4298156243203746</v>
      </c>
      <c r="U88" s="5">
        <f t="shared" si="152"/>
        <v>4.7429079637043507</v>
      </c>
      <c r="V88" s="7">
        <v>9</v>
      </c>
      <c r="W88" s="4">
        <f t="shared" si="153"/>
        <v>16.918977604620451</v>
      </c>
      <c r="X88" s="4">
        <f t="shared" si="154"/>
        <v>0.85611910184535212</v>
      </c>
      <c r="Y88" s="3" t="str">
        <f>IF(U88&lt;=W88,"Homogenous","Heterogeneous")</f>
        <v>Homogenous</v>
      </c>
      <c r="Z88" s="6">
        <f t="shared" si="155"/>
        <v>-6.7720124951885938E-2</v>
      </c>
      <c r="AA88" s="5">
        <f t="shared" si="156"/>
        <v>3.1280562354492718E-2</v>
      </c>
      <c r="AB88" s="4">
        <f t="shared" si="157"/>
        <v>-2.1649267102181597</v>
      </c>
      <c r="AC88" s="38">
        <f t="shared" si="158"/>
        <v>-0.12903002716669165</v>
      </c>
      <c r="AD88" s="38">
        <f t="shared" si="159"/>
        <v>-6.4102227370802095E-3</v>
      </c>
      <c r="AE88" t="str">
        <f>ROUND(AC88,2)&amp;", "&amp;ROUND(AD88,2)</f>
        <v>-0.13, -0.01</v>
      </c>
    </row>
    <row r="89" spans="2:31" outlineLevel="1" x14ac:dyDescent="0.3">
      <c r="B89" t="s">
        <v>49</v>
      </c>
      <c r="C89" s="40">
        <f>SUM(D2:D20)-D8</f>
        <v>1622</v>
      </c>
      <c r="D89" s="3">
        <f>SUM(J2:J20)-J8</f>
        <v>88.587463602962799</v>
      </c>
      <c r="E89" s="3">
        <f t="shared" ref="E89:F89" si="162">SUM(K2:K20)-K8</f>
        <v>1538.3174022383519</v>
      </c>
      <c r="F89" s="3">
        <f t="shared" si="162"/>
        <v>42.73049491925719</v>
      </c>
      <c r="G89" s="5">
        <f t="shared" si="143"/>
        <v>37.628986806440366</v>
      </c>
      <c r="H89" s="7">
        <v>17</v>
      </c>
      <c r="I89" s="4">
        <f t="shared" si="144"/>
        <v>27.587111638275324</v>
      </c>
      <c r="J89" s="4">
        <f t="shared" si="145"/>
        <v>2.763103057879553E-3</v>
      </c>
      <c r="K89" s="3" t="str">
        <f>IF(G89&lt;=I89,"Homogenous","Heterogeneous")</f>
        <v>Heterogeneous</v>
      </c>
      <c r="L89" s="6">
        <f>D89/E89</f>
        <v>5.7587246607275114E-2</v>
      </c>
      <c r="M89" s="5">
        <f>SQRT(1/E89)</f>
        <v>2.5496291951188396E-2</v>
      </c>
      <c r="N89" s="4">
        <f>L89/M89</f>
        <v>2.2586518352364151</v>
      </c>
      <c r="O89" s="39">
        <f>L89-1.96*M89</f>
        <v>7.6145143829458584E-3</v>
      </c>
      <c r="P89" s="38">
        <f>L89+1.96*M89</f>
        <v>0.10755997883160437</v>
      </c>
      <c r="Q89" t="str">
        <f t="shared" si="98"/>
        <v>0.01, 0.11</v>
      </c>
      <c r="R89" s="3">
        <f>SUM(P2:P20)-P8</f>
        <v>-67.940850884948361</v>
      </c>
      <c r="S89" s="3">
        <f>SUM(Q2:Q20)-Q8</f>
        <v>1377</v>
      </c>
      <c r="T89" s="3">
        <f t="shared" ref="T89" si="163">SUM(R2:R20)-R8</f>
        <v>16.092611429685331</v>
      </c>
      <c r="U89" s="5">
        <f t="shared" si="152"/>
        <v>12.740426085479966</v>
      </c>
      <c r="V89" s="7">
        <v>14</v>
      </c>
      <c r="W89" s="4">
        <f t="shared" si="153"/>
        <v>23.68479130484058</v>
      </c>
      <c r="X89" s="4">
        <f t="shared" si="154"/>
        <v>0.54705693288450652</v>
      </c>
      <c r="Y89" s="3" t="str">
        <f>IF(U89&lt;=W89,"Homogenous","Heterogeneous")</f>
        <v>Homogenous</v>
      </c>
      <c r="Z89" s="6">
        <f>R89/S89</f>
        <v>-4.93397609912479E-2</v>
      </c>
      <c r="AA89" s="5">
        <f>SQRT(1/S89)</f>
        <v>2.6948402781814776E-2</v>
      </c>
      <c r="AB89" s="4">
        <f>Z89/AA89</f>
        <v>-1.8308974149868051</v>
      </c>
      <c r="AC89" s="38">
        <f>Z89-1.96*AA89</f>
        <v>-0.10215863044360486</v>
      </c>
      <c r="AD89" s="38">
        <f>Z89+1.96*AA89</f>
        <v>3.4791084611090622E-3</v>
      </c>
      <c r="AE89" t="str">
        <f>ROUND(AC89,2)&amp;", "&amp;ROUND(AD89,2)</f>
        <v>-0.1, 0</v>
      </c>
    </row>
    <row r="96" spans="2:31" x14ac:dyDescent="0.3">
      <c r="H96" s="3" t="str">
        <f>"Q("&amp;H72&amp;") = "&amp;ROUND(G72,2)&amp;", p = "&amp;ROUND(J72,2)</f>
        <v>Q(3) = 4.82, p = 0.19</v>
      </c>
      <c r="V96" s="3" t="str">
        <f>"Q("&amp;V72&amp;") = "&amp;ROUND(U72,2)&amp;", p = "&amp;ROUND(X72,2)</f>
        <v>Q(3) = 5.79, p = 0.12</v>
      </c>
    </row>
    <row r="97" spans="8:22" x14ac:dyDescent="0.3">
      <c r="H97" s="3" t="str">
        <f t="shared" ref="H97:H113" si="164">"Q("&amp;H73&amp;") = "&amp;ROUND(G73,2)&amp;", p = "&amp;ROUND(J73,2)</f>
        <v>Q(13) = 32.64, p = 0</v>
      </c>
      <c r="Q97" s="8"/>
      <c r="V97" s="3" t="str">
        <f t="shared" ref="V97:V113" si="165">"Q("&amp;V73&amp;") = "&amp;ROUND(U73,2)&amp;", p = "&amp;ROUND(X73,2)</f>
        <v>Q(9) = 4.64, p = 0.86</v>
      </c>
    </row>
    <row r="98" spans="8:22" x14ac:dyDescent="0.3">
      <c r="V98" s="3"/>
    </row>
    <row r="99" spans="8:22" x14ac:dyDescent="0.3">
      <c r="H99" s="3" t="str">
        <f t="shared" si="164"/>
        <v>Q(1) = 1.95, p = 0.16</v>
      </c>
      <c r="V99" s="3" t="str">
        <f t="shared" si="165"/>
        <v>Q(1) = 3.32, p = 0.07</v>
      </c>
    </row>
    <row r="100" spans="8:22" x14ac:dyDescent="0.3">
      <c r="H100" s="3" t="str">
        <f t="shared" si="164"/>
        <v>Q(15) = 26.27, p = 0.04</v>
      </c>
      <c r="Q100" s="8"/>
      <c r="V100" s="3" t="str">
        <f t="shared" si="165"/>
        <v>Q(12) = 4.92, p = 0.96</v>
      </c>
    </row>
    <row r="101" spans="8:22" x14ac:dyDescent="0.3">
      <c r="V101" s="3"/>
    </row>
    <row r="102" spans="8:22" x14ac:dyDescent="0.3">
      <c r="H102" s="3" t="str">
        <f t="shared" si="164"/>
        <v>Q(2) = 0.69, p = 0.71</v>
      </c>
      <c r="V102" s="3" t="str">
        <f t="shared" si="165"/>
        <v>Q(2) = 0, p = 1</v>
      </c>
    </row>
    <row r="103" spans="8:22" x14ac:dyDescent="0.3">
      <c r="H103" s="3" t="str">
        <f t="shared" si="164"/>
        <v>Q(14) = 32.6, p = 0</v>
      </c>
      <c r="Q103" s="8"/>
      <c r="V103" s="3" t="str">
        <f t="shared" si="165"/>
        <v>Q(11) = 12.7, p = 0.31</v>
      </c>
    </row>
    <row r="104" spans="8:22" x14ac:dyDescent="0.3">
      <c r="V104" s="3"/>
    </row>
    <row r="105" spans="8:22" x14ac:dyDescent="0.3">
      <c r="H105" s="3" t="str">
        <f t="shared" si="164"/>
        <v>Q(10) = 29.01, p = 0</v>
      </c>
      <c r="V105" s="3" t="str">
        <f t="shared" si="165"/>
        <v>Q(7) = 9.15, p = 0.24</v>
      </c>
    </row>
    <row r="106" spans="8:22" x14ac:dyDescent="0.3">
      <c r="H106" s="3" t="str">
        <f t="shared" si="164"/>
        <v>Q(6) = 6.74, p = 0.35</v>
      </c>
      <c r="Q106" s="8"/>
      <c r="V106" s="3" t="str">
        <f t="shared" si="165"/>
        <v>Q(6) = 1.11, p = 0.98</v>
      </c>
    </row>
    <row r="107" spans="8:22" x14ac:dyDescent="0.3">
      <c r="V107" s="3"/>
    </row>
    <row r="108" spans="8:22" x14ac:dyDescent="0.3">
      <c r="H108" s="3" t="str">
        <f t="shared" si="164"/>
        <v>Q(4) = 15.37, p = 0</v>
      </c>
      <c r="V108" s="3" t="str">
        <f t="shared" si="165"/>
        <v>Q(4) = 7.63, p = 0.11</v>
      </c>
    </row>
    <row r="109" spans="8:22" x14ac:dyDescent="0.3">
      <c r="H109" s="3" t="str">
        <f t="shared" si="164"/>
        <v>Q(12) = 19.98, p = 0.07</v>
      </c>
      <c r="Q109" s="8"/>
      <c r="V109" s="3" t="str">
        <f t="shared" si="165"/>
        <v>Q(9) = 1.2, p = 1</v>
      </c>
    </row>
    <row r="110" spans="8:22" x14ac:dyDescent="0.3">
      <c r="V110" s="3"/>
    </row>
    <row r="111" spans="8:22" x14ac:dyDescent="0.3">
      <c r="H111" s="3" t="str">
        <f t="shared" si="164"/>
        <v>Q(7) = 25.41, p = 0</v>
      </c>
      <c r="V111" s="3" t="str">
        <f t="shared" si="165"/>
        <v>Q(4) = 6.66, p = 0.16</v>
      </c>
    </row>
    <row r="112" spans="8:22" x14ac:dyDescent="0.3">
      <c r="H112" s="3" t="str">
        <f t="shared" si="164"/>
        <v>Q(9) = 11.08, p = 0.27</v>
      </c>
      <c r="V112" s="3" t="str">
        <f t="shared" si="165"/>
        <v>Q(9) = 4.74, p = 0.86</v>
      </c>
    </row>
    <row r="113" spans="8:22" x14ac:dyDescent="0.3">
      <c r="H113" s="3" t="str">
        <f t="shared" si="164"/>
        <v>Q(17) = 37.63, p = 0</v>
      </c>
      <c r="V113" s="3" t="str">
        <f t="shared" si="165"/>
        <v>Q(14) = 12.74, p = 0.55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E21" sqref="E21"/>
    </sheetView>
  </sheetViews>
  <sheetFormatPr defaultRowHeight="14.4" x14ac:dyDescent="0.3"/>
  <cols>
    <col min="1" max="1" width="35.33203125" bestFit="1" customWidth="1"/>
    <col min="2" max="2" width="35.33203125" customWidth="1"/>
  </cols>
  <sheetData>
    <row r="1" spans="1:8" x14ac:dyDescent="0.3">
      <c r="A1" s="16" t="s">
        <v>93</v>
      </c>
      <c r="B1" s="16"/>
      <c r="C1" s="16" t="s">
        <v>96</v>
      </c>
      <c r="D1" s="16" t="s">
        <v>89</v>
      </c>
      <c r="E1" s="16" t="s">
        <v>90</v>
      </c>
      <c r="F1" s="16" t="s">
        <v>94</v>
      </c>
      <c r="G1" s="16" t="s">
        <v>91</v>
      </c>
      <c r="H1" s="16" t="s">
        <v>92</v>
      </c>
    </row>
    <row r="2" spans="1:8" x14ac:dyDescent="0.3">
      <c r="A2" s="16" t="s">
        <v>67</v>
      </c>
      <c r="B2" s="16">
        <v>3</v>
      </c>
      <c r="C2">
        <v>2.2499999999999999E-2</v>
      </c>
      <c r="D2" s="16">
        <v>88.731144631765758</v>
      </c>
      <c r="E2" s="16">
        <v>1.1269999999999999E-2</v>
      </c>
      <c r="F2" s="16">
        <f t="shared" ref="F2:F21" si="0">E2*1.96</f>
        <v>2.2089199999999996E-2</v>
      </c>
      <c r="G2" s="16">
        <f t="shared" ref="G2:G21" si="1">C2-1.96*E2</f>
        <v>4.1080000000000283E-4</v>
      </c>
      <c r="H2" s="16">
        <f t="shared" ref="H2:H21" si="2">C2+1.96*E2</f>
        <v>4.4589199999999996E-2</v>
      </c>
    </row>
    <row r="3" spans="1:8" x14ac:dyDescent="0.3">
      <c r="A3" s="16" t="s">
        <v>66</v>
      </c>
      <c r="B3" s="16">
        <v>4</v>
      </c>
      <c r="C3">
        <v>-3.0599999999999999E-2</v>
      </c>
      <c r="D3" s="16">
        <v>47.393364928909953</v>
      </c>
      <c r="E3" s="16">
        <v>2.1100000000000001E-2</v>
      </c>
      <c r="F3" s="16">
        <f t="shared" si="0"/>
        <v>4.1356000000000004E-2</v>
      </c>
      <c r="G3" s="16">
        <f t="shared" si="1"/>
        <v>-7.1956000000000006E-2</v>
      </c>
      <c r="H3" s="16">
        <f t="shared" si="2"/>
        <v>1.0756000000000005E-2</v>
      </c>
    </row>
    <row r="4" spans="1:8" x14ac:dyDescent="0.3">
      <c r="A4" s="16" t="s">
        <v>65</v>
      </c>
      <c r="B4" s="16">
        <v>5</v>
      </c>
      <c r="C4">
        <v>3.1300000000000001E-2</v>
      </c>
      <c r="D4" s="16">
        <v>78.161137525671364</v>
      </c>
      <c r="E4" s="16">
        <v>1.2794081965242106E-2</v>
      </c>
      <c r="F4" s="16">
        <f t="shared" si="0"/>
        <v>2.5076400651874525E-2</v>
      </c>
      <c r="G4" s="16">
        <f t="shared" si="1"/>
        <v>6.2235993481254762E-3</v>
      </c>
      <c r="H4" s="16">
        <f t="shared" si="2"/>
        <v>5.6376400651874527E-2</v>
      </c>
    </row>
    <row r="5" spans="1:8" x14ac:dyDescent="0.3">
      <c r="A5" s="16" t="s">
        <v>36</v>
      </c>
      <c r="B5" s="16">
        <v>6</v>
      </c>
      <c r="C5">
        <v>-1.6E-2</v>
      </c>
      <c r="D5" s="16">
        <v>54.392829322042118</v>
      </c>
      <c r="E5" s="16">
        <v>1.8384776310850236E-2</v>
      </c>
      <c r="F5" s="16">
        <f t="shared" si="0"/>
        <v>3.6034161569266462E-2</v>
      </c>
      <c r="G5" s="16">
        <f t="shared" si="1"/>
        <v>-5.2034161569266463E-2</v>
      </c>
      <c r="H5" s="16">
        <f t="shared" si="2"/>
        <v>2.0034161569266462E-2</v>
      </c>
    </row>
    <row r="6" spans="1:8" x14ac:dyDescent="0.3">
      <c r="A6" s="16" t="s">
        <v>30</v>
      </c>
      <c r="B6" s="16">
        <v>7</v>
      </c>
      <c r="C6">
        <v>-5.7999999999999996E-3</v>
      </c>
      <c r="D6" s="16">
        <v>49.551981863107748</v>
      </c>
      <c r="E6" s="16">
        <v>2.0180827535064064E-2</v>
      </c>
      <c r="F6" s="16">
        <f t="shared" si="0"/>
        <v>3.9554421968725564E-2</v>
      </c>
      <c r="G6" s="16">
        <f t="shared" si="1"/>
        <v>-4.5354421968725564E-2</v>
      </c>
      <c r="H6" s="16">
        <f t="shared" si="2"/>
        <v>3.3754421968725565E-2</v>
      </c>
    </row>
    <row r="7" spans="1:8" x14ac:dyDescent="0.3">
      <c r="A7" s="16" t="s">
        <v>31</v>
      </c>
      <c r="B7" s="16">
        <v>8</v>
      </c>
      <c r="C7">
        <v>-2.7199999999999998E-2</v>
      </c>
      <c r="D7" s="16">
        <v>57.817398298164143</v>
      </c>
      <c r="E7" s="16">
        <v>1.7295831867822953E-2</v>
      </c>
      <c r="F7" s="16">
        <f t="shared" si="0"/>
        <v>3.3899830460932985E-2</v>
      </c>
      <c r="G7" s="16">
        <f t="shared" si="1"/>
        <v>-6.109983046093298E-2</v>
      </c>
      <c r="H7" s="16">
        <f t="shared" si="2"/>
        <v>6.6998304609329866E-3</v>
      </c>
    </row>
    <row r="8" spans="1:8" x14ac:dyDescent="0.3">
      <c r="A8" s="16" t="s">
        <v>29</v>
      </c>
      <c r="B8" s="16">
        <v>9</v>
      </c>
      <c r="C8">
        <v>1.9E-3</v>
      </c>
      <c r="D8" s="16">
        <v>55.986285129576217</v>
      </c>
      <c r="E8" s="16">
        <v>1.7861517292772189E-2</v>
      </c>
      <c r="F8" s="16">
        <f t="shared" si="0"/>
        <v>3.5008573893833488E-2</v>
      </c>
      <c r="G8" s="16">
        <f t="shared" si="1"/>
        <v>-3.3108573893833489E-2</v>
      </c>
      <c r="H8" s="16">
        <f t="shared" si="2"/>
        <v>3.6908573893833486E-2</v>
      </c>
    </row>
    <row r="9" spans="1:8" x14ac:dyDescent="0.3">
      <c r="A9" s="16" t="s">
        <v>69</v>
      </c>
      <c r="B9" s="16">
        <v>10</v>
      </c>
      <c r="C9">
        <v>1.29E-2</v>
      </c>
      <c r="D9" s="16">
        <v>86.00777529636548</v>
      </c>
      <c r="E9" s="16">
        <v>1.1626855787795945E-2</v>
      </c>
      <c r="F9" s="16">
        <f t="shared" si="0"/>
        <v>2.2788637344080053E-2</v>
      </c>
      <c r="G9" s="16">
        <f t="shared" si="1"/>
        <v>-9.8886373440800531E-3</v>
      </c>
      <c r="H9" s="16">
        <f t="shared" si="2"/>
        <v>3.5688637344080051E-2</v>
      </c>
    </row>
    <row r="10" spans="1:8" x14ac:dyDescent="0.3">
      <c r="A10" s="16" t="s">
        <v>73</v>
      </c>
      <c r="B10" s="16">
        <v>11</v>
      </c>
      <c r="C10">
        <v>1.8100000000000002E-2</v>
      </c>
      <c r="D10" s="16">
        <v>101.95586858618846</v>
      </c>
      <c r="E10" s="16">
        <v>9.8081651783943104E-3</v>
      </c>
      <c r="F10" s="16">
        <f t="shared" si="0"/>
        <v>1.9224003749652847E-2</v>
      </c>
      <c r="G10" s="16">
        <f t="shared" si="1"/>
        <v>-1.1240037496528452E-3</v>
      </c>
      <c r="H10" s="16">
        <f t="shared" si="2"/>
        <v>3.7324003749652848E-2</v>
      </c>
    </row>
    <row r="11" spans="1:8" x14ac:dyDescent="0.3">
      <c r="A11" s="16" t="s">
        <v>25</v>
      </c>
      <c r="B11" s="16">
        <v>12</v>
      </c>
      <c r="C11">
        <v>-1.4E-3</v>
      </c>
      <c r="D11" s="16">
        <v>55.1068965692034</v>
      </c>
      <c r="E11" s="16">
        <v>1.8146549021213654E-2</v>
      </c>
      <c r="F11" s="16">
        <f t="shared" si="0"/>
        <v>3.556723608157876E-2</v>
      </c>
      <c r="G11" s="16">
        <f t="shared" si="1"/>
        <v>-3.6967236081578758E-2</v>
      </c>
      <c r="H11" s="16">
        <f t="shared" si="2"/>
        <v>3.4167236081578761E-2</v>
      </c>
    </row>
    <row r="12" spans="1:8" x14ac:dyDescent="0.3">
      <c r="A12" s="16" t="s">
        <v>14</v>
      </c>
      <c r="B12" s="16">
        <v>13</v>
      </c>
      <c r="C12">
        <v>4.2099999999999999E-2</v>
      </c>
      <c r="D12" s="16">
        <v>70.680233569759409</v>
      </c>
      <c r="E12" s="16">
        <v>1.4148227156225057E-2</v>
      </c>
      <c r="F12" s="16">
        <f t="shared" si="0"/>
        <v>2.7730525226201109E-2</v>
      </c>
      <c r="G12" s="16">
        <f t="shared" si="1"/>
        <v>1.436947477379889E-2</v>
      </c>
      <c r="H12" s="16">
        <f t="shared" si="2"/>
        <v>6.9830525226201104E-2</v>
      </c>
    </row>
    <row r="13" spans="1:8" x14ac:dyDescent="0.3">
      <c r="A13" s="16" t="s">
        <v>9</v>
      </c>
      <c r="B13" s="16">
        <v>14</v>
      </c>
      <c r="C13">
        <v>2.2700000000000001E-2</v>
      </c>
      <c r="D13" s="16">
        <v>85.09132302441634</v>
      </c>
      <c r="E13" s="16">
        <v>1.1752079582933001E-2</v>
      </c>
      <c r="F13" s="16">
        <f t="shared" si="0"/>
        <v>2.3034075982548682E-2</v>
      </c>
      <c r="G13" s="16">
        <f t="shared" si="1"/>
        <v>-3.3407598254868096E-4</v>
      </c>
      <c r="H13" s="16">
        <f t="shared" si="2"/>
        <v>4.573407598254868E-2</v>
      </c>
    </row>
    <row r="14" spans="1:8" x14ac:dyDescent="0.3">
      <c r="A14" s="26" t="s">
        <v>76</v>
      </c>
      <c r="B14" s="16">
        <v>15</v>
      </c>
      <c r="C14">
        <v>-4.8999999999999998E-4</v>
      </c>
      <c r="D14" s="16">
        <v>250</v>
      </c>
      <c r="E14" s="16">
        <v>2.209743144137338E-3</v>
      </c>
      <c r="F14" s="16">
        <f t="shared" si="0"/>
        <v>4.3310965625091829E-3</v>
      </c>
      <c r="G14" s="16">
        <f t="shared" si="1"/>
        <v>-4.8210965625091829E-3</v>
      </c>
      <c r="H14" s="16">
        <f t="shared" si="2"/>
        <v>3.8410965625091829E-3</v>
      </c>
    </row>
    <row r="15" spans="1:8" x14ac:dyDescent="0.3">
      <c r="A15" s="16" t="s">
        <v>20</v>
      </c>
      <c r="B15" s="16">
        <v>16</v>
      </c>
      <c r="C15">
        <v>-2.8999999999999998E-3</v>
      </c>
      <c r="D15" s="16">
        <v>114.24343714963219</v>
      </c>
      <c r="E15" s="16">
        <v>8.7532380410634339E-3</v>
      </c>
      <c r="F15" s="16">
        <f t="shared" si="0"/>
        <v>1.7156346560484328E-2</v>
      </c>
      <c r="G15" s="16">
        <f t="shared" si="1"/>
        <v>-2.0056346560484328E-2</v>
      </c>
      <c r="H15" s="16">
        <f t="shared" si="2"/>
        <v>1.4256346560484329E-2</v>
      </c>
    </row>
    <row r="16" spans="1:8" x14ac:dyDescent="0.3">
      <c r="A16" s="16" t="s">
        <v>19</v>
      </c>
      <c r="B16" s="16">
        <v>17</v>
      </c>
      <c r="C16">
        <v>-4.8999999999999998E-3</v>
      </c>
      <c r="D16" s="16">
        <v>144.90289498230143</v>
      </c>
      <c r="E16" s="16">
        <v>6.9011733693943172E-3</v>
      </c>
      <c r="F16" s="16">
        <f t="shared" si="0"/>
        <v>1.3526299804012862E-2</v>
      </c>
      <c r="G16" s="16">
        <f t="shared" si="1"/>
        <v>-1.8426299804012863E-2</v>
      </c>
      <c r="H16" s="16">
        <f t="shared" si="2"/>
        <v>8.626299804012862E-3</v>
      </c>
    </row>
    <row r="17" spans="1:8" x14ac:dyDescent="0.3">
      <c r="A17" s="16" t="s">
        <v>18</v>
      </c>
      <c r="B17" s="16">
        <v>18</v>
      </c>
      <c r="C17">
        <v>1.5900000000000001E-2</v>
      </c>
      <c r="D17" s="16">
        <v>111.30078734587057</v>
      </c>
      <c r="E17" s="16">
        <v>8.9846624075755159E-3</v>
      </c>
      <c r="F17" s="16">
        <f t="shared" si="0"/>
        <v>1.7609938318848013E-2</v>
      </c>
      <c r="G17" s="16">
        <f t="shared" si="1"/>
        <v>-1.7099383188480116E-3</v>
      </c>
      <c r="H17" s="16">
        <f t="shared" si="2"/>
        <v>3.3509938318848013E-2</v>
      </c>
    </row>
    <row r="18" spans="1:8" x14ac:dyDescent="0.3">
      <c r="A18" s="16" t="s">
        <v>17</v>
      </c>
      <c r="B18" s="16">
        <v>19</v>
      </c>
      <c r="C18">
        <v>1.17E-2</v>
      </c>
      <c r="D18" s="16">
        <v>108.67563816103042</v>
      </c>
      <c r="E18" s="16">
        <v>9.201694298019647E-3</v>
      </c>
      <c r="F18" s="16">
        <f t="shared" si="0"/>
        <v>1.8035320824118507E-2</v>
      </c>
      <c r="G18" s="16">
        <f t="shared" si="1"/>
        <v>-6.3353208241185063E-3</v>
      </c>
      <c r="H18" s="16">
        <f t="shared" si="2"/>
        <v>2.9735320824118505E-2</v>
      </c>
    </row>
    <row r="19" spans="1:8" x14ac:dyDescent="0.3">
      <c r="A19" s="16" t="s">
        <v>16</v>
      </c>
      <c r="B19" s="16">
        <v>20</v>
      </c>
      <c r="C19">
        <v>0</v>
      </c>
      <c r="D19" s="16">
        <v>129.09489401526105</v>
      </c>
      <c r="E19" s="16">
        <v>7.7462397535396276E-3</v>
      </c>
      <c r="F19" s="16">
        <f t="shared" si="0"/>
        <v>1.5182629916937669E-2</v>
      </c>
      <c r="G19" s="16">
        <f t="shared" si="1"/>
        <v>-1.5182629916937669E-2</v>
      </c>
      <c r="H19" s="16">
        <f t="shared" si="2"/>
        <v>1.5182629916937669E-2</v>
      </c>
    </row>
    <row r="20" spans="1:8" x14ac:dyDescent="0.3">
      <c r="A20" s="16" t="s">
        <v>15</v>
      </c>
      <c r="B20" s="16">
        <v>21</v>
      </c>
      <c r="C20">
        <v>-1.21E-2</v>
      </c>
      <c r="D20" s="16">
        <v>99.223511839085603</v>
      </c>
      <c r="E20" s="16">
        <v>1.0078256468302961E-2</v>
      </c>
      <c r="F20" s="16">
        <f>E20*1.96</f>
        <v>1.9753382677873806E-2</v>
      </c>
      <c r="G20" s="16">
        <f t="shared" si="1"/>
        <v>-3.1853382677873805E-2</v>
      </c>
      <c r="H20" s="16">
        <f t="shared" si="2"/>
        <v>7.6533826778738059E-3</v>
      </c>
    </row>
    <row r="21" spans="1:8" x14ac:dyDescent="0.3">
      <c r="A21" s="16" t="s">
        <v>95</v>
      </c>
      <c r="B21" s="16">
        <v>1</v>
      </c>
      <c r="C21">
        <v>4.3856360770563527E-3</v>
      </c>
      <c r="D21" s="16">
        <v>100</v>
      </c>
      <c r="E21">
        <v>4.3562169729926756E-3</v>
      </c>
      <c r="F21" s="16">
        <f t="shared" si="0"/>
        <v>8.5381852670656441E-3</v>
      </c>
      <c r="G21" s="16">
        <f t="shared" si="1"/>
        <v>-4.1525491900092915E-3</v>
      </c>
      <c r="H21" s="16">
        <f t="shared" si="2"/>
        <v>1.2923821344121997E-2</v>
      </c>
    </row>
    <row r="22" spans="1:8" x14ac:dyDescent="0.3">
      <c r="A22" s="16"/>
      <c r="B22" s="16"/>
      <c r="D22" s="16"/>
      <c r="F22" s="16"/>
      <c r="G22" s="16"/>
      <c r="H22" s="16"/>
    </row>
    <row r="26" spans="1:8" x14ac:dyDescent="0.3">
      <c r="A26" s="16" t="s">
        <v>95</v>
      </c>
      <c r="B26" s="16">
        <v>20</v>
      </c>
      <c r="C26">
        <v>4.3483015955764065E-2</v>
      </c>
      <c r="D26" s="16">
        <v>100</v>
      </c>
      <c r="E26">
        <v>2.2411957117278926E-2</v>
      </c>
      <c r="F26" s="16">
        <f t="shared" ref="F26:F44" si="3">E26*1.96</f>
        <v>4.3927435949866693E-2</v>
      </c>
      <c r="G26" s="16">
        <f t="shared" ref="G26:G45" si="4">C26-1.96*E26</f>
        <v>-4.4441999410262806E-4</v>
      </c>
      <c r="H26" s="16">
        <f t="shared" ref="H26:H45" si="5">C26+1.96*E26</f>
        <v>8.7410451905630765E-2</v>
      </c>
    </row>
    <row r="27" spans="1:8" x14ac:dyDescent="0.3">
      <c r="A27" s="16" t="s">
        <v>67</v>
      </c>
      <c r="B27" s="16">
        <v>19</v>
      </c>
      <c r="C27" s="16">
        <v>0.19964507542147295</v>
      </c>
      <c r="D27" s="16">
        <v>88.731144631765758</v>
      </c>
      <c r="E27" s="16">
        <v>1.1269999999999999E-2</v>
      </c>
      <c r="F27" s="16">
        <f t="shared" si="3"/>
        <v>2.2089199999999996E-2</v>
      </c>
      <c r="G27" s="16">
        <f t="shared" si="4"/>
        <v>0.17755587542147294</v>
      </c>
      <c r="H27" s="16">
        <f t="shared" si="5"/>
        <v>0.22173427542147295</v>
      </c>
    </row>
    <row r="28" spans="1:8" x14ac:dyDescent="0.3">
      <c r="A28" s="16" t="s">
        <v>66</v>
      </c>
      <c r="B28" s="16">
        <v>18</v>
      </c>
      <c r="C28" s="16">
        <v>-0.29004739336492891</v>
      </c>
      <c r="D28" s="16">
        <v>47.393364928909953</v>
      </c>
      <c r="E28" s="16">
        <v>2.1100000000000001E-2</v>
      </c>
      <c r="F28" s="16">
        <f t="shared" si="3"/>
        <v>4.1356000000000004E-2</v>
      </c>
      <c r="G28" s="16">
        <f t="shared" si="4"/>
        <v>-0.33140339336492891</v>
      </c>
      <c r="H28" s="16">
        <f t="shared" si="5"/>
        <v>-0.2486913933649289</v>
      </c>
    </row>
    <row r="29" spans="1:8" x14ac:dyDescent="0.3">
      <c r="A29" s="16" t="s">
        <v>65</v>
      </c>
      <c r="B29" s="16">
        <v>17</v>
      </c>
      <c r="C29" s="16">
        <v>0.28249097472924189</v>
      </c>
      <c r="D29" s="16">
        <v>78.161137525671364</v>
      </c>
      <c r="E29" s="16">
        <v>1.2794081965242106E-2</v>
      </c>
      <c r="F29" s="16">
        <f t="shared" si="3"/>
        <v>2.5076400651874525E-2</v>
      </c>
      <c r="G29" s="16">
        <f t="shared" si="4"/>
        <v>0.25741457407736734</v>
      </c>
      <c r="H29" s="16">
        <f t="shared" si="5"/>
        <v>0.30756737538111645</v>
      </c>
    </row>
    <row r="30" spans="1:8" x14ac:dyDescent="0.3">
      <c r="A30" s="16" t="s">
        <v>36</v>
      </c>
      <c r="B30" s="16">
        <v>16</v>
      </c>
      <c r="C30" s="16">
        <v>-0.12</v>
      </c>
      <c r="D30" s="16">
        <v>54.392829322042118</v>
      </c>
      <c r="E30" s="16">
        <v>1.8384776310850236E-2</v>
      </c>
      <c r="F30" s="16">
        <f t="shared" si="3"/>
        <v>3.6034161569266462E-2</v>
      </c>
      <c r="G30" s="16">
        <f t="shared" si="4"/>
        <v>-0.15603416156926647</v>
      </c>
      <c r="H30" s="16">
        <f t="shared" si="5"/>
        <v>-8.3965838430733533E-2</v>
      </c>
    </row>
    <row r="31" spans="1:8" x14ac:dyDescent="0.3">
      <c r="A31" s="16" t="s">
        <v>30</v>
      </c>
      <c r="B31" s="16">
        <v>15</v>
      </c>
      <c r="C31" s="16">
        <v>-4.02E-2</v>
      </c>
      <c r="D31" s="16">
        <v>49.551981863107748</v>
      </c>
      <c r="E31" s="16">
        <v>2.0180827535064064E-2</v>
      </c>
      <c r="F31" s="16">
        <f t="shared" si="3"/>
        <v>3.9554421968725564E-2</v>
      </c>
      <c r="G31" s="16">
        <f t="shared" si="4"/>
        <v>-7.9754421968725564E-2</v>
      </c>
      <c r="H31" s="16">
        <f t="shared" si="5"/>
        <v>-6.4557803127443525E-4</v>
      </c>
    </row>
    <row r="32" spans="1:8" x14ac:dyDescent="0.3">
      <c r="A32" s="16" t="s">
        <v>31</v>
      </c>
      <c r="B32" s="16">
        <v>14</v>
      </c>
      <c r="C32" s="16">
        <v>-0.22009999999999999</v>
      </c>
      <c r="D32" s="16">
        <v>57.817398298164143</v>
      </c>
      <c r="E32" s="16">
        <v>1.7295831867822953E-2</v>
      </c>
      <c r="F32" s="16">
        <f t="shared" si="3"/>
        <v>3.3899830460932985E-2</v>
      </c>
      <c r="G32" s="16">
        <f t="shared" si="4"/>
        <v>-0.253999830460933</v>
      </c>
      <c r="H32" s="16">
        <f t="shared" si="5"/>
        <v>-0.18620016953906701</v>
      </c>
    </row>
    <row r="33" spans="1:8" x14ac:dyDescent="0.3">
      <c r="A33" s="16" t="s">
        <v>29</v>
      </c>
      <c r="B33" s="16">
        <v>13</v>
      </c>
      <c r="C33" s="16">
        <v>1.49E-2</v>
      </c>
      <c r="D33" s="16">
        <v>55.986285129576217</v>
      </c>
      <c r="E33" s="16">
        <v>1.7861517292772189E-2</v>
      </c>
      <c r="F33" s="16">
        <f t="shared" si="3"/>
        <v>3.5008573893833488E-2</v>
      </c>
      <c r="G33" s="16">
        <f t="shared" si="4"/>
        <v>-2.0108573893833488E-2</v>
      </c>
      <c r="H33" s="16">
        <f t="shared" si="5"/>
        <v>4.9908573893833491E-2</v>
      </c>
    </row>
    <row r="34" spans="1:8" x14ac:dyDescent="0.3">
      <c r="A34" s="16" t="s">
        <v>69</v>
      </c>
      <c r="B34" s="16">
        <v>12</v>
      </c>
      <c r="C34" s="16">
        <v>0.11207645525629888</v>
      </c>
      <c r="D34" s="16">
        <v>86.00777529636548</v>
      </c>
      <c r="E34" s="16">
        <v>1.1626855787795945E-2</v>
      </c>
      <c r="F34" s="16">
        <f t="shared" si="3"/>
        <v>2.2788637344080053E-2</v>
      </c>
      <c r="G34" s="16">
        <f t="shared" si="4"/>
        <v>8.928781791221882E-2</v>
      </c>
      <c r="H34" s="16">
        <f t="shared" si="5"/>
        <v>0.13486509260037893</v>
      </c>
    </row>
    <row r="35" spans="1:8" x14ac:dyDescent="0.3">
      <c r="A35" s="16" t="s">
        <v>73</v>
      </c>
      <c r="B35" s="16">
        <v>11</v>
      </c>
      <c r="C35" s="16">
        <v>0.18834547346514049</v>
      </c>
      <c r="D35" s="16">
        <v>101.95586858618846</v>
      </c>
      <c r="E35" s="16">
        <v>9.8081651783943104E-3</v>
      </c>
      <c r="F35" s="16">
        <f t="shared" si="3"/>
        <v>1.9224003749652847E-2</v>
      </c>
      <c r="G35" s="16">
        <f t="shared" si="4"/>
        <v>0.16912146971548764</v>
      </c>
      <c r="H35" s="16">
        <f t="shared" si="5"/>
        <v>0.20756947721479335</v>
      </c>
    </row>
    <row r="36" spans="1:8" ht="15.75" customHeight="1" x14ac:dyDescent="0.3">
      <c r="A36" s="16" t="s">
        <v>25</v>
      </c>
      <c r="B36" s="16">
        <v>10</v>
      </c>
      <c r="C36" s="16">
        <v>-0.01</v>
      </c>
      <c r="D36" s="16">
        <v>55.1068965692034</v>
      </c>
      <c r="E36" s="16">
        <v>1.8146549021213654E-2</v>
      </c>
      <c r="F36" s="16">
        <f t="shared" si="3"/>
        <v>3.556723608157876E-2</v>
      </c>
      <c r="G36" s="16">
        <f t="shared" si="4"/>
        <v>-4.5567236081578762E-2</v>
      </c>
      <c r="H36" s="16">
        <f t="shared" si="5"/>
        <v>2.5567236081578758E-2</v>
      </c>
    </row>
    <row r="37" spans="1:8" x14ac:dyDescent="0.3">
      <c r="A37" s="16" t="s">
        <v>14</v>
      </c>
      <c r="B37" s="16">
        <v>9</v>
      </c>
      <c r="C37" s="16">
        <v>0.42</v>
      </c>
      <c r="D37" s="16">
        <v>70.680233569759409</v>
      </c>
      <c r="E37" s="16">
        <v>1.4148227156225057E-2</v>
      </c>
      <c r="F37" s="16">
        <f t="shared" si="3"/>
        <v>2.7730525226201109E-2</v>
      </c>
      <c r="G37" s="16">
        <f t="shared" si="4"/>
        <v>0.39226947477379887</v>
      </c>
      <c r="H37" s="16">
        <f t="shared" si="5"/>
        <v>0.4477305252262011</v>
      </c>
    </row>
    <row r="38" spans="1:8" x14ac:dyDescent="0.3">
      <c r="A38" s="16" t="s">
        <v>9</v>
      </c>
      <c r="B38" s="16">
        <v>8</v>
      </c>
      <c r="C38" s="16">
        <v>0.19</v>
      </c>
      <c r="D38" s="16">
        <v>85.09132302441634</v>
      </c>
      <c r="E38" s="16">
        <v>1.1752079582933001E-2</v>
      </c>
      <c r="F38" s="16">
        <f t="shared" si="3"/>
        <v>2.3034075982548682E-2</v>
      </c>
      <c r="G38" s="16">
        <f t="shared" si="4"/>
        <v>0.16696592401745131</v>
      </c>
      <c r="H38" s="16">
        <f t="shared" si="5"/>
        <v>0.2130340759825487</v>
      </c>
    </row>
    <row r="39" spans="1:8" x14ac:dyDescent="0.3">
      <c r="A39" s="26" t="s">
        <v>76</v>
      </c>
      <c r="B39" s="16">
        <v>7</v>
      </c>
      <c r="C39" s="16">
        <v>-4.4626593806921678E-3</v>
      </c>
      <c r="D39" s="16">
        <v>452.54128410946612</v>
      </c>
      <c r="E39" s="16">
        <v>2.209743144137338E-3</v>
      </c>
      <c r="F39" s="16">
        <f t="shared" si="3"/>
        <v>4.3310965625091829E-3</v>
      </c>
      <c r="G39" s="16">
        <f t="shared" si="4"/>
        <v>-8.7937559432013507E-3</v>
      </c>
      <c r="H39" s="16">
        <f t="shared" si="5"/>
        <v>-1.315628181829849E-4</v>
      </c>
    </row>
    <row r="40" spans="1:8" x14ac:dyDescent="0.3">
      <c r="A40" s="16" t="s">
        <v>20</v>
      </c>
      <c r="B40" s="16">
        <v>6</v>
      </c>
      <c r="C40" s="16">
        <v>-0.03</v>
      </c>
      <c r="D40" s="16">
        <v>114.24343714963219</v>
      </c>
      <c r="E40" s="16">
        <v>8.7532380410634339E-3</v>
      </c>
      <c r="F40" s="16">
        <f t="shared" si="3"/>
        <v>1.7156346560484328E-2</v>
      </c>
      <c r="G40" s="16">
        <f t="shared" si="4"/>
        <v>-4.7156346560484327E-2</v>
      </c>
      <c r="H40" s="16">
        <f t="shared" si="5"/>
        <v>-1.284365343951567E-2</v>
      </c>
    </row>
    <row r="41" spans="1:8" x14ac:dyDescent="0.3">
      <c r="A41" s="16" t="s">
        <v>19</v>
      </c>
      <c r="B41" s="16">
        <v>5</v>
      </c>
      <c r="C41" s="16">
        <v>-0.05</v>
      </c>
      <c r="D41" s="16">
        <v>144.90289498230143</v>
      </c>
      <c r="E41" s="16">
        <v>6.9011733693943172E-3</v>
      </c>
      <c r="F41" s="16">
        <f t="shared" si="3"/>
        <v>1.3526299804012862E-2</v>
      </c>
      <c r="G41" s="16">
        <f t="shared" si="4"/>
        <v>-6.3526299804012865E-2</v>
      </c>
      <c r="H41" s="16">
        <f t="shared" si="5"/>
        <v>-3.6473700195987141E-2</v>
      </c>
    </row>
    <row r="42" spans="1:8" x14ac:dyDescent="0.3">
      <c r="A42" s="16" t="s">
        <v>18</v>
      </c>
      <c r="B42" s="16">
        <v>4</v>
      </c>
      <c r="C42" s="16">
        <v>0.17</v>
      </c>
      <c r="D42" s="16">
        <v>111.30078734587057</v>
      </c>
      <c r="E42" s="16">
        <v>8.9846624075755159E-3</v>
      </c>
      <c r="F42" s="16">
        <f t="shared" si="3"/>
        <v>1.7609938318848013E-2</v>
      </c>
      <c r="G42" s="16">
        <f t="shared" si="4"/>
        <v>0.15239006168115199</v>
      </c>
      <c r="H42" s="16">
        <f t="shared" si="5"/>
        <v>0.18760993831884804</v>
      </c>
    </row>
    <row r="43" spans="1:8" x14ac:dyDescent="0.3">
      <c r="A43" s="16" t="s">
        <v>17</v>
      </c>
      <c r="B43" s="16">
        <v>3</v>
      </c>
      <c r="C43" s="16">
        <v>0.11</v>
      </c>
      <c r="D43" s="16">
        <v>108.67563816103042</v>
      </c>
      <c r="E43" s="16">
        <v>9.201694298019647E-3</v>
      </c>
      <c r="F43" s="16">
        <f t="shared" si="3"/>
        <v>1.8035320824118507E-2</v>
      </c>
      <c r="G43" s="16">
        <f t="shared" si="4"/>
        <v>9.1964679175881497E-2</v>
      </c>
      <c r="H43" s="16">
        <f t="shared" si="5"/>
        <v>0.1280353208241185</v>
      </c>
    </row>
    <row r="44" spans="1:8" x14ac:dyDescent="0.3">
      <c r="A44" s="16" t="s">
        <v>16</v>
      </c>
      <c r="B44" s="16">
        <v>2</v>
      </c>
      <c r="C44" s="16">
        <v>0</v>
      </c>
      <c r="D44" s="16">
        <v>129.09489401526105</v>
      </c>
      <c r="E44" s="16">
        <v>7.7462397535396276E-3</v>
      </c>
      <c r="F44" s="16">
        <f t="shared" si="3"/>
        <v>1.5182629916937669E-2</v>
      </c>
      <c r="G44" s="16">
        <f t="shared" si="4"/>
        <v>-1.5182629916937669E-2</v>
      </c>
      <c r="H44" s="16">
        <f t="shared" si="5"/>
        <v>1.5182629916937669E-2</v>
      </c>
    </row>
    <row r="45" spans="1:8" x14ac:dyDescent="0.3">
      <c r="A45" s="16" t="s">
        <v>15</v>
      </c>
      <c r="B45" s="16">
        <v>1</v>
      </c>
      <c r="C45" s="16">
        <v>-0.11</v>
      </c>
      <c r="D45" s="16">
        <v>99.223511839085603</v>
      </c>
      <c r="E45" s="16">
        <v>1.0078256468302961E-2</v>
      </c>
      <c r="F45" s="16">
        <f>E45*1.96</f>
        <v>1.9753382677873806E-2</v>
      </c>
      <c r="G45" s="16">
        <f t="shared" si="4"/>
        <v>-0.12975338267787381</v>
      </c>
      <c r="H45" s="16">
        <f t="shared" si="5"/>
        <v>-9.0246617322126188E-2</v>
      </c>
    </row>
    <row r="52" spans="2:4" x14ac:dyDescent="0.3">
      <c r="B52">
        <v>-1.21E-2</v>
      </c>
      <c r="D52">
        <v>2.2499999999999999E-2</v>
      </c>
    </row>
    <row r="53" spans="2:4" x14ac:dyDescent="0.3">
      <c r="B53">
        <v>0</v>
      </c>
      <c r="D53">
        <v>-3.0599999999999999E-2</v>
      </c>
    </row>
    <row r="54" spans="2:4" x14ac:dyDescent="0.3">
      <c r="B54">
        <v>1.17E-2</v>
      </c>
      <c r="D54">
        <v>3.1300000000000001E-2</v>
      </c>
    </row>
    <row r="55" spans="2:4" x14ac:dyDescent="0.3">
      <c r="B55">
        <v>1.5900000000000001E-2</v>
      </c>
      <c r="D55">
        <v>-1.6E-2</v>
      </c>
    </row>
    <row r="56" spans="2:4" x14ac:dyDescent="0.3">
      <c r="B56">
        <v>-4.8999999999999998E-3</v>
      </c>
      <c r="D56">
        <v>-5.7999999999999996E-3</v>
      </c>
    </row>
    <row r="57" spans="2:4" x14ac:dyDescent="0.3">
      <c r="B57">
        <v>-2.8999999999999998E-3</v>
      </c>
      <c r="D57">
        <v>-2.7199999999999998E-2</v>
      </c>
    </row>
    <row r="58" spans="2:4" x14ac:dyDescent="0.3">
      <c r="B58">
        <v>-4.8999999999999998E-4</v>
      </c>
      <c r="D58">
        <v>1.9E-3</v>
      </c>
    </row>
    <row r="59" spans="2:4" x14ac:dyDescent="0.3">
      <c r="B59">
        <v>2.2700000000000001E-2</v>
      </c>
      <c r="D59">
        <v>1.29E-2</v>
      </c>
    </row>
    <row r="60" spans="2:4" x14ac:dyDescent="0.3">
      <c r="B60">
        <v>4.2099999999999999E-2</v>
      </c>
      <c r="D60">
        <v>1.8100000000000002E-2</v>
      </c>
    </row>
    <row r="61" spans="2:4" x14ac:dyDescent="0.3">
      <c r="B61">
        <v>-1.4E-3</v>
      </c>
      <c r="D61">
        <v>-1.4E-3</v>
      </c>
    </row>
    <row r="62" spans="2:4" x14ac:dyDescent="0.3">
      <c r="B62">
        <v>1.8100000000000002E-2</v>
      </c>
      <c r="D62">
        <v>4.2099999999999999E-2</v>
      </c>
    </row>
    <row r="63" spans="2:4" x14ac:dyDescent="0.3">
      <c r="B63">
        <v>1.29E-2</v>
      </c>
      <c r="D63">
        <v>2.2700000000000001E-2</v>
      </c>
    </row>
    <row r="64" spans="2:4" x14ac:dyDescent="0.3">
      <c r="B64">
        <v>1.9E-3</v>
      </c>
      <c r="D64">
        <v>-4.8999999999999998E-4</v>
      </c>
    </row>
    <row r="65" spans="2:4" x14ac:dyDescent="0.3">
      <c r="B65">
        <v>-2.7199999999999998E-2</v>
      </c>
      <c r="D65">
        <v>-2.8999999999999998E-3</v>
      </c>
    </row>
    <row r="66" spans="2:4" x14ac:dyDescent="0.3">
      <c r="B66">
        <v>-5.7999999999999996E-3</v>
      </c>
      <c r="D66">
        <v>-4.8999999999999998E-3</v>
      </c>
    </row>
    <row r="67" spans="2:4" x14ac:dyDescent="0.3">
      <c r="B67">
        <v>-1.6E-2</v>
      </c>
      <c r="D67">
        <v>1.5900000000000001E-2</v>
      </c>
    </row>
    <row r="68" spans="2:4" x14ac:dyDescent="0.3">
      <c r="B68">
        <v>3.1300000000000001E-2</v>
      </c>
      <c r="D68">
        <v>1.17E-2</v>
      </c>
    </row>
    <row r="69" spans="2:4" x14ac:dyDescent="0.3">
      <c r="B69">
        <v>-3.0599999999999999E-2</v>
      </c>
      <c r="D69">
        <v>0</v>
      </c>
    </row>
    <row r="70" spans="2:4" x14ac:dyDescent="0.3">
      <c r="B70">
        <v>2.2499999999999999E-2</v>
      </c>
      <c r="D70">
        <v>-1.21E-2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everything</vt:lpstr>
      <vt:lpstr>forest plot data</vt:lpstr>
      <vt:lpstr>Forest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jgalak</dc:creator>
  <cp:lastModifiedBy>Etienne LeBel</cp:lastModifiedBy>
  <dcterms:created xsi:type="dcterms:W3CDTF">2012-02-21T16:02:28Z</dcterms:created>
  <dcterms:modified xsi:type="dcterms:W3CDTF">2017-05-12T20:47:01Z</dcterms:modified>
</cp:coreProperties>
</file>