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sala\OneDrive\Github\sustainable-energy-transitions\ccs\"/>
    </mc:Choice>
  </mc:AlternateContent>
  <xr:revisionPtr revIDLastSave="0" documentId="13_ncr:1_{9481DEC3-8B09-4D7A-A493-5AC1C8B5F51A}" xr6:coauthVersionLast="36" xr6:coauthVersionMax="36" xr10:uidLastSave="{00000000-0000-0000-0000-000000000000}"/>
  <bookViews>
    <workbookView xWindow="6525" yWindow="465" windowWidth="6675" windowHeight="7725" tabRatio="500" xr2:uid="{00000000-000D-0000-FFFF-FFFF00000000}"/>
  </bookViews>
  <sheets>
    <sheet name="COAL and NG calcs" sheetId="3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7" i="3" l="1"/>
  <c r="T37" i="3"/>
  <c r="R37" i="3"/>
  <c r="P37" i="3"/>
  <c r="N37" i="3"/>
  <c r="L37" i="3"/>
  <c r="V26" i="3" l="1"/>
  <c r="V31" i="3" s="1"/>
  <c r="V24" i="3"/>
  <c r="L5" i="3"/>
  <c r="O5" i="3" s="1"/>
  <c r="W24" i="3"/>
  <c r="W27" i="3" s="1"/>
  <c r="W36" i="3" s="1"/>
  <c r="M2" i="3"/>
  <c r="N2" i="3" s="1"/>
  <c r="L3" i="3"/>
  <c r="L26" i="3" s="1"/>
  <c r="L24" i="3"/>
  <c r="L32" i="3" s="1"/>
  <c r="M3" i="3"/>
  <c r="M24" i="3" s="1"/>
  <c r="M32" i="3" s="1"/>
  <c r="W26" i="3"/>
  <c r="W31" i="3" s="1"/>
  <c r="V25" i="3"/>
  <c r="W25" i="3"/>
  <c r="W21" i="3"/>
  <c r="V21" i="3"/>
  <c r="W32" i="3"/>
  <c r="L25" i="3" l="1"/>
  <c r="L46" i="3" s="1"/>
  <c r="M25" i="3"/>
  <c r="W30" i="3"/>
  <c r="L31" i="3"/>
  <c r="L21" i="3"/>
  <c r="W22" i="3"/>
  <c r="L48" i="3"/>
  <c r="N3" i="3"/>
  <c r="N25" i="3" s="1"/>
  <c r="N46" i="3" s="1"/>
  <c r="O2" i="3"/>
  <c r="M26" i="3"/>
  <c r="L51" i="3" s="1"/>
  <c r="M53" i="3"/>
  <c r="W50" i="3"/>
  <c r="W46" i="3"/>
  <c r="W53" i="3"/>
  <c r="W28" i="3"/>
  <c r="M30" i="3"/>
  <c r="V46" i="3"/>
  <c r="L30" i="3"/>
  <c r="L34" i="3" s="1"/>
  <c r="M27" i="3"/>
  <c r="M36" i="3" s="1"/>
  <c r="L22" i="3"/>
  <c r="V30" i="3"/>
  <c r="V34" i="3" s="1"/>
  <c r="V32" i="3"/>
  <c r="V22" i="3"/>
  <c r="V53" i="3"/>
  <c r="V51" i="3"/>
  <c r="W29" i="3"/>
  <c r="W43" i="3" s="1"/>
  <c r="M48" i="3"/>
  <c r="N24" i="3" l="1"/>
  <c r="L53" i="3"/>
  <c r="M50" i="3"/>
  <c r="M28" i="3"/>
  <c r="M34" i="3"/>
  <c r="L47" i="3"/>
  <c r="L40" i="3" s="1"/>
  <c r="M44" i="3"/>
  <c r="M33" i="3"/>
  <c r="M45" i="3" s="1"/>
  <c r="L35" i="3"/>
  <c r="L38" i="3" s="1"/>
  <c r="W44" i="3"/>
  <c r="L41" i="3"/>
  <c r="M29" i="3"/>
  <c r="M31" i="3"/>
  <c r="M21" i="3"/>
  <c r="M22" i="3" s="1"/>
  <c r="P2" i="3"/>
  <c r="O3" i="3"/>
  <c r="N26" i="3"/>
  <c r="N31" i="3" s="1"/>
  <c r="W33" i="3"/>
  <c r="W35" i="3" s="1"/>
  <c r="V47" i="3"/>
  <c r="W34" i="3"/>
  <c r="V55" i="3"/>
  <c r="M52" i="3"/>
  <c r="N32" i="3"/>
  <c r="N30" i="3"/>
  <c r="N34" i="3" s="1"/>
  <c r="N53" i="3"/>
  <c r="W48" i="3"/>
  <c r="V48" i="3"/>
  <c r="V49" i="3" s="1"/>
  <c r="N21" i="3"/>
  <c r="N22" i="3" s="1"/>
  <c r="L55" i="3"/>
  <c r="V35" i="3"/>
  <c r="V38" i="3" s="1"/>
  <c r="L49" i="3" l="1"/>
  <c r="W47" i="3"/>
  <c r="W40" i="3" s="1"/>
  <c r="M43" i="3"/>
  <c r="M41" i="3" s="1"/>
  <c r="M46" i="3"/>
  <c r="O26" i="3"/>
  <c r="O24" i="3"/>
  <c r="O25" i="3"/>
  <c r="Q2" i="3"/>
  <c r="P3" i="3"/>
  <c r="V41" i="3"/>
  <c r="V40" i="3"/>
  <c r="N48" i="3"/>
  <c r="O48" i="3"/>
  <c r="M55" i="3"/>
  <c r="M35" i="3"/>
  <c r="M39" i="3" s="1"/>
  <c r="W39" i="3"/>
  <c r="W55" i="3"/>
  <c r="M47" i="3"/>
  <c r="M40" i="3" s="1"/>
  <c r="N55" i="3"/>
  <c r="N47" i="3"/>
  <c r="O34" i="3"/>
  <c r="N35" i="3"/>
  <c r="N38" i="3" s="1"/>
  <c r="W38" i="3"/>
  <c r="N41" i="3" l="1"/>
  <c r="N49" i="3"/>
  <c r="Q3" i="3"/>
  <c r="R2" i="3"/>
  <c r="O28" i="3"/>
  <c r="O53" i="3"/>
  <c r="O50" i="3"/>
  <c r="O32" i="3"/>
  <c r="O55" i="3" s="1"/>
  <c r="O27" i="3"/>
  <c r="O36" i="3" s="1"/>
  <c r="O30" i="3"/>
  <c r="P25" i="3"/>
  <c r="P24" i="3"/>
  <c r="P26" i="3"/>
  <c r="O31" i="3"/>
  <c r="O21" i="3"/>
  <c r="O22" i="3" s="1"/>
  <c r="N51" i="3"/>
  <c r="O29" i="3"/>
  <c r="N40" i="3"/>
  <c r="M49" i="3"/>
  <c r="M38" i="3"/>
  <c r="W41" i="3"/>
  <c r="W49" i="3"/>
  <c r="O33" i="3" l="1"/>
  <c r="O44" i="3"/>
  <c r="O43" i="3"/>
  <c r="O41" i="3" s="1"/>
  <c r="O46" i="3"/>
  <c r="P31" i="3"/>
  <c r="P21" i="3"/>
  <c r="P22" i="3" s="1"/>
  <c r="P51" i="3"/>
  <c r="P32" i="3"/>
  <c r="P30" i="3"/>
  <c r="P34" i="3" s="1"/>
  <c r="Q25" i="3"/>
  <c r="Q24" i="3"/>
  <c r="Q27" i="3" s="1"/>
  <c r="Q36" i="3" s="1"/>
  <c r="Q26" i="3"/>
  <c r="Q29" i="3" s="1"/>
  <c r="Q43" i="3" s="1"/>
  <c r="O35" i="3"/>
  <c r="O39" i="3" s="1"/>
  <c r="O47" i="3"/>
  <c r="O40" i="3" s="1"/>
  <c r="O49" i="3" s="1"/>
  <c r="S2" i="3"/>
  <c r="R3" i="3"/>
  <c r="P46" i="3"/>
  <c r="P53" i="3"/>
  <c r="P35" i="3" l="1"/>
  <c r="P38" i="3" s="1"/>
  <c r="P48" i="3"/>
  <c r="Q48" i="3"/>
  <c r="Q53" i="3"/>
  <c r="Q50" i="3"/>
  <c r="Q46" i="3"/>
  <c r="Q28" i="3"/>
  <c r="R24" i="3"/>
  <c r="R25" i="3"/>
  <c r="R26" i="3"/>
  <c r="Q30" i="3"/>
  <c r="Q32" i="3"/>
  <c r="T2" i="3"/>
  <c r="S3" i="3"/>
  <c r="Q31" i="3"/>
  <c r="Q21" i="3"/>
  <c r="Q22" i="3" s="1"/>
  <c r="P47" i="3"/>
  <c r="P55" i="3"/>
  <c r="Q34" i="3"/>
  <c r="O38" i="3"/>
  <c r="P49" i="3" l="1"/>
  <c r="Q33" i="3"/>
  <c r="Q44" i="3"/>
  <c r="P40" i="3"/>
  <c r="R53" i="3"/>
  <c r="R46" i="3"/>
  <c r="Q55" i="3"/>
  <c r="S25" i="3"/>
  <c r="S24" i="3"/>
  <c r="S26" i="3"/>
  <c r="Q35" i="3"/>
  <c r="Q39" i="3" s="1"/>
  <c r="Q47" i="3"/>
  <c r="Q40" i="3" s="1"/>
  <c r="R30" i="3"/>
  <c r="R34" i="3" s="1"/>
  <c r="R32" i="3"/>
  <c r="R31" i="3"/>
  <c r="R51" i="3"/>
  <c r="R21" i="3"/>
  <c r="R22" i="3" s="1"/>
  <c r="P41" i="3"/>
  <c r="U2" i="3"/>
  <c r="U3" i="3" s="1"/>
  <c r="T3" i="3"/>
  <c r="Q41" i="3" l="1"/>
  <c r="Q38" i="3"/>
  <c r="R55" i="3"/>
  <c r="R35" i="3"/>
  <c r="R38" i="3" s="1"/>
  <c r="R47" i="3"/>
  <c r="S34" i="3"/>
  <c r="S46" i="3"/>
  <c r="S53" i="3"/>
  <c r="S28" i="3"/>
  <c r="S50" i="3"/>
  <c r="T24" i="3"/>
  <c r="T26" i="3"/>
  <c r="T25" i="3"/>
  <c r="S48" i="3"/>
  <c r="R48" i="3"/>
  <c r="R49" i="3" s="1"/>
  <c r="S32" i="3"/>
  <c r="S30" i="3"/>
  <c r="U25" i="3"/>
  <c r="U24" i="3"/>
  <c r="U26" i="3"/>
  <c r="S27" i="3"/>
  <c r="S36" i="3" s="1"/>
  <c r="S21" i="3"/>
  <c r="S22" i="3" s="1"/>
  <c r="S31" i="3"/>
  <c r="S29" i="3"/>
  <c r="S43" i="3" s="1"/>
  <c r="Q49" i="3"/>
  <c r="S33" i="3" l="1"/>
  <c r="S47" i="3" s="1"/>
  <c r="S40" i="3" s="1"/>
  <c r="S44" i="3"/>
  <c r="R40" i="3"/>
  <c r="U31" i="3"/>
  <c r="U21" i="3"/>
  <c r="U22" i="3" s="1"/>
  <c r="U53" i="3"/>
  <c r="U50" i="3"/>
  <c r="U28" i="3"/>
  <c r="U46" i="3"/>
  <c r="T31" i="3"/>
  <c r="T51" i="3"/>
  <c r="T21" i="3"/>
  <c r="U29" i="3"/>
  <c r="U43" i="3" s="1"/>
  <c r="U30" i="3"/>
  <c r="U32" i="3"/>
  <c r="R41" i="3"/>
  <c r="T32" i="3"/>
  <c r="T30" i="3"/>
  <c r="T34" i="3" s="1"/>
  <c r="U27" i="3"/>
  <c r="U36" i="3" s="1"/>
  <c r="T22" i="3"/>
  <c r="T53" i="3"/>
  <c r="T46" i="3"/>
  <c r="S55" i="3"/>
  <c r="S35" i="3" l="1"/>
  <c r="S39" i="3" s="1"/>
  <c r="U33" i="3"/>
  <c r="U44" i="3"/>
  <c r="S41" i="3"/>
  <c r="T47" i="3"/>
  <c r="U35" i="3"/>
  <c r="U38" i="3" s="1"/>
  <c r="U34" i="3"/>
  <c r="U55" i="3" s="1"/>
  <c r="T35" i="3"/>
  <c r="T38" i="3" s="1"/>
  <c r="T55" i="3"/>
  <c r="U47" i="3"/>
  <c r="S49" i="3"/>
  <c r="U48" i="3"/>
  <c r="T48" i="3"/>
  <c r="T49" i="3" s="1"/>
  <c r="S38" i="3" l="1"/>
  <c r="T40" i="3"/>
  <c r="T41" i="3"/>
  <c r="U40" i="3"/>
  <c r="U39" i="3"/>
  <c r="U41" i="3" l="1"/>
  <c r="U49" i="3"/>
</calcChain>
</file>

<file path=xl/sharedStrings.xml><?xml version="1.0" encoding="utf-8"?>
<sst xmlns="http://schemas.openxmlformats.org/spreadsheetml/2006/main" count="184" uniqueCount="117">
  <si>
    <t>origin</t>
  </si>
  <si>
    <t>Gerdes, K. J. (2013). Cost and Performance Comparison Baseline for Fossil Energy Power Plants, 1–626.</t>
  </si>
  <si>
    <t>IGCC</t>
  </si>
  <si>
    <t xml:space="preserve">Case 2 </t>
  </si>
  <si>
    <t xml:space="preserve">Integrated Gasification Combined Cycle </t>
  </si>
  <si>
    <t xml:space="preserve">GEE R+Q </t>
  </si>
  <si>
    <t xml:space="preserve">CoP E-Gas FSQ </t>
  </si>
  <si>
    <t xml:space="preserve">Shell </t>
  </si>
  <si>
    <t xml:space="preserve">PERFORMANCE </t>
  </si>
  <si>
    <t xml:space="preserve">Case 1 </t>
  </si>
  <si>
    <t xml:space="preserve">Case 3 </t>
  </si>
  <si>
    <t xml:space="preserve">Case 4 </t>
  </si>
  <si>
    <t xml:space="preserve">Case 5 </t>
  </si>
  <si>
    <t xml:space="preserve">Case 6 </t>
  </si>
  <si>
    <t xml:space="preserve">CO2 Capture </t>
  </si>
  <si>
    <t>Gross Power Output (kWe)</t>
  </si>
  <si>
    <t>Auxiliary Power Requirement (kWe) Net Power Output (kWe)</t>
  </si>
  <si>
    <t>Coal Flowrate (lb/hr)</t>
  </si>
  <si>
    <t>Natural Gas Flowrate (lb/hr)</t>
  </si>
  <si>
    <t>HHV Thermal Input (kWth)</t>
  </si>
  <si>
    <t>Net Plant HHV Efficiency (%)</t>
  </si>
  <si>
    <t xml:space="preserve">Net Plant HHV Heat Rate (Btu/kWh) </t>
  </si>
  <si>
    <t xml:space="preserve">N/A </t>
  </si>
  <si>
    <r>
      <t>Raw Water Withdrawal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</si>
  <si>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6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</si>
  <si>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>Hg Emissions (lb/TBtu)</t>
  </si>
  <si>
    <r>
      <t>Hg Emissions (lb/MWh</t>
    </r>
    <r>
      <rPr>
        <b/>
        <sz val="6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</si>
  <si>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t xml:space="preserve">COST </t>
  </si>
  <si>
    <t xml:space="preserve">Total Plant Cost (2007$/kW) Total Overnight Cost (2007$/kW) </t>
  </si>
  <si>
    <t xml:space="preserve">Bare Erected Cost Home Office Expenses Project Contingency Process Contingency Owner'sCosts </t>
  </si>
  <si>
    <r>
      <t>Total Overnight Cost (2007$ x 1,000) Total As Spent Capital (2007$/kW) COE (mills/kWh, 2007$)</t>
    </r>
    <r>
      <rPr>
        <b/>
        <sz val="6"/>
        <color theme="1"/>
        <rFont val="Arial"/>
      </rPr>
      <t xml:space="preserve">1,2 </t>
    </r>
  </si>
  <si>
    <t xml:space="preserve">CO2 TS&amp;M Costs Fuel Costs Variable Costs Fixed Costs Capital Costs </t>
  </si>
  <si>
    <r>
      <t>LCOE (mills/kWh, 2007$)</t>
    </r>
    <r>
      <rPr>
        <b/>
        <sz val="6"/>
        <color theme="1"/>
        <rFont val="Arial"/>
      </rPr>
      <t xml:space="preserve">1,2 </t>
    </r>
  </si>
  <si>
    <t xml:space="preserve">Auxiliary Power Requirement (kWe) </t>
  </si>
  <si>
    <t>Net Power Output (kWe)</t>
  </si>
  <si>
    <t>Exhibit 3-101 pg 297</t>
  </si>
  <si>
    <t xml:space="preserve">Pulverized Coal Boiler </t>
  </si>
  <si>
    <t xml:space="preserve">PC Subcritical </t>
  </si>
  <si>
    <t xml:space="preserve">PC Supercritical </t>
  </si>
  <si>
    <t xml:space="preserve">Case 9 </t>
  </si>
  <si>
    <t xml:space="preserve">Case 10 </t>
  </si>
  <si>
    <t xml:space="preserve">Case 11 </t>
  </si>
  <si>
    <t xml:space="preserve">Case 12 </t>
  </si>
  <si>
    <r>
      <t>Raw Water Withdrawal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Process Water Discharge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Raw Water Consumption (gpm/MW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 xml:space="preserve">) </t>
    </r>
  </si>
  <si>
    <r>
      <t>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CO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net</t>
    </r>
    <r>
      <rPr>
        <b/>
        <sz val="9"/>
        <color theme="1"/>
        <rFont val="Arial"/>
      </rPr>
      <t>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(lb/MMBtu) SO</t>
    </r>
    <r>
      <rPr>
        <b/>
        <sz val="7"/>
        <color theme="1"/>
        <rFont val="Arial"/>
      </rPr>
      <t xml:space="preserve">2 </t>
    </r>
    <r>
      <rPr>
        <b/>
        <sz val="9"/>
        <color theme="1"/>
        <rFont val="Arial"/>
      </rPr>
      <t>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NOx Emissions (lb/MMBtu) NOx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>) PM Emissions (lb/MMBtu) PM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</si>
  <si>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Hg Emissions (lb/MWh</t>
    </r>
    <r>
      <rPr>
        <b/>
        <sz val="7"/>
        <color theme="1"/>
        <rFont val="Arial"/>
      </rPr>
      <t>gross</t>
    </r>
    <r>
      <rPr>
        <b/>
        <sz val="9"/>
        <color theme="1"/>
        <rFont val="Arial"/>
      </rPr>
      <t xml:space="preserve">) </t>
    </r>
  </si>
  <si>
    <r>
      <t>Total Overnight Cost (2007$ x 1,000) Total As Spent Capital (2007$/kW) COE (mills/kWh, 2007$)</t>
    </r>
    <r>
      <rPr>
        <b/>
        <sz val="7"/>
        <color theme="1"/>
        <rFont val="Arial"/>
      </rPr>
      <t xml:space="preserve">1,2 </t>
    </r>
  </si>
  <si>
    <r>
      <t>LCOE (mills/kWh, 2007$)</t>
    </r>
    <r>
      <rPr>
        <b/>
        <sz val="7"/>
        <color theme="1"/>
        <rFont val="Arial"/>
      </rPr>
      <t xml:space="preserve">1,2 </t>
    </r>
  </si>
  <si>
    <t>PC</t>
  </si>
  <si>
    <t>Exhibit 4-58 pg 436</t>
  </si>
  <si>
    <t xml:space="preserve">NGCC </t>
  </si>
  <si>
    <t xml:space="preserve">Advanced F Class </t>
  </si>
  <si>
    <t xml:space="preserve">Case 13 </t>
  </si>
  <si>
    <t xml:space="preserve">Case 14 </t>
  </si>
  <si>
    <t xml:space="preserve">Negligible </t>
  </si>
  <si>
    <t>NGCC</t>
  </si>
  <si>
    <t>Exhibit 5-27 pg. 499</t>
  </si>
  <si>
    <t>Normalized for coal flowrate =500000 lb/hr</t>
  </si>
  <si>
    <t>Normalized coal flow rate</t>
  </si>
  <si>
    <t>Factor</t>
  </si>
  <si>
    <t>Net power difference</t>
  </si>
  <si>
    <t>Exhibit 3-101</t>
  </si>
  <si>
    <t>Exhibit 4-58</t>
  </si>
  <si>
    <t>Exhibit 5-27</t>
  </si>
  <si>
    <t>Pulverized Coal</t>
  </si>
  <si>
    <t>Natural Gas Combined Cycle</t>
  </si>
  <si>
    <t>2 (CCS)</t>
  </si>
  <si>
    <t>4 (CCS)</t>
  </si>
  <si>
    <t>6 (CCS)</t>
  </si>
  <si>
    <t>10 (CCS)</t>
  </si>
  <si>
    <t>12 (CCS)</t>
  </si>
  <si>
    <t>14 (CCS)</t>
  </si>
  <si>
    <t>Case number</t>
  </si>
  <si>
    <t>Data source NETL</t>
  </si>
  <si>
    <t>Fuel Flowrate (lb/hr)</t>
  </si>
  <si>
    <t>Coal Integrated Gasification Combined Cycle</t>
  </si>
  <si>
    <t>Total Plant Overnight Cost (2007$/kW)</t>
  </si>
  <si>
    <t>fcap (only plant)</t>
  </si>
  <si>
    <t>fop (only plant losses)</t>
  </si>
  <si>
    <t>Capacity factor</t>
  </si>
  <si>
    <t>Lifetime</t>
  </si>
  <si>
    <t>Plant Construction Costs ($million)</t>
  </si>
  <si>
    <t>Economic energy intensity</t>
  </si>
  <si>
    <t>GWh/$million</t>
  </si>
  <si>
    <t>Operations and Maintenance</t>
  </si>
  <si>
    <t>years</t>
  </si>
  <si>
    <t>Eout (GWh)</t>
  </si>
  <si>
    <t>EROIel</t>
  </si>
  <si>
    <t>EROIfuel</t>
  </si>
  <si>
    <t>EROI CCS complete</t>
  </si>
  <si>
    <t>Eaux</t>
  </si>
  <si>
    <t>Eom</t>
  </si>
  <si>
    <t>Efp</t>
  </si>
  <si>
    <t>PPI</t>
  </si>
  <si>
    <t>Share</t>
  </si>
  <si>
    <t>TJ/million</t>
  </si>
  <si>
    <t>Eccs (GWh)</t>
  </si>
  <si>
    <t>Ecap (GWh)</t>
  </si>
  <si>
    <t>Eop = Eaux+Eo&amp;m+Efp (GWh)</t>
  </si>
  <si>
    <t>Ered (GWh</t>
  </si>
  <si>
    <t>Auxiliary rates</t>
  </si>
  <si>
    <t>Ecap rates</t>
  </si>
  <si>
    <t>Eop  rates</t>
  </si>
  <si>
    <t>EO&amp;M</t>
  </si>
  <si>
    <t>Gross power difference</t>
  </si>
  <si>
    <t>Aux power difference</t>
  </si>
  <si>
    <t>Net Power Difference</t>
  </si>
  <si>
    <t>Aux Power Difference</t>
  </si>
  <si>
    <t>Fuel Input (kWth)</t>
  </si>
  <si>
    <t>Gross Efficiency</t>
  </si>
  <si>
    <t>EROI Net</t>
  </si>
  <si>
    <t>TJ/$million 2007</t>
  </si>
  <si>
    <t>Eout net  (GWh)</t>
  </si>
  <si>
    <t>R</t>
  </si>
  <si>
    <t>R and EROI CCS</t>
  </si>
  <si>
    <t>Coal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</si>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</sst>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MT"/>
    </font>
    <font>
      <b/>
      <sz val="9"/>
      <color theme="1"/>
      <name val="Arial"/>
    </font>
    <font>
      <b/>
      <sz val="6"/>
      <color theme="1"/>
      <name val="Arial"/>
    </font>
    <font>
      <b/>
      <i/>
      <sz val="8"/>
      <color theme="1"/>
      <name val="Arial"/>
    </font>
    <font>
      <i/>
      <sz val="9"/>
      <color theme="1"/>
      <name val="Arial"/>
    </font>
    <font>
      <b/>
      <sz val="7"/>
      <color theme="1"/>
      <name val="Arial"/>
    </font>
    <font>
      <b/>
      <i/>
      <sz val="12"/>
      <color theme="1"/>
      <name val="Calibri"/>
      <scheme val="minor"/>
    </font>
    <font>
      <sz val="10"/>
      <color theme="1"/>
      <name val="Calibri"/>
      <scheme val="minor"/>
    </font>
    <font>
      <b/>
      <i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CED6E2"/>
      </bottom>
      <diagonal/>
    </border>
    <border>
      <left style="thin">
        <color rgb="FF000000"/>
      </left>
      <right style="medium">
        <color rgb="FF000000"/>
      </right>
      <top/>
      <bottom style="thin">
        <color rgb="FFCED6E2"/>
      </bottom>
      <diagonal/>
    </border>
    <border>
      <left style="medium">
        <color rgb="FF000000"/>
      </left>
      <right style="thin">
        <color rgb="FF000000"/>
      </right>
      <top style="thin">
        <color rgb="FFCED6E2"/>
      </top>
      <bottom/>
      <diagonal/>
    </border>
    <border>
      <left style="thin">
        <color rgb="FF000000"/>
      </left>
      <right style="medium">
        <color rgb="FF000000"/>
      </right>
      <top style="thin">
        <color rgb="FFCED6E2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CED3E2"/>
      </bottom>
      <diagonal/>
    </border>
    <border>
      <left style="medium">
        <color rgb="FF000000"/>
      </left>
      <right style="thin">
        <color rgb="FF000000"/>
      </right>
      <top/>
      <bottom style="thin">
        <color rgb="FFCED3E2"/>
      </bottom>
      <diagonal/>
    </border>
    <border>
      <left style="thin">
        <color rgb="FF000000"/>
      </left>
      <right style="medium">
        <color rgb="FF000000"/>
      </right>
      <top style="thin">
        <color rgb="FFCED3E2"/>
      </top>
      <bottom/>
      <diagonal/>
    </border>
    <border>
      <left style="medium">
        <color rgb="FF000000"/>
      </left>
      <right style="thin">
        <color rgb="FF000000"/>
      </right>
      <top style="thin">
        <color rgb="FFCED3E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9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9" fontId="0" fillId="0" borderId="0" xfId="0" applyNumberFormat="1"/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165" fontId="0" fillId="0" borderId="0" xfId="1" applyNumberFormat="1" applyFont="1"/>
    <xf numFmtId="166" fontId="0" fillId="0" borderId="0" xfId="0" applyNumberFormat="1"/>
    <xf numFmtId="166" fontId="0" fillId="0" borderId="29" xfId="24" applyNumberFormat="1" applyFont="1" applyBorder="1"/>
    <xf numFmtId="165" fontId="0" fillId="0" borderId="29" xfId="1" applyNumberFormat="1" applyFont="1" applyBorder="1"/>
    <xf numFmtId="0" fontId="0" fillId="0" borderId="29" xfId="0" applyBorder="1"/>
    <xf numFmtId="0" fontId="0" fillId="0" borderId="30" xfId="0" applyBorder="1"/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166" fontId="0" fillId="4" borderId="30" xfId="24" applyNumberFormat="1" applyFont="1" applyFill="1" applyBorder="1"/>
    <xf numFmtId="165" fontId="0" fillId="4" borderId="30" xfId="1" applyNumberFormat="1" applyFont="1" applyFill="1" applyBorder="1"/>
    <xf numFmtId="0" fontId="12" fillId="0" borderId="31" xfId="0" applyFont="1" applyBorder="1"/>
    <xf numFmtId="165" fontId="12" fillId="4" borderId="32" xfId="1" applyNumberFormat="1" applyFont="1" applyFill="1" applyBorder="1"/>
    <xf numFmtId="0" fontId="3" fillId="0" borderId="27" xfId="0" applyFont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12" fillId="0" borderId="38" xfId="0" applyFont="1" applyBorder="1" applyAlignment="1">
      <alignment horizontal="right"/>
    </xf>
    <xf numFmtId="0" fontId="3" fillId="0" borderId="37" xfId="0" applyFont="1" applyBorder="1" applyAlignment="1">
      <alignment horizontal="right"/>
    </xf>
    <xf numFmtId="0" fontId="13" fillId="0" borderId="38" xfId="0" applyFont="1" applyBorder="1" applyAlignment="1">
      <alignment horizontal="right"/>
    </xf>
    <xf numFmtId="165" fontId="0" fillId="0" borderId="0" xfId="0" applyNumberFormat="1"/>
    <xf numFmtId="0" fontId="14" fillId="0" borderId="26" xfId="0" applyFont="1" applyBorder="1" applyAlignment="1">
      <alignment horizontal="right"/>
    </xf>
    <xf numFmtId="0" fontId="14" fillId="0" borderId="42" xfId="0" applyFont="1" applyBorder="1"/>
    <xf numFmtId="165" fontId="14" fillId="5" borderId="40" xfId="0" applyNumberFormat="1" applyFont="1" applyFill="1" applyBorder="1"/>
    <xf numFmtId="166" fontId="0" fillId="0" borderId="31" xfId="24" applyNumberFormat="1" applyFont="1" applyBorder="1"/>
    <xf numFmtId="166" fontId="0" fillId="4" borderId="32" xfId="24" applyNumberFormat="1" applyFont="1" applyFill="1" applyBorder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3" fontId="6" fillId="0" borderId="43" xfId="0" applyNumberFormat="1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165" fontId="12" fillId="4" borderId="0" xfId="1" applyNumberFormat="1" applyFont="1" applyFill="1" applyBorder="1"/>
    <xf numFmtId="166" fontId="12" fillId="0" borderId="0" xfId="0" applyNumberFormat="1" applyFont="1" applyBorder="1"/>
    <xf numFmtId="166" fontId="12" fillId="0" borderId="0" xfId="24" applyNumberFormat="1" applyFont="1" applyBorder="1"/>
    <xf numFmtId="166" fontId="12" fillId="4" borderId="0" xfId="24" applyNumberFormat="1" applyFont="1" applyFill="1" applyBorder="1"/>
    <xf numFmtId="165" fontId="12" fillId="0" borderId="0" xfId="1" applyNumberFormat="1" applyFont="1" applyBorder="1"/>
    <xf numFmtId="0" fontId="7" fillId="0" borderId="43" xfId="0" applyFont="1" applyBorder="1" applyAlignment="1">
      <alignment vertical="center" wrapText="1"/>
    </xf>
    <xf numFmtId="166" fontId="0" fillId="0" borderId="29" xfId="24" applyNumberFormat="1" applyFont="1" applyBorder="1" applyAlignment="1">
      <alignment horizontal="center"/>
    </xf>
    <xf numFmtId="166" fontId="0" fillId="0" borderId="30" xfId="24" applyNumberFormat="1" applyFont="1" applyBorder="1" applyAlignment="1">
      <alignment horizontal="center"/>
    </xf>
    <xf numFmtId="165" fontId="0" fillId="0" borderId="29" xfId="1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/>
    </xf>
    <xf numFmtId="164" fontId="0" fillId="4" borderId="30" xfId="24" applyNumberFormat="1" applyFont="1" applyFill="1" applyBorder="1"/>
    <xf numFmtId="166" fontId="0" fillId="0" borderId="0" xfId="24" applyNumberFormat="1" applyFont="1" applyBorder="1"/>
    <xf numFmtId="164" fontId="0" fillId="0" borderId="0" xfId="24" applyNumberFormat="1" applyFont="1" applyBorder="1"/>
    <xf numFmtId="164" fontId="0" fillId="0" borderId="0" xfId="0" applyNumberFormat="1"/>
    <xf numFmtId="164" fontId="12" fillId="4" borderId="0" xfId="24" applyNumberFormat="1" applyFont="1" applyFill="1" applyBorder="1"/>
    <xf numFmtId="164" fontId="12" fillId="0" borderId="0" xfId="24" applyNumberFormat="1" applyFont="1" applyBorder="1"/>
    <xf numFmtId="0" fontId="0" fillId="6" borderId="37" xfId="0" applyFill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165" fontId="13" fillId="0" borderId="31" xfId="1" applyNumberFormat="1" applyFont="1" applyBorder="1" applyAlignment="1">
      <alignment horizontal="center"/>
    </xf>
    <xf numFmtId="165" fontId="13" fillId="0" borderId="35" xfId="1" applyNumberFormat="1" applyFont="1" applyBorder="1" applyAlignment="1">
      <alignment horizontal="center"/>
    </xf>
    <xf numFmtId="165" fontId="13" fillId="0" borderId="32" xfId="1" applyNumberFormat="1" applyFont="1" applyBorder="1" applyAlignment="1">
      <alignment horizontal="center"/>
    </xf>
    <xf numFmtId="0" fontId="10" fillId="0" borderId="25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3" fontId="6" fillId="0" borderId="25" xfId="0" applyNumberFormat="1" applyFont="1" applyBorder="1" applyAlignment="1">
      <alignment vertical="center" wrapText="1"/>
    </xf>
    <xf numFmtId="3" fontId="6" fillId="0" borderId="23" xfId="0" applyNumberFormat="1" applyFont="1" applyBorder="1" applyAlignment="1">
      <alignment vertical="center" wrapText="1"/>
    </xf>
    <xf numFmtId="3" fontId="6" fillId="0" borderId="24" xfId="0" applyNumberFormat="1" applyFont="1" applyBorder="1" applyAlignment="1">
      <alignment vertical="center" wrapText="1"/>
    </xf>
    <xf numFmtId="3" fontId="6" fillId="0" borderId="22" xfId="0" applyNumberFormat="1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3" fontId="6" fillId="0" borderId="3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0" fontId="6" fillId="0" borderId="8" xfId="0" applyNumberFormat="1" applyFont="1" applyBorder="1" applyAlignment="1">
      <alignment vertical="center" wrapText="1"/>
    </xf>
    <xf numFmtId="10" fontId="6" fillId="0" borderId="6" xfId="0" applyNumberFormat="1" applyFont="1" applyBorder="1" applyAlignment="1">
      <alignment vertical="center" wrapText="1"/>
    </xf>
    <xf numFmtId="10" fontId="6" fillId="0" borderId="9" xfId="0" applyNumberFormat="1" applyFont="1" applyBorder="1" applyAlignment="1">
      <alignment vertical="center" wrapText="1"/>
    </xf>
    <xf numFmtId="10" fontId="6" fillId="0" borderId="7" xfId="0" applyNumberFormat="1" applyFont="1" applyBorder="1" applyAlignment="1">
      <alignment vertical="center" wrapText="1"/>
    </xf>
    <xf numFmtId="3" fontId="6" fillId="0" borderId="8" xfId="0" applyNumberFormat="1" applyFont="1" applyBorder="1" applyAlignment="1">
      <alignment vertical="center" wrapText="1"/>
    </xf>
    <xf numFmtId="3" fontId="6" fillId="0" borderId="18" xfId="0" applyNumberFormat="1" applyFont="1" applyBorder="1" applyAlignment="1">
      <alignment vertical="center" wrapText="1"/>
    </xf>
    <xf numFmtId="3" fontId="6" fillId="0" borderId="9" xfId="0" applyNumberFormat="1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3" fontId="6" fillId="0" borderId="6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3" fontId="6" fillId="0" borderId="5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18" xfId="0" applyNumberFormat="1" applyFont="1" applyBorder="1" applyAlignment="1">
      <alignment vertical="center" wrapText="1"/>
    </xf>
    <xf numFmtId="9" fontId="6" fillId="0" borderId="3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11" fontId="6" fillId="0" borderId="8" xfId="0" applyNumberFormat="1" applyFont="1" applyBorder="1" applyAlignment="1">
      <alignment vertical="center" wrapText="1"/>
    </xf>
    <xf numFmtId="11" fontId="6" fillId="0" borderId="18" xfId="0" applyNumberFormat="1" applyFont="1" applyBorder="1" applyAlignment="1">
      <alignment vertical="center" wrapText="1"/>
    </xf>
    <xf numFmtId="11" fontId="6" fillId="0" borderId="9" xfId="0" applyNumberFormat="1" applyFont="1" applyBorder="1" applyAlignment="1">
      <alignment vertical="center" wrapText="1"/>
    </xf>
    <xf numFmtId="11" fontId="6" fillId="0" borderId="2" xfId="0" applyNumberFormat="1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</cellXfs>
  <cellStyles count="193">
    <cellStyle name="Comma" xfId="24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8"/>
  <sheetViews>
    <sheetView tabSelected="1" topLeftCell="I22" zoomScale="108" workbookViewId="0">
      <selection activeCell="L41" sqref="L41"/>
    </sheetView>
  </sheetViews>
  <sheetFormatPr defaultColWidth="11" defaultRowHeight="15.75"/>
  <cols>
    <col min="2" max="2" width="55.5" customWidth="1"/>
    <col min="11" max="11" width="36.875" customWidth="1"/>
    <col min="12" max="12" width="12.375" customWidth="1"/>
    <col min="13" max="13" width="11.25" customWidth="1"/>
    <col min="14" max="14" width="11.125" customWidth="1"/>
    <col min="15" max="15" width="11" customWidth="1"/>
    <col min="16" max="16" width="11.875" customWidth="1"/>
    <col min="17" max="17" width="10.375" customWidth="1"/>
    <col min="18" max="18" width="10.875" customWidth="1"/>
    <col min="19" max="20" width="10.125" customWidth="1"/>
    <col min="21" max="21" width="11.5" customWidth="1"/>
    <col min="22" max="23" width="11.125" customWidth="1"/>
  </cols>
  <sheetData>
    <row r="1" spans="1:23">
      <c r="A1" t="s">
        <v>0</v>
      </c>
      <c r="B1" t="s">
        <v>1</v>
      </c>
    </row>
    <row r="2" spans="1:23">
      <c r="K2" t="s">
        <v>58</v>
      </c>
      <c r="L2">
        <v>500000</v>
      </c>
      <c r="M2">
        <f>L2</f>
        <v>500000</v>
      </c>
      <c r="N2">
        <f t="shared" ref="N2:U2" si="0">M2</f>
        <v>500000</v>
      </c>
      <c r="O2">
        <f t="shared" si="0"/>
        <v>500000</v>
      </c>
      <c r="P2">
        <f t="shared" si="0"/>
        <v>500000</v>
      </c>
      <c r="Q2">
        <f t="shared" si="0"/>
        <v>500000</v>
      </c>
      <c r="R2">
        <f t="shared" si="0"/>
        <v>500000</v>
      </c>
      <c r="S2">
        <f t="shared" si="0"/>
        <v>500000</v>
      </c>
      <c r="T2">
        <f t="shared" si="0"/>
        <v>500000</v>
      </c>
      <c r="U2">
        <f t="shared" si="0"/>
        <v>500000</v>
      </c>
    </row>
    <row r="3" spans="1:23">
      <c r="K3" t="s">
        <v>59</v>
      </c>
      <c r="L3">
        <f t="shared" ref="L3:U3" si="1">L2/L13</f>
        <v>1.070890831246881</v>
      </c>
      <c r="M3">
        <f t="shared" si="1"/>
        <v>1.0266708554837571</v>
      </c>
      <c r="N3">
        <f t="shared" si="1"/>
        <v>1.0870557746576861</v>
      </c>
      <c r="O3">
        <f t="shared" si="1"/>
        <v>1.0326055529396214</v>
      </c>
      <c r="P3">
        <f t="shared" si="1"/>
        <v>1.1450923631500116</v>
      </c>
      <c r="Q3">
        <f t="shared" si="1"/>
        <v>1.074658688400564</v>
      </c>
      <c r="R3">
        <f t="shared" si="1"/>
        <v>1.1431759256295471</v>
      </c>
      <c r="S3">
        <f t="shared" si="1"/>
        <v>0.81301606194531983</v>
      </c>
      <c r="T3">
        <f t="shared" si="1"/>
        <v>1.220917739446387</v>
      </c>
      <c r="U3">
        <f t="shared" si="1"/>
        <v>0.88367325297797883</v>
      </c>
    </row>
    <row r="4" spans="1:23">
      <c r="H4" t="s">
        <v>94</v>
      </c>
      <c r="I4">
        <v>0.6</v>
      </c>
      <c r="J4">
        <v>0.4</v>
      </c>
      <c r="K4" t="s">
        <v>84</v>
      </c>
      <c r="L4" s="1">
        <v>0.04</v>
      </c>
    </row>
    <row r="5" spans="1:23">
      <c r="H5" t="s">
        <v>95</v>
      </c>
      <c r="I5">
        <v>6.23</v>
      </c>
      <c r="J5">
        <v>5.76</v>
      </c>
      <c r="K5" t="s">
        <v>82</v>
      </c>
      <c r="L5">
        <f>(I4*I5+J4*J5)*I7/J7</f>
        <v>5.4854999999999992</v>
      </c>
      <c r="M5" t="s">
        <v>111</v>
      </c>
      <c r="O5">
        <f>L5/3.6</f>
        <v>1.5237499999999997</v>
      </c>
      <c r="P5" t="s">
        <v>83</v>
      </c>
    </row>
    <row r="6" spans="1:23">
      <c r="H6" t="s">
        <v>93</v>
      </c>
      <c r="I6">
        <v>2002</v>
      </c>
      <c r="J6">
        <v>2007</v>
      </c>
      <c r="K6" t="s">
        <v>80</v>
      </c>
      <c r="L6">
        <v>30</v>
      </c>
      <c r="M6" t="s">
        <v>85</v>
      </c>
    </row>
    <row r="7" spans="1:23">
      <c r="I7">
        <v>138</v>
      </c>
      <c r="J7">
        <v>152</v>
      </c>
      <c r="K7" t="s">
        <v>79</v>
      </c>
      <c r="L7" s="1">
        <v>0.85</v>
      </c>
    </row>
    <row r="8" spans="1:23">
      <c r="K8" t="s">
        <v>88</v>
      </c>
      <c r="L8" t="s">
        <v>115</v>
      </c>
      <c r="M8">
        <v>58</v>
      </c>
      <c r="N8" t="s">
        <v>116</v>
      </c>
      <c r="O8">
        <v>58</v>
      </c>
    </row>
    <row r="9" spans="1:23">
      <c r="L9" t="s">
        <v>35</v>
      </c>
      <c r="R9" t="s">
        <v>49</v>
      </c>
      <c r="V9" t="s">
        <v>56</v>
      </c>
    </row>
    <row r="11" spans="1:23" ht="33" customHeight="1">
      <c r="K11" s="25"/>
      <c r="L11" s="63" t="s">
        <v>75</v>
      </c>
      <c r="M11" s="63"/>
      <c r="N11" s="63"/>
      <c r="O11" s="63"/>
      <c r="P11" s="63"/>
      <c r="Q11" s="63"/>
      <c r="R11" s="63" t="s">
        <v>64</v>
      </c>
      <c r="S11" s="63"/>
      <c r="T11" s="63"/>
      <c r="U11" s="63"/>
      <c r="V11" s="64" t="s">
        <v>65</v>
      </c>
      <c r="W11" s="65"/>
    </row>
    <row r="12" spans="1:23">
      <c r="A12" t="s">
        <v>2</v>
      </c>
      <c r="B12" t="s">
        <v>35</v>
      </c>
      <c r="K12" s="28" t="s">
        <v>72</v>
      </c>
      <c r="L12" s="23">
        <v>1</v>
      </c>
      <c r="M12" s="24" t="s">
        <v>66</v>
      </c>
      <c r="N12" s="23">
        <v>3</v>
      </c>
      <c r="O12" s="24" t="s">
        <v>67</v>
      </c>
      <c r="P12" s="23">
        <v>5</v>
      </c>
      <c r="Q12" s="24" t="s">
        <v>68</v>
      </c>
      <c r="R12" s="23">
        <v>9</v>
      </c>
      <c r="S12" s="24" t="s">
        <v>69</v>
      </c>
      <c r="T12" s="23">
        <v>11</v>
      </c>
      <c r="U12" s="24" t="s">
        <v>70</v>
      </c>
      <c r="V12" s="23">
        <v>13</v>
      </c>
      <c r="W12" s="24" t="s">
        <v>71</v>
      </c>
    </row>
    <row r="13" spans="1:23">
      <c r="K13" s="26" t="s">
        <v>74</v>
      </c>
      <c r="L13" s="13">
        <v>466901</v>
      </c>
      <c r="M13" s="19">
        <v>487011</v>
      </c>
      <c r="N13" s="13">
        <v>459958</v>
      </c>
      <c r="O13" s="19">
        <v>484212</v>
      </c>
      <c r="P13" s="13">
        <v>436646</v>
      </c>
      <c r="Q13" s="19">
        <v>465264</v>
      </c>
      <c r="R13" s="13">
        <v>437378</v>
      </c>
      <c r="S13" s="19">
        <v>614994</v>
      </c>
      <c r="T13" s="13">
        <v>409528</v>
      </c>
      <c r="U13" s="19">
        <v>565820</v>
      </c>
      <c r="V13" s="13">
        <v>167333</v>
      </c>
      <c r="W13" s="19">
        <v>167333</v>
      </c>
    </row>
    <row r="14" spans="1:23">
      <c r="B14" s="110"/>
      <c r="C14" s="113" t="s">
        <v>4</v>
      </c>
      <c r="D14" s="133"/>
      <c r="E14" s="133"/>
      <c r="F14" s="133"/>
      <c r="G14" s="133"/>
      <c r="H14" s="114"/>
      <c r="K14" s="26" t="s">
        <v>15</v>
      </c>
      <c r="L14" s="13">
        <v>747800</v>
      </c>
      <c r="M14" s="19">
        <v>734000</v>
      </c>
      <c r="N14" s="13">
        <v>738200</v>
      </c>
      <c r="O14" s="19">
        <v>703700</v>
      </c>
      <c r="P14" s="13">
        <v>737000</v>
      </c>
      <c r="Q14" s="19">
        <v>673400</v>
      </c>
      <c r="R14" s="13">
        <v>582600</v>
      </c>
      <c r="S14" s="19">
        <v>672700</v>
      </c>
      <c r="T14" s="13">
        <v>580400</v>
      </c>
      <c r="U14" s="19">
        <v>662800</v>
      </c>
      <c r="V14" s="13">
        <v>564700</v>
      </c>
      <c r="W14" s="19">
        <v>511000</v>
      </c>
    </row>
    <row r="15" spans="1:23" ht="16.5" thickBot="1">
      <c r="B15" s="111"/>
      <c r="C15" s="115"/>
      <c r="D15" s="134"/>
      <c r="E15" s="134"/>
      <c r="F15" s="134"/>
      <c r="G15" s="134"/>
      <c r="H15" s="116"/>
      <c r="K15" s="26" t="s">
        <v>33</v>
      </c>
      <c r="L15" s="13">
        <v>125750</v>
      </c>
      <c r="M15" s="19">
        <v>190750</v>
      </c>
      <c r="N15" s="13">
        <v>113140</v>
      </c>
      <c r="O15" s="19">
        <v>190090</v>
      </c>
      <c r="P15" s="13">
        <v>108020</v>
      </c>
      <c r="Q15" s="19">
        <v>176540</v>
      </c>
      <c r="R15" s="13">
        <v>32580</v>
      </c>
      <c r="S15" s="19">
        <v>122740</v>
      </c>
      <c r="T15" s="13">
        <v>30410</v>
      </c>
      <c r="U15" s="19">
        <v>112830</v>
      </c>
      <c r="V15" s="13">
        <v>9620</v>
      </c>
      <c r="W15" s="19">
        <v>37430</v>
      </c>
    </row>
    <row r="16" spans="1:23">
      <c r="B16" s="111"/>
      <c r="C16" s="117" t="s">
        <v>5</v>
      </c>
      <c r="D16" s="118"/>
      <c r="E16" s="117" t="s">
        <v>6</v>
      </c>
      <c r="F16" s="118"/>
      <c r="G16" s="117" t="s">
        <v>7</v>
      </c>
      <c r="H16" s="118"/>
      <c r="K16" s="26" t="s">
        <v>34</v>
      </c>
      <c r="L16" s="13">
        <v>622050</v>
      </c>
      <c r="M16" s="19">
        <v>543250</v>
      </c>
      <c r="N16" s="13">
        <v>625060</v>
      </c>
      <c r="O16" s="19">
        <v>513610</v>
      </c>
      <c r="P16" s="13">
        <v>628980</v>
      </c>
      <c r="Q16" s="19">
        <v>496860</v>
      </c>
      <c r="R16" s="13">
        <v>550020</v>
      </c>
      <c r="S16" s="19">
        <v>549960</v>
      </c>
      <c r="T16" s="13">
        <v>549990</v>
      </c>
      <c r="U16" s="19">
        <v>549970</v>
      </c>
      <c r="V16" s="13">
        <v>555080</v>
      </c>
      <c r="W16" s="19">
        <v>473570</v>
      </c>
    </row>
    <row r="17" spans="2:23" ht="16.5" thickBot="1">
      <c r="B17" s="112"/>
      <c r="C17" s="115"/>
      <c r="D17" s="116"/>
      <c r="E17" s="115"/>
      <c r="F17" s="116"/>
      <c r="G17" s="115"/>
      <c r="H17" s="116"/>
      <c r="K17" s="26" t="s">
        <v>20</v>
      </c>
      <c r="L17" s="14">
        <v>0.39</v>
      </c>
      <c r="M17" s="20">
        <v>0.32600000000000001</v>
      </c>
      <c r="N17" s="14">
        <v>0.39700000000000002</v>
      </c>
      <c r="O17" s="20">
        <v>0.31</v>
      </c>
      <c r="P17" s="14">
        <v>0.42099999999999999</v>
      </c>
      <c r="Q17" s="20">
        <v>0.312</v>
      </c>
      <c r="R17" s="14">
        <v>0.36799999999999999</v>
      </c>
      <c r="S17" s="20">
        <v>0.26200000000000001</v>
      </c>
      <c r="T17" s="14">
        <v>0.39300000000000002</v>
      </c>
      <c r="U17" s="20">
        <v>0.28399999999999997</v>
      </c>
      <c r="V17" s="14">
        <v>0.502</v>
      </c>
      <c r="W17" s="20">
        <v>0.42799999999999999</v>
      </c>
    </row>
    <row r="18" spans="2:23" ht="16.5" thickBot="1">
      <c r="B18" s="4"/>
      <c r="C18" s="17"/>
      <c r="D18" s="18"/>
      <c r="E18" s="17"/>
      <c r="F18" s="18"/>
      <c r="G18" s="17"/>
      <c r="H18" s="18"/>
      <c r="K18" s="26" t="s">
        <v>76</v>
      </c>
      <c r="L18" s="34">
        <v>1987</v>
      </c>
      <c r="M18" s="35">
        <v>2711</v>
      </c>
      <c r="N18" s="34">
        <v>1913</v>
      </c>
      <c r="O18" s="35">
        <v>2817</v>
      </c>
      <c r="P18" s="34">
        <v>2217</v>
      </c>
      <c r="Q18" s="35">
        <v>3181</v>
      </c>
      <c r="R18" s="34">
        <v>1622</v>
      </c>
      <c r="S18" s="35">
        <v>2942</v>
      </c>
      <c r="T18" s="34">
        <v>1647</v>
      </c>
      <c r="U18" s="35">
        <v>2913</v>
      </c>
      <c r="V18" s="34">
        <v>584</v>
      </c>
      <c r="W18" s="35">
        <v>1226</v>
      </c>
    </row>
    <row r="19" spans="2:23">
      <c r="B19" s="104" t="s">
        <v>8</v>
      </c>
      <c r="C19" s="119" t="s">
        <v>9</v>
      </c>
      <c r="D19" s="104" t="s">
        <v>3</v>
      </c>
      <c r="E19" s="119" t="s">
        <v>10</v>
      </c>
      <c r="F19" s="104" t="s">
        <v>11</v>
      </c>
      <c r="G19" s="119" t="s">
        <v>12</v>
      </c>
      <c r="H19" s="104" t="s">
        <v>13</v>
      </c>
      <c r="K19" s="29" t="s">
        <v>73</v>
      </c>
      <c r="L19" s="66" t="s">
        <v>61</v>
      </c>
      <c r="M19" s="67"/>
      <c r="N19" s="67"/>
      <c r="O19" s="67"/>
      <c r="P19" s="67"/>
      <c r="Q19" s="68"/>
      <c r="R19" s="66" t="s">
        <v>62</v>
      </c>
      <c r="S19" s="67"/>
      <c r="T19" s="67"/>
      <c r="U19" s="68"/>
      <c r="V19" s="66" t="s">
        <v>63</v>
      </c>
      <c r="W19" s="68"/>
    </row>
    <row r="20" spans="2:23" ht="16.5" thickBot="1">
      <c r="B20" s="106"/>
      <c r="C20" s="120"/>
      <c r="D20" s="106"/>
      <c r="E20" s="120"/>
      <c r="F20" s="106"/>
      <c r="G20" s="120"/>
      <c r="H20" s="106"/>
      <c r="K20" s="25"/>
      <c r="L20" s="60" t="s">
        <v>57</v>
      </c>
      <c r="M20" s="61"/>
      <c r="N20" s="61"/>
      <c r="O20" s="61"/>
      <c r="P20" s="61"/>
      <c r="Q20" s="62"/>
      <c r="R20" s="60" t="s">
        <v>57</v>
      </c>
      <c r="S20" s="61"/>
      <c r="T20" s="61"/>
      <c r="U20" s="62"/>
      <c r="V20" s="15"/>
      <c r="W20" s="16"/>
    </row>
    <row r="21" spans="2:23">
      <c r="B21" s="37"/>
      <c r="C21" s="48"/>
      <c r="D21" s="37"/>
      <c r="E21" s="48"/>
      <c r="F21" s="37"/>
      <c r="G21" s="48"/>
      <c r="H21" s="37"/>
      <c r="K21" s="15" t="s">
        <v>108</v>
      </c>
      <c r="L21" s="49">
        <f>L26/L17</f>
        <v>1708070.8758387752</v>
      </c>
      <c r="M21" s="50">
        <f t="shared" ref="M21:W21" si="2">M26/M17</f>
        <v>1710855.6510477029</v>
      </c>
      <c r="N21" s="49">
        <f t="shared" si="2"/>
        <v>1711524.1372985723</v>
      </c>
      <c r="O21" s="50">
        <f t="shared" si="2"/>
        <v>1710827.5420816739</v>
      </c>
      <c r="P21" s="49">
        <f t="shared" si="2"/>
        <v>1710784.3101522429</v>
      </c>
      <c r="Q21" s="50">
        <f t="shared" si="2"/>
        <v>1711393.9612778982</v>
      </c>
      <c r="R21" s="49">
        <f t="shared" si="2"/>
        <v>1708613.1049314225</v>
      </c>
      <c r="S21" s="50">
        <f t="shared" si="2"/>
        <v>1706588.9825475118</v>
      </c>
      <c r="T21" s="49">
        <f t="shared" si="2"/>
        <v>1708632.4364328713</v>
      </c>
      <c r="U21" s="50">
        <f t="shared" si="2"/>
        <v>1711245.7004940107</v>
      </c>
      <c r="V21" s="49">
        <f t="shared" si="2"/>
        <v>1105737.0517928286</v>
      </c>
      <c r="W21" s="50">
        <f t="shared" si="2"/>
        <v>1106471.9626168224</v>
      </c>
    </row>
    <row r="22" spans="2:23">
      <c r="B22" s="37"/>
      <c r="C22" s="48"/>
      <c r="D22" s="37"/>
      <c r="E22" s="48"/>
      <c r="F22" s="37"/>
      <c r="G22" s="48"/>
      <c r="H22" s="37"/>
      <c r="K22" s="15" t="s">
        <v>109</v>
      </c>
      <c r="L22" s="51">
        <f t="shared" ref="L22:W22" si="3">L24/L21</f>
        <v>0.46884012539184955</v>
      </c>
      <c r="M22" s="52">
        <f t="shared" si="3"/>
        <v>0.44046755637367685</v>
      </c>
      <c r="N22" s="51">
        <f t="shared" si="3"/>
        <v>0.46885962947557036</v>
      </c>
      <c r="O22" s="52">
        <f t="shared" si="3"/>
        <v>0.4247327738945893</v>
      </c>
      <c r="P22" s="51">
        <f t="shared" si="3"/>
        <v>0.49330185379503327</v>
      </c>
      <c r="Q22" s="52">
        <f t="shared" si="3"/>
        <v>0.42285714285714282</v>
      </c>
      <c r="R22" s="51">
        <f t="shared" si="3"/>
        <v>0.38979818915675796</v>
      </c>
      <c r="S22" s="52">
        <f t="shared" si="3"/>
        <v>0.32047312531820493</v>
      </c>
      <c r="T22" s="51">
        <f t="shared" si="3"/>
        <v>0.41472972235858829</v>
      </c>
      <c r="U22" s="52">
        <f t="shared" si="3"/>
        <v>0.34226448715384478</v>
      </c>
      <c r="V22" s="51">
        <f t="shared" si="3"/>
        <v>0.51070007926785332</v>
      </c>
      <c r="W22" s="52">
        <f t="shared" si="3"/>
        <v>0.4618282408091729</v>
      </c>
    </row>
    <row r="23" spans="2:23" ht="16.5" thickBot="1">
      <c r="B23" s="37"/>
      <c r="C23" s="48"/>
      <c r="D23" s="37"/>
      <c r="E23" s="48"/>
      <c r="F23" s="37"/>
      <c r="G23" s="48"/>
      <c r="H23" s="37"/>
      <c r="K23" s="15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</row>
    <row r="24" spans="2:23">
      <c r="B24" s="104" t="s">
        <v>14</v>
      </c>
      <c r="C24" s="121">
        <v>0</v>
      </c>
      <c r="D24" s="123">
        <v>0.9</v>
      </c>
      <c r="E24" s="121">
        <v>0</v>
      </c>
      <c r="F24" s="123">
        <v>0.9</v>
      </c>
      <c r="G24" s="121">
        <v>0</v>
      </c>
      <c r="H24" s="123">
        <v>0.9</v>
      </c>
      <c r="K24" s="26" t="s">
        <v>15</v>
      </c>
      <c r="L24" s="13">
        <f t="shared" ref="L24:U24" si="4">L14*L$3</f>
        <v>800812.1636064176</v>
      </c>
      <c r="M24" s="19">
        <f>M14*M$3</f>
        <v>753576.40792507771</v>
      </c>
      <c r="N24" s="13">
        <f t="shared" si="4"/>
        <v>802464.57285230386</v>
      </c>
      <c r="O24" s="19">
        <f t="shared" si="4"/>
        <v>726644.52760361158</v>
      </c>
      <c r="P24" s="13">
        <f t="shared" si="4"/>
        <v>843933.07164155855</v>
      </c>
      <c r="Q24" s="19">
        <f t="shared" si="4"/>
        <v>723675.16076893976</v>
      </c>
      <c r="R24" s="13">
        <f t="shared" si="4"/>
        <v>666014.29427177412</v>
      </c>
      <c r="S24" s="19">
        <f t="shared" si="4"/>
        <v>546915.90487061662</v>
      </c>
      <c r="T24" s="13">
        <f t="shared" si="4"/>
        <v>708620.655974683</v>
      </c>
      <c r="U24" s="19">
        <f t="shared" si="4"/>
        <v>585698.63207380439</v>
      </c>
      <c r="V24" s="13">
        <f t="shared" ref="V24:W26" si="5">V14</f>
        <v>564700</v>
      </c>
      <c r="W24" s="19">
        <f t="shared" si="5"/>
        <v>511000</v>
      </c>
    </row>
    <row r="25" spans="2:23" ht="16.5" thickBot="1">
      <c r="B25" s="106"/>
      <c r="C25" s="122"/>
      <c r="D25" s="124"/>
      <c r="E25" s="122"/>
      <c r="F25" s="124"/>
      <c r="G25" s="122"/>
      <c r="H25" s="124"/>
      <c r="K25" s="26" t="s">
        <v>33</v>
      </c>
      <c r="L25" s="13">
        <f t="shared" ref="L25:U25" si="6">L15*L$3</f>
        <v>134664.52202929527</v>
      </c>
      <c r="M25" s="19">
        <f>M15*M$3</f>
        <v>195837.46568352668</v>
      </c>
      <c r="N25" s="13">
        <f t="shared" si="6"/>
        <v>122989.4903447706</v>
      </c>
      <c r="O25" s="19">
        <f t="shared" si="6"/>
        <v>196287.98955829264</v>
      </c>
      <c r="P25" s="13">
        <f t="shared" si="6"/>
        <v>123692.87706746426</v>
      </c>
      <c r="Q25" s="19">
        <f t="shared" si="6"/>
        <v>189720.24485023555</v>
      </c>
      <c r="R25" s="13">
        <f t="shared" si="6"/>
        <v>37244.671657010644</v>
      </c>
      <c r="S25" s="19">
        <f t="shared" si="6"/>
        <v>99789.591443168552</v>
      </c>
      <c r="T25" s="13">
        <f t="shared" si="6"/>
        <v>37128.108456564631</v>
      </c>
      <c r="U25" s="19">
        <f t="shared" si="6"/>
        <v>99704.853133505356</v>
      </c>
      <c r="V25" s="13">
        <f t="shared" si="5"/>
        <v>9620</v>
      </c>
      <c r="W25" s="19">
        <f t="shared" si="5"/>
        <v>37430</v>
      </c>
    </row>
    <row r="26" spans="2:23">
      <c r="B26" s="6" t="s">
        <v>15</v>
      </c>
      <c r="C26" s="109">
        <v>747800</v>
      </c>
      <c r="D26" s="90">
        <v>734000</v>
      </c>
      <c r="E26" s="109">
        <v>738200</v>
      </c>
      <c r="F26" s="90">
        <v>703700</v>
      </c>
      <c r="G26" s="109">
        <v>737000</v>
      </c>
      <c r="H26" s="90">
        <v>673400</v>
      </c>
      <c r="K26" s="26" t="s">
        <v>34</v>
      </c>
      <c r="L26" s="13">
        <f t="shared" ref="L26:U26" si="7">L16*L$3</f>
        <v>666147.64157712238</v>
      </c>
      <c r="M26" s="19">
        <f t="shared" si="7"/>
        <v>557738.94224155112</v>
      </c>
      <c r="N26" s="13">
        <f t="shared" si="7"/>
        <v>679475.08250753325</v>
      </c>
      <c r="O26" s="19">
        <f t="shared" si="7"/>
        <v>530356.53804531891</v>
      </c>
      <c r="P26" s="13">
        <f t="shared" si="7"/>
        <v>720240.19457409426</v>
      </c>
      <c r="Q26" s="19">
        <f t="shared" si="7"/>
        <v>533954.91591870424</v>
      </c>
      <c r="R26" s="13">
        <f t="shared" si="7"/>
        <v>628769.62261476344</v>
      </c>
      <c r="S26" s="19">
        <f t="shared" si="7"/>
        <v>447126.3134274481</v>
      </c>
      <c r="T26" s="13">
        <f t="shared" si="7"/>
        <v>671492.5475181184</v>
      </c>
      <c r="U26" s="19">
        <f t="shared" si="7"/>
        <v>485993.778940299</v>
      </c>
      <c r="V26" s="13">
        <f t="shared" si="5"/>
        <v>555080</v>
      </c>
      <c r="W26" s="19">
        <f t="shared" si="5"/>
        <v>473570</v>
      </c>
    </row>
    <row r="27" spans="2:23">
      <c r="B27" s="7" t="s">
        <v>33</v>
      </c>
      <c r="C27" s="107"/>
      <c r="D27" s="108"/>
      <c r="E27" s="107"/>
      <c r="F27" s="108"/>
      <c r="G27" s="107"/>
      <c r="H27" s="108"/>
      <c r="K27" s="26" t="s">
        <v>104</v>
      </c>
      <c r="L27" s="13"/>
      <c r="M27" s="19">
        <f>L24-M24</f>
        <v>47235.755681339884</v>
      </c>
      <c r="N27" s="13"/>
      <c r="O27" s="19">
        <f>N24-O24</f>
        <v>75820.045248692273</v>
      </c>
      <c r="P27" s="13"/>
      <c r="Q27" s="19">
        <f>P24-Q24</f>
        <v>120257.91087261878</v>
      </c>
      <c r="R27" s="13"/>
      <c r="S27" s="19">
        <f>R24-S24</f>
        <v>119098.3894011575</v>
      </c>
      <c r="T27" s="13"/>
      <c r="U27" s="19">
        <f>T24-U24</f>
        <v>122922.02390087862</v>
      </c>
      <c r="V27" s="13"/>
      <c r="W27" s="19">
        <f>V24-W24</f>
        <v>53700</v>
      </c>
    </row>
    <row r="28" spans="2:23">
      <c r="B28" s="38"/>
      <c r="C28" s="39"/>
      <c r="D28" s="40"/>
      <c r="E28" s="39"/>
      <c r="F28" s="40"/>
      <c r="G28" s="39"/>
      <c r="H28" s="40"/>
      <c r="K28" s="26" t="s">
        <v>107</v>
      </c>
      <c r="L28" s="54"/>
      <c r="M28" s="19">
        <f>M25-L25</f>
        <v>61172.943654231407</v>
      </c>
      <c r="N28" s="54"/>
      <c r="O28" s="19">
        <f>O25-N25</f>
        <v>73298.499213522038</v>
      </c>
      <c r="P28" s="54"/>
      <c r="Q28" s="19">
        <f>Q25-P25</f>
        <v>66027.367782771296</v>
      </c>
      <c r="R28" s="54"/>
      <c r="S28" s="19">
        <f>S25-R25</f>
        <v>62544.919786157909</v>
      </c>
      <c r="T28" s="54"/>
      <c r="U28" s="19">
        <f>U25-T25</f>
        <v>62576.744676940725</v>
      </c>
      <c r="V28" s="54"/>
      <c r="W28" s="19">
        <f>W25-V25</f>
        <v>27810</v>
      </c>
    </row>
    <row r="29" spans="2:23">
      <c r="B29" s="38"/>
      <c r="C29" s="39"/>
      <c r="D29" s="40"/>
      <c r="E29" s="39"/>
      <c r="F29" s="40"/>
      <c r="G29" s="39"/>
      <c r="H29" s="40"/>
      <c r="K29" s="26" t="s">
        <v>106</v>
      </c>
      <c r="L29" s="54"/>
      <c r="M29" s="19">
        <f>L26-M26</f>
        <v>108408.69933557126</v>
      </c>
      <c r="N29" s="54"/>
      <c r="O29" s="19">
        <f>N26-O26</f>
        <v>149118.54446221434</v>
      </c>
      <c r="P29" s="54"/>
      <c r="Q29" s="19">
        <f>P26-Q26</f>
        <v>186285.27865539002</v>
      </c>
      <c r="R29" s="54"/>
      <c r="S29" s="19">
        <f>R26-S26</f>
        <v>181643.30918731535</v>
      </c>
      <c r="T29" s="54"/>
      <c r="U29" s="19">
        <f>T26-U26</f>
        <v>185498.7685778194</v>
      </c>
      <c r="V29" s="54"/>
      <c r="W29" s="19">
        <f>V26-W26</f>
        <v>81510</v>
      </c>
    </row>
    <row r="30" spans="2:23">
      <c r="B30" s="38"/>
      <c r="C30" s="39"/>
      <c r="D30" s="40"/>
      <c r="E30" s="39"/>
      <c r="F30" s="40"/>
      <c r="G30" s="39"/>
      <c r="H30" s="40"/>
      <c r="K30" s="26" t="s">
        <v>81</v>
      </c>
      <c r="L30" s="54">
        <f>L18*L24/1000000</f>
        <v>1591.2137690859518</v>
      </c>
      <c r="M30" s="19">
        <f t="shared" ref="M30:W30" si="8">M18*M24/1000000</f>
        <v>2042.9456418848858</v>
      </c>
      <c r="N30" s="54">
        <f t="shared" si="8"/>
        <v>1535.1147278664573</v>
      </c>
      <c r="O30" s="19">
        <f t="shared" si="8"/>
        <v>2046.9576342593739</v>
      </c>
      <c r="P30" s="54">
        <f t="shared" si="8"/>
        <v>1870.9996198293352</v>
      </c>
      <c r="Q30" s="19">
        <f t="shared" si="8"/>
        <v>2302.0106864059971</v>
      </c>
      <c r="R30" s="54">
        <f t="shared" si="8"/>
        <v>1080.2751853088175</v>
      </c>
      <c r="S30" s="19">
        <f t="shared" si="8"/>
        <v>1609.026592129354</v>
      </c>
      <c r="T30" s="54">
        <f t="shared" si="8"/>
        <v>1167.0982203903029</v>
      </c>
      <c r="U30" s="19">
        <f t="shared" si="8"/>
        <v>1706.140115230992</v>
      </c>
      <c r="V30" s="54">
        <f t="shared" si="8"/>
        <v>329.78480000000002</v>
      </c>
      <c r="W30" s="19">
        <f t="shared" si="8"/>
        <v>626.48599999999999</v>
      </c>
    </row>
    <row r="31" spans="2:23">
      <c r="B31" s="38"/>
      <c r="C31" s="39"/>
      <c r="D31" s="40"/>
      <c r="E31" s="39"/>
      <c r="F31" s="40"/>
      <c r="G31" s="39"/>
      <c r="H31" s="40"/>
      <c r="K31" s="26" t="s">
        <v>112</v>
      </c>
      <c r="L31" s="55">
        <f>L26*8760*$L$6*$L$7/1000000</f>
        <v>148804.06017549758</v>
      </c>
      <c r="M31" s="19">
        <f t="shared" ref="M31:W31" si="9">M26*8760*$L$6*$L$7/1000000</f>
        <v>124587.72491791769</v>
      </c>
      <c r="N31" s="54">
        <f t="shared" si="9"/>
        <v>151781.14393053277</v>
      </c>
      <c r="O31" s="19">
        <f t="shared" si="9"/>
        <v>118471.04346856334</v>
      </c>
      <c r="P31" s="54">
        <f t="shared" si="9"/>
        <v>160887.25466396115</v>
      </c>
      <c r="Q31" s="19">
        <f t="shared" si="9"/>
        <v>119274.84911792017</v>
      </c>
      <c r="R31" s="54">
        <f t="shared" si="9"/>
        <v>140454.55829968586</v>
      </c>
      <c r="S31" s="19">
        <f t="shared" si="9"/>
        <v>99879.07589342336</v>
      </c>
      <c r="T31" s="54">
        <f t="shared" si="9"/>
        <v>149998.00526459728</v>
      </c>
      <c r="U31" s="19">
        <f t="shared" si="9"/>
        <v>108561.290339684</v>
      </c>
      <c r="V31" s="55">
        <f t="shared" si="9"/>
        <v>123993.77039999999</v>
      </c>
      <c r="W31" s="19">
        <f t="shared" si="9"/>
        <v>105786.06660000001</v>
      </c>
    </row>
    <row r="32" spans="2:23">
      <c r="B32" s="38"/>
      <c r="C32" s="39"/>
      <c r="D32" s="40"/>
      <c r="E32" s="39"/>
      <c r="F32" s="40"/>
      <c r="G32" s="39"/>
      <c r="H32" s="40"/>
      <c r="K32" s="26" t="s">
        <v>86</v>
      </c>
      <c r="L32" s="55">
        <f>L24*8760*$L$6*$L$7/1000000</f>
        <v>178885.42110640154</v>
      </c>
      <c r="M32" s="19">
        <f>M24*8760*$L$6*$L$7/1000000</f>
        <v>168333.89800230387</v>
      </c>
      <c r="N32" s="54">
        <f t="shared" ref="N32:W32" si="10">N24*8760*$L$6*$L$7/1000000</f>
        <v>179254.53628374761</v>
      </c>
      <c r="O32" s="19">
        <f t="shared" si="10"/>
        <v>162317.85457609475</v>
      </c>
      <c r="P32" s="54">
        <f t="shared" si="10"/>
        <v>188517.76954329136</v>
      </c>
      <c r="Q32" s="19">
        <f t="shared" si="10"/>
        <v>161654.55741256577</v>
      </c>
      <c r="R32" s="54">
        <f t="shared" si="10"/>
        <v>148774.27305442892</v>
      </c>
      <c r="S32" s="19">
        <f t="shared" si="10"/>
        <v>122170.07482999834</v>
      </c>
      <c r="T32" s="54">
        <f t="shared" si="10"/>
        <v>158291.68213162469</v>
      </c>
      <c r="U32" s="19">
        <f t="shared" si="10"/>
        <v>130833.36043264643</v>
      </c>
      <c r="V32" s="54">
        <f t="shared" si="10"/>
        <v>126142.686</v>
      </c>
      <c r="W32" s="19">
        <f t="shared" si="10"/>
        <v>114147.18</v>
      </c>
    </row>
    <row r="33" spans="2:23">
      <c r="B33" s="38"/>
      <c r="C33" s="39"/>
      <c r="D33" s="40"/>
      <c r="E33" s="39"/>
      <c r="F33" s="40"/>
      <c r="G33" s="39"/>
      <c r="H33" s="40"/>
      <c r="K33" s="26" t="s">
        <v>96</v>
      </c>
      <c r="L33" s="54"/>
      <c r="M33" s="19">
        <f>(M30-L30)*$O$5</f>
        <v>688.32644117737573</v>
      </c>
      <c r="N33" s="54"/>
      <c r="O33" s="19">
        <f>(O30-N30)*$O$5</f>
        <v>779.9206286162065</v>
      </c>
      <c r="P33" s="54"/>
      <c r="Q33" s="19">
        <f>(Q30-P30)*$O$5</f>
        <v>656.75311269618851</v>
      </c>
      <c r="R33" s="54"/>
      <c r="S33" s="19">
        <f>(S30-R30)*$O$5</f>
        <v>805.6849561427922</v>
      </c>
      <c r="T33" s="54"/>
      <c r="U33" s="19">
        <f>(U30-T30)*$O$5</f>
        <v>821.36508726349984</v>
      </c>
      <c r="V33" s="54"/>
      <c r="W33" s="19">
        <f>(W30-V30)*$O$5</f>
        <v>452.09845349999989</v>
      </c>
    </row>
    <row r="34" spans="2:23">
      <c r="B34" s="38"/>
      <c r="C34" s="39"/>
      <c r="D34" s="40"/>
      <c r="E34" s="39"/>
      <c r="F34" s="40"/>
      <c r="G34" s="39"/>
      <c r="H34" s="40"/>
      <c r="K34" s="26" t="s">
        <v>97</v>
      </c>
      <c r="L34" s="55">
        <f>L30*$O$5</f>
        <v>2424.6119806447186</v>
      </c>
      <c r="M34" s="19">
        <f>L34</f>
        <v>2424.6119806447186</v>
      </c>
      <c r="N34" s="54">
        <f>N30*$O$5</f>
        <v>2339.131066586514</v>
      </c>
      <c r="O34" s="19">
        <f>N34</f>
        <v>2339.131066586514</v>
      </c>
      <c r="P34" s="54">
        <f>P30*$O$5</f>
        <v>2850.9356707149491</v>
      </c>
      <c r="Q34" s="19">
        <f>P34</f>
        <v>2850.9356707149491</v>
      </c>
      <c r="R34" s="54">
        <f>R30*$O$5</f>
        <v>1646.0693136143104</v>
      </c>
      <c r="S34" s="19">
        <f>R34</f>
        <v>1646.0693136143104</v>
      </c>
      <c r="T34" s="54">
        <f>T30*$O$5</f>
        <v>1778.3659133197236</v>
      </c>
      <c r="U34" s="19">
        <f>T34</f>
        <v>1778.3659133197236</v>
      </c>
      <c r="V34" s="54">
        <f>V30*$O$5</f>
        <v>502.50958899999995</v>
      </c>
      <c r="W34" s="19">
        <f>V34</f>
        <v>502.50958899999995</v>
      </c>
    </row>
    <row r="35" spans="2:23">
      <c r="B35" s="38"/>
      <c r="C35" s="39"/>
      <c r="D35" s="40"/>
      <c r="E35" s="39"/>
      <c r="F35" s="40"/>
      <c r="G35" s="39"/>
      <c r="H35" s="40"/>
      <c r="K35" s="26" t="s">
        <v>98</v>
      </c>
      <c r="L35" s="55">
        <f>L25*8760*$L$6*$L$7/1000000+$L$4*L34*$L$6+L32/L17/L37</f>
        <v>40899.180944565414</v>
      </c>
      <c r="M35" s="19">
        <f>L25*8760*$L$6*$L$7/1000000+$L$4*(L34+M33)*$L$6+L32/L17/L37</f>
        <v>41725.172673978268</v>
      </c>
      <c r="N35" s="54">
        <f>N25*8760*$L$6*$L$7/1000000+$L$4*N34*$L$6+N32/N17/N37</f>
        <v>38065.224830015555</v>
      </c>
      <c r="O35" s="19">
        <f>N25*8760*$L$6*$L$7/1000000+$L$4*(N34+O33)*$L$6+N32/N17/N37</f>
        <v>39001.129584355003</v>
      </c>
      <c r="P35" s="54">
        <f>P25*8760*$L$6*$L$7/1000000+$L$4*P34*$L$6+P32/P17/P37</f>
        <v>38772.080371684679</v>
      </c>
      <c r="Q35" s="19">
        <f>P25*8760*$L$6*$L$7/1000000+$L$4*(P34+Q33)*$L$6+P32/P17/P37</f>
        <v>39560.184106920104</v>
      </c>
      <c r="R35" s="54">
        <f>R25*8760*$L$6*$L$7/1000000+$L$4*R34*$L$6+R32/R17/R37</f>
        <v>17265.306826059077</v>
      </c>
      <c r="S35" s="19">
        <f>R25*8760*$L$6*$L$7/1000000+$L$4*(R34+S33)*$L$6+R32/R17/R37</f>
        <v>18232.128773430428</v>
      </c>
      <c r="T35" s="54">
        <f>T25*8760*$L$6*$L$7/1000000+$L$4*T34*$L$6+T32/T17/T37</f>
        <v>17372.161085921696</v>
      </c>
      <c r="U35" s="19">
        <f>T25*8760*$L$6*$L$7/1000000+$L$4*(T34+U33)*$L$6+T32/T17/T37</f>
        <v>18357.799190637896</v>
      </c>
      <c r="V35" s="54">
        <f>V25*8760*$L$6*$L$7/1000000+$L$4*V34*$L$6+V32/V17/V37</f>
        <v>7084.345227420964</v>
      </c>
      <c r="W35" s="19">
        <f>V25*8760*$L$6*$L$7/1000000+$L$4*(V34+W33)*$L$6+V32/V17/V37</f>
        <v>7626.8633716209642</v>
      </c>
    </row>
    <row r="36" spans="2:23">
      <c r="B36" s="38"/>
      <c r="C36" s="39"/>
      <c r="D36" s="40"/>
      <c r="E36" s="39"/>
      <c r="F36" s="40"/>
      <c r="G36" s="39"/>
      <c r="H36" s="40"/>
      <c r="K36" s="26" t="s">
        <v>99</v>
      </c>
      <c r="L36" s="54"/>
      <c r="M36" s="53">
        <f>M27*8760*$L$6*$L$7/1000000</f>
        <v>10551.523104097703</v>
      </c>
      <c r="N36" s="54"/>
      <c r="O36" s="19">
        <f>O27*8760*$L$6*$L$7/1000000</f>
        <v>16936.681707652882</v>
      </c>
      <c r="P36" s="54"/>
      <c r="Q36" s="19">
        <f>Q27*8760*$L$6*$L$7/1000000</f>
        <v>26863.212130725584</v>
      </c>
      <c r="R36" s="54"/>
      <c r="S36" s="19">
        <f>S27*8760*$L$6*$L$7/1000000</f>
        <v>26604.198224430562</v>
      </c>
      <c r="T36" s="54"/>
      <c r="U36" s="19">
        <f>U27*8760*$L$6*$L$7/1000000</f>
        <v>27458.321698978267</v>
      </c>
      <c r="V36" s="54"/>
      <c r="W36" s="19">
        <f>W27*8760*$L$6*$L$7/1000000</f>
        <v>11995.505999999999</v>
      </c>
    </row>
    <row r="37" spans="2:23">
      <c r="B37" s="38"/>
      <c r="C37" s="39"/>
      <c r="D37" s="40"/>
      <c r="E37" s="39"/>
      <c r="F37" s="40"/>
      <c r="G37" s="39"/>
      <c r="H37" s="40"/>
      <c r="K37" s="26" t="s">
        <v>88</v>
      </c>
      <c r="L37" s="54">
        <f>$M$8</f>
        <v>58</v>
      </c>
      <c r="M37" s="19"/>
      <c r="N37" s="54">
        <f>$M$8</f>
        <v>58</v>
      </c>
      <c r="O37" s="19"/>
      <c r="P37" s="54">
        <f>$M$8</f>
        <v>58</v>
      </c>
      <c r="Q37" s="19"/>
      <c r="R37" s="54">
        <f>$M$8</f>
        <v>58</v>
      </c>
      <c r="S37" s="19"/>
      <c r="T37" s="54">
        <f>$M$8</f>
        <v>58</v>
      </c>
      <c r="U37" s="19"/>
      <c r="V37" s="54">
        <f>$O$8</f>
        <v>58</v>
      </c>
      <c r="W37" s="19"/>
    </row>
    <row r="38" spans="2:23">
      <c r="B38" s="38"/>
      <c r="C38" s="39"/>
      <c r="D38" s="40"/>
      <c r="E38" s="39"/>
      <c r="F38" s="40"/>
      <c r="G38" s="39"/>
      <c r="H38" s="40"/>
      <c r="K38" s="26" t="s">
        <v>87</v>
      </c>
      <c r="L38" s="55">
        <f>L32/SUM(L33:L36)</f>
        <v>4.1290341640957307</v>
      </c>
      <c r="M38" s="53">
        <f t="shared" ref="M38:W38" si="11">M32/SUM(M33:M36)</f>
        <v>3.0390866528346501</v>
      </c>
      <c r="N38" s="55">
        <f t="shared" si="11"/>
        <v>4.4365151307565469</v>
      </c>
      <c r="O38" s="53">
        <f t="shared" si="11"/>
        <v>2.748501128670624</v>
      </c>
      <c r="P38" s="55">
        <f t="shared" si="11"/>
        <v>4.5291712967473616</v>
      </c>
      <c r="Q38" s="53">
        <f t="shared" si="11"/>
        <v>2.3116266158874876</v>
      </c>
      <c r="R38" s="55">
        <f t="shared" si="11"/>
        <v>7.8669194645397376</v>
      </c>
      <c r="S38" s="53">
        <f t="shared" si="11"/>
        <v>2.58352784792852</v>
      </c>
      <c r="T38" s="55">
        <f t="shared" si="11"/>
        <v>8.2656567173266229</v>
      </c>
      <c r="U38" s="53">
        <f t="shared" si="11"/>
        <v>2.7022835564136893</v>
      </c>
      <c r="V38" s="55">
        <f>V32/SUM(V33:V36)</f>
        <v>16.6264794901541</v>
      </c>
      <c r="W38" s="53">
        <f t="shared" si="11"/>
        <v>5.5473249400403395</v>
      </c>
    </row>
    <row r="39" spans="2:23">
      <c r="B39" s="38"/>
      <c r="C39" s="39"/>
      <c r="D39" s="40"/>
      <c r="E39" s="39"/>
      <c r="F39" s="40"/>
      <c r="G39" s="39"/>
      <c r="H39" s="40"/>
      <c r="K39" s="26" t="s">
        <v>89</v>
      </c>
      <c r="L39" s="55"/>
      <c r="M39" s="53">
        <f>(M35/M34+1)*L38/(M35/M34+1+M44+M43*(M35/M34+1)*L38)</f>
        <v>2.4467644652828477</v>
      </c>
      <c r="N39" s="55"/>
      <c r="O39" s="53">
        <f>(O35/O34+1)*N38/(O35/O34+1+O44+O43*(O35/O34+1)*N38)</f>
        <v>2.2265965564451902</v>
      </c>
      <c r="P39" s="55"/>
      <c r="Q39" s="53">
        <f>(Q35/Q34+1)*P38/(Q35/Q34+1+Q44+Q43*(Q35/Q34+1)*P38)</f>
        <v>2.071022623197984</v>
      </c>
      <c r="R39" s="55"/>
      <c r="S39" s="53">
        <f>(S35/S34+1)*R38/(S35/S34+1+S44+S43*(S35/S34+1)*R38)</f>
        <v>2.3744308727761942</v>
      </c>
      <c r="T39" s="55"/>
      <c r="U39" s="53">
        <f>(U35/U34+1)*T38/(U35/U34+1+U44+U43*(U35/U34+1)*T38)</f>
        <v>2.4865359983134669</v>
      </c>
      <c r="V39" s="55"/>
      <c r="W39" s="53">
        <f>(W35/W34+1)*V38/(W35/W34+1+W44+W43*(W35/W34+1)*V38)</f>
        <v>4.7543529427286524</v>
      </c>
    </row>
    <row r="40" spans="2:23">
      <c r="B40" s="38"/>
      <c r="C40" s="39"/>
      <c r="D40" s="40"/>
      <c r="E40" s="39"/>
      <c r="F40" s="40"/>
      <c r="G40" s="39"/>
      <c r="H40" s="40"/>
      <c r="K40" s="26" t="s">
        <v>110</v>
      </c>
      <c r="L40" s="55">
        <f>L31/(L34+L47+L48)</f>
        <v>11.236913298061774</v>
      </c>
      <c r="M40" s="53">
        <f>M31/(M34+M48+M47+M33)</f>
        <v>8.4427616870745119</v>
      </c>
      <c r="N40" s="55">
        <f>N31/(N34+N47+N48)</f>
        <v>11.737806190641715</v>
      </c>
      <c r="O40" s="53">
        <f>O31/(O34+O48+O47+O33)</f>
        <v>8.0885335389443753</v>
      </c>
      <c r="P40" s="55">
        <f>P31/(P34+P47+P48)</f>
        <v>11.498105505868555</v>
      </c>
      <c r="Q40" s="53">
        <f>Q31/(Q34+Q48+Q47+Q33)</f>
        <v>7.7263770803865333</v>
      </c>
      <c r="R40" s="55">
        <f>R31/(R34+R47+R48)</f>
        <v>13.260861841705252</v>
      </c>
      <c r="S40" s="53">
        <f>S31/(S34+S48+S47+S33)</f>
        <v>8.0781071207814286</v>
      </c>
      <c r="T40" s="55">
        <f>T31/(T34+T47+T48)</f>
        <v>13.815978247643779</v>
      </c>
      <c r="U40" s="53">
        <f>U31/(U34+U48+U47+U33)</f>
        <v>8.5725321954165885</v>
      </c>
      <c r="V40" s="55">
        <f>V31/(V34+V47+V48)</f>
        <v>22.801610217630895</v>
      </c>
      <c r="W40" s="53">
        <f>W31/(W34+W48+W47+W33)</f>
        <v>16.445417600228957</v>
      </c>
    </row>
    <row r="41" spans="2:23">
      <c r="B41" s="38"/>
      <c r="C41" s="39"/>
      <c r="D41" s="40"/>
      <c r="E41" s="39"/>
      <c r="F41" s="40"/>
      <c r="G41" s="39"/>
      <c r="H41" s="40"/>
      <c r="K41" s="59" t="s">
        <v>114</v>
      </c>
      <c r="L41" s="55">
        <f>L48/(L34*(1+$L$6*$L$4))</f>
        <v>1.4825775498059688</v>
      </c>
      <c r="M41" s="53">
        <f>L40*(1-M43)*(L41+1)/(L41+M45+1)</f>
        <v>8.4427616870745101</v>
      </c>
      <c r="N41" s="55">
        <f>N48/(N34*(1+$L$6*$L$4))</f>
        <v>1.5127752717666074</v>
      </c>
      <c r="O41" s="53">
        <f>N40*(1-O43)*(N41+1)/(N41+O44+1)</f>
        <v>8.0885335389443735</v>
      </c>
      <c r="P41" s="55">
        <f>P48/(P34*(1+$L$6*$L$4))</f>
        <v>1.2309264522268968</v>
      </c>
      <c r="Q41" s="53">
        <f>P40*(1-Q43)*(P41+1)/(P41+Q44+1)</f>
        <v>7.7263770803865315</v>
      </c>
      <c r="R41" s="55">
        <f>R48/(R34*(1+$L$6*$L$4))</f>
        <v>1.9247805659128892</v>
      </c>
      <c r="S41" s="53">
        <f>R40*(1-S43)*(R41+1)/(R41+S44+1)</f>
        <v>8.0781071207814286</v>
      </c>
      <c r="T41" s="55">
        <f>T48/(T34*(1+$L$6*$L$4))</f>
        <v>1.7749811449472319</v>
      </c>
      <c r="U41" s="53">
        <f>T40*(1-U43)*(T41+1)/(T41+U44+1)</f>
        <v>8.5725321954165885</v>
      </c>
      <c r="V41" s="55">
        <f>V48/(V34*(1+$L$6*$L$4))</f>
        <v>3.9188923097716648</v>
      </c>
      <c r="W41" s="53">
        <f>V40*(1-W43)*(V41+1)/(V41+W44+1)</f>
        <v>16.445417600228957</v>
      </c>
    </row>
    <row r="42" spans="2:23">
      <c r="B42" s="38"/>
      <c r="C42" s="39"/>
      <c r="D42" s="40"/>
      <c r="E42" s="39"/>
      <c r="F42" s="40"/>
      <c r="G42" s="39"/>
      <c r="H42" s="40"/>
      <c r="K42" s="26"/>
      <c r="L42" s="55"/>
      <c r="M42" s="53"/>
      <c r="N42" s="55"/>
      <c r="O42" s="53"/>
      <c r="P42" s="55"/>
      <c r="Q42" s="53"/>
      <c r="R42" s="55"/>
      <c r="S42" s="53"/>
      <c r="T42" s="55"/>
      <c r="U42" s="53"/>
      <c r="V42" s="55"/>
      <c r="W42" s="53"/>
    </row>
    <row r="43" spans="2:23">
      <c r="B43" t="s">
        <v>34</v>
      </c>
      <c r="C43" s="100">
        <v>125750</v>
      </c>
      <c r="D43" s="102">
        <v>190750</v>
      </c>
      <c r="E43" s="100">
        <v>113140</v>
      </c>
      <c r="F43" s="102">
        <v>190090</v>
      </c>
      <c r="G43" s="100">
        <v>108020</v>
      </c>
      <c r="H43" s="102">
        <v>176540</v>
      </c>
      <c r="K43" s="31" t="s">
        <v>78</v>
      </c>
      <c r="L43" s="32"/>
      <c r="M43" s="33">
        <f>M29/L26</f>
        <v>0.16273974802179103</v>
      </c>
      <c r="N43" s="32"/>
      <c r="O43" s="33">
        <f>O29/N26</f>
        <v>0.21946138762279202</v>
      </c>
      <c r="P43" s="32"/>
      <c r="Q43" s="33">
        <f>Q29/P26</f>
        <v>0.25864326936869675</v>
      </c>
      <c r="R43" s="32"/>
      <c r="S43" s="33">
        <f>S29/R26</f>
        <v>0.28888690333344103</v>
      </c>
      <c r="T43" s="32"/>
      <c r="U43" s="33">
        <f>U29/T26</f>
        <v>0.27624843978304053</v>
      </c>
      <c r="V43" s="32"/>
      <c r="W43" s="33">
        <f>W29/V26</f>
        <v>0.14684369820566404</v>
      </c>
    </row>
    <row r="44" spans="2:23">
      <c r="B44" s="7" t="s">
        <v>17</v>
      </c>
      <c r="C44" s="107"/>
      <c r="D44" s="108"/>
      <c r="E44" s="107"/>
      <c r="F44" s="108"/>
      <c r="G44" s="107"/>
      <c r="H44" s="108"/>
      <c r="K44" s="27" t="s">
        <v>77</v>
      </c>
      <c r="L44" s="21"/>
      <c r="M44" s="22">
        <f>(M30-L30)/L30</f>
        <v>0.28389138001138875</v>
      </c>
      <c r="N44" s="21"/>
      <c r="O44" s="22">
        <f>(O30-N30)/N30</f>
        <v>0.33342322700811378</v>
      </c>
      <c r="P44" s="21"/>
      <c r="Q44" s="22">
        <f>(Q30-P30)/P30</f>
        <v>0.2303640588745694</v>
      </c>
      <c r="R44" s="21"/>
      <c r="S44" s="22">
        <f>(S30-R30)/R30</f>
        <v>0.48945992096391866</v>
      </c>
      <c r="T44" s="21"/>
      <c r="U44" s="22">
        <f>(U30-T30)/T30</f>
        <v>0.46186506450195924</v>
      </c>
      <c r="V44" s="21"/>
      <c r="W44" s="22">
        <f>(W30-V30)/V30</f>
        <v>0.89968124667965277</v>
      </c>
    </row>
    <row r="45" spans="2:23">
      <c r="B45" s="36"/>
      <c r="C45" s="39"/>
      <c r="D45" s="40"/>
      <c r="E45" s="39"/>
      <c r="F45" s="40"/>
      <c r="G45" s="39"/>
      <c r="H45" s="40"/>
      <c r="K45" s="41" t="s">
        <v>113</v>
      </c>
      <c r="L45" s="42">
        <v>4</v>
      </c>
      <c r="M45" s="43">
        <f>M33/L34</f>
        <v>0.28389138001138875</v>
      </c>
      <c r="N45" s="42"/>
      <c r="O45" s="43"/>
      <c r="P45" s="42"/>
      <c r="Q45" s="43"/>
      <c r="R45" s="42"/>
      <c r="S45" s="43"/>
      <c r="T45" s="42"/>
      <c r="U45" s="43"/>
      <c r="V45" s="42"/>
      <c r="W45" s="43"/>
    </row>
    <row r="46" spans="2:23">
      <c r="B46" s="36"/>
      <c r="C46" s="39"/>
      <c r="D46" s="40"/>
      <c r="E46" s="39"/>
      <c r="F46" s="40"/>
      <c r="G46" s="39"/>
      <c r="H46" s="40"/>
      <c r="K46" s="41" t="s">
        <v>90</v>
      </c>
      <c r="L46" s="45">
        <f>L25*8760*$L$6*$L$7/1000000</f>
        <v>30081.360930903975</v>
      </c>
      <c r="M46" s="46">
        <f>M29*8760*$L$6*$L$7/1000000</f>
        <v>24216.335257579911</v>
      </c>
      <c r="N46" s="45">
        <f>N25*8760*$L$6*$L$7/1000000</f>
        <v>27473.392353214858</v>
      </c>
      <c r="O46" s="57">
        <f>O29*8760*$L$6*$L$7/1000000</f>
        <v>33310.100461969443</v>
      </c>
      <c r="P46" s="45">
        <f t="shared" ref="P46:W46" si="12">P25*8760*$L$6*$L$7/1000000</f>
        <v>27630.514879330167</v>
      </c>
      <c r="Q46" s="46">
        <f t="shared" si="12"/>
        <v>42379.708294645621</v>
      </c>
      <c r="R46" s="45">
        <f t="shared" si="12"/>
        <v>8319.7147547430377</v>
      </c>
      <c r="S46" s="46">
        <f t="shared" si="12"/>
        <v>22290.998936574993</v>
      </c>
      <c r="T46" s="58">
        <f t="shared" si="12"/>
        <v>8293.6768670274068</v>
      </c>
      <c r="U46" s="46">
        <f t="shared" si="12"/>
        <v>22272.070092962425</v>
      </c>
      <c r="V46" s="45">
        <f t="shared" si="12"/>
        <v>2148.9155999999998</v>
      </c>
      <c r="W46" s="46">
        <f t="shared" si="12"/>
        <v>8361.1134000000002</v>
      </c>
    </row>
    <row r="47" spans="2:23">
      <c r="B47" s="36"/>
      <c r="C47" s="39"/>
      <c r="D47" s="40"/>
      <c r="E47" s="39"/>
      <c r="F47" s="40"/>
      <c r="G47" s="39"/>
      <c r="H47" s="40"/>
      <c r="K47" s="41" t="s">
        <v>91</v>
      </c>
      <c r="L47" s="58">
        <f>$L$4*L34*$L$6</f>
        <v>2909.5343767736622</v>
      </c>
      <c r="M47" s="46">
        <f>$L$4*(L34+M33)*$L$6</f>
        <v>3735.5261061865135</v>
      </c>
      <c r="N47" s="45">
        <f>$L$4*N34*$L$6</f>
        <v>2806.9572799038169</v>
      </c>
      <c r="O47" s="46">
        <f>$L$4*(N34+O33)*$L$6</f>
        <v>3742.8620342432646</v>
      </c>
      <c r="P47" s="45">
        <f>$L$4*P34*$L$6</f>
        <v>3421.1228048579392</v>
      </c>
      <c r="Q47" s="46">
        <f>$L$4*(P34+Q33)*$L$6</f>
        <v>4209.2265400933647</v>
      </c>
      <c r="R47" s="45">
        <f>$L$4*R34*$L$6</f>
        <v>1975.2831763371723</v>
      </c>
      <c r="S47" s="46">
        <f>$L$4*(R34+S33)*$L$6</f>
        <v>2942.1051237085235</v>
      </c>
      <c r="T47" s="45">
        <f>$L$4*T34*$L$6</f>
        <v>2134.0390959836682</v>
      </c>
      <c r="U47" s="46">
        <f>$L$4*(T34+U33)*$L$6</f>
        <v>3119.6772006998681</v>
      </c>
      <c r="V47" s="45">
        <f>$L$4*V34*$L$6</f>
        <v>603.01150679999989</v>
      </c>
      <c r="W47" s="46">
        <f>$L$4*(V34+W33)*$L$6</f>
        <v>1145.5296509999998</v>
      </c>
    </row>
    <row r="48" spans="2:23">
      <c r="B48" s="36"/>
      <c r="C48" s="39"/>
      <c r="D48" s="40"/>
      <c r="E48" s="39"/>
      <c r="F48" s="40"/>
      <c r="G48" s="39"/>
      <c r="H48" s="40"/>
      <c r="K48" s="41" t="s">
        <v>92</v>
      </c>
      <c r="L48" s="45">
        <f>L32/L17/L37</f>
        <v>7908.2856368877783</v>
      </c>
      <c r="M48" s="46">
        <f>L32/L17/L37</f>
        <v>7908.2856368877783</v>
      </c>
      <c r="N48" s="45">
        <f>N32/N17/N37</f>
        <v>7784.8751968968818</v>
      </c>
      <c r="O48" s="46">
        <f>N32/N17/N37</f>
        <v>7784.8751968968818</v>
      </c>
      <c r="P48" s="45">
        <f>P32/P17/P37</f>
        <v>7720.4426874965748</v>
      </c>
      <c r="Q48" s="46">
        <f>P32/P17/P37</f>
        <v>7720.4426874965748</v>
      </c>
      <c r="R48" s="45">
        <f>R32/R17/R37</f>
        <v>6970.3088949788662</v>
      </c>
      <c r="S48" s="46">
        <f>R32/R17/R37</f>
        <v>6970.3088949788662</v>
      </c>
      <c r="T48" s="45">
        <f>T32/T17/T37</f>
        <v>6944.4451229106207</v>
      </c>
      <c r="U48" s="46">
        <f>T32/T17/T37</f>
        <v>6944.4451229106207</v>
      </c>
      <c r="V48" s="45">
        <f>V32/V17/V37</f>
        <v>4332.4181206209641</v>
      </c>
      <c r="W48" s="46">
        <f>V32/V17/V37</f>
        <v>4332.4181206209641</v>
      </c>
    </row>
    <row r="49" spans="2:23">
      <c r="B49" s="36"/>
      <c r="C49" s="39"/>
      <c r="D49" s="40"/>
      <c r="E49" s="39"/>
      <c r="F49" s="40"/>
      <c r="G49" s="39"/>
      <c r="H49" s="40"/>
      <c r="K49" s="41" t="s">
        <v>113</v>
      </c>
      <c r="L49" s="56">
        <f>L48/(L34+L47)</f>
        <v>1.4825775498059692</v>
      </c>
      <c r="M49" s="43">
        <f>(M42-M40)/M40</f>
        <v>-1</v>
      </c>
      <c r="N49" s="56">
        <f>N48/(N34+N47)</f>
        <v>1.5127752717666074</v>
      </c>
      <c r="O49" s="43">
        <f>(O42-O40)/O40</f>
        <v>-1</v>
      </c>
      <c r="P49" s="56">
        <f>P48/(P34+P47)</f>
        <v>1.2309264522268968</v>
      </c>
      <c r="Q49" s="43">
        <f>(Q42-Q40)/Q40</f>
        <v>-1</v>
      </c>
      <c r="R49" s="56">
        <f>R48/(R34+R47)</f>
        <v>1.9247805659128894</v>
      </c>
      <c r="S49" s="43">
        <f>(S42-S40)/S40</f>
        <v>-1</v>
      </c>
      <c r="T49" s="56">
        <f>T48/(T34+T47)</f>
        <v>1.7749811449472319</v>
      </c>
      <c r="U49" s="43">
        <f>(U42-U40)/U40</f>
        <v>-1</v>
      </c>
      <c r="V49" s="56">
        <f>V48/(V34+V47)</f>
        <v>3.9188923097716657</v>
      </c>
      <c r="W49" s="43">
        <f>(W42-W40)/W40</f>
        <v>-1</v>
      </c>
    </row>
    <row r="50" spans="2:23">
      <c r="B50" s="36"/>
      <c r="C50" s="39"/>
      <c r="D50" s="40"/>
      <c r="E50" s="39"/>
      <c r="F50" s="40"/>
      <c r="G50" s="39"/>
      <c r="H50" s="40"/>
      <c r="K50" s="41" t="s">
        <v>105</v>
      </c>
      <c r="L50" s="42"/>
      <c r="M50" s="46">
        <f>M25-L25</f>
        <v>61172.943654231407</v>
      </c>
      <c r="N50" s="42"/>
      <c r="O50" s="46">
        <f>O25-N25</f>
        <v>73298.499213522038</v>
      </c>
      <c r="P50" s="42"/>
      <c r="Q50" s="46">
        <f>Q25-P25</f>
        <v>66027.367782771296</v>
      </c>
      <c r="R50" s="42"/>
      <c r="S50" s="46">
        <f>S25-R25</f>
        <v>62544.919786157909</v>
      </c>
      <c r="T50" s="42"/>
      <c r="U50" s="46">
        <f>U25-T25</f>
        <v>62576.744676940725</v>
      </c>
      <c r="V50" s="42"/>
      <c r="W50" s="46">
        <f>W25-V25</f>
        <v>27810</v>
      </c>
    </row>
    <row r="51" spans="2:23">
      <c r="B51" s="36"/>
      <c r="C51" s="39"/>
      <c r="D51" s="40"/>
      <c r="E51" s="39"/>
      <c r="F51" s="40"/>
      <c r="G51" s="39"/>
      <c r="H51" s="40"/>
      <c r="K51" s="41" t="s">
        <v>60</v>
      </c>
      <c r="L51" s="44">
        <f>L26-M26</f>
        <v>108408.69933557126</v>
      </c>
      <c r="M51" s="46"/>
      <c r="N51" s="44">
        <f>N26-O26</f>
        <v>149118.54446221434</v>
      </c>
      <c r="O51" s="46"/>
      <c r="P51" s="44">
        <f>P26-Q26</f>
        <v>186285.27865539002</v>
      </c>
      <c r="Q51" s="46"/>
      <c r="R51" s="44">
        <f>R26-S26</f>
        <v>181643.30918731535</v>
      </c>
      <c r="S51" s="46"/>
      <c r="T51" s="44">
        <f>T26-U26</f>
        <v>185498.7685778194</v>
      </c>
      <c r="U51" s="46"/>
      <c r="V51" s="44">
        <f>V26-W26</f>
        <v>81510</v>
      </c>
      <c r="W51" s="46"/>
    </row>
    <row r="52" spans="2:23">
      <c r="B52" s="36"/>
      <c r="C52" s="39"/>
      <c r="D52" s="40"/>
      <c r="E52" s="39"/>
      <c r="F52" s="40"/>
      <c r="G52" s="39"/>
      <c r="H52" s="40"/>
      <c r="K52" s="41"/>
      <c r="L52" s="44"/>
      <c r="M52" s="46">
        <f>M50+M27</f>
        <v>108408.69933557129</v>
      </c>
      <c r="N52" s="44"/>
      <c r="O52" s="46"/>
      <c r="P52" s="44"/>
      <c r="Q52" s="46"/>
      <c r="R52" s="44"/>
      <c r="S52" s="46"/>
      <c r="T52" s="44"/>
      <c r="U52" s="46"/>
      <c r="V52" s="44"/>
      <c r="W52" s="46"/>
    </row>
    <row r="53" spans="2:23">
      <c r="B53" s="36"/>
      <c r="C53" s="39"/>
      <c r="D53" s="40"/>
      <c r="E53" s="39"/>
      <c r="F53" s="40"/>
      <c r="G53" s="39"/>
      <c r="H53" s="40"/>
      <c r="K53" s="41" t="s">
        <v>100</v>
      </c>
      <c r="L53" s="47">
        <f>L25/L24</f>
        <v>0.16815993581171435</v>
      </c>
      <c r="M53" s="47">
        <f t="shared" ref="M53:W53" si="13">M25/M24</f>
        <v>0.25987738419618528</v>
      </c>
      <c r="N53" s="47">
        <f t="shared" si="13"/>
        <v>0.15326469791384448</v>
      </c>
      <c r="O53" s="47">
        <f t="shared" si="13"/>
        <v>0.2701293164700867</v>
      </c>
      <c r="P53" s="47">
        <f t="shared" si="13"/>
        <v>0.14656716417910448</v>
      </c>
      <c r="Q53" s="47">
        <f t="shared" si="13"/>
        <v>0.26216216216216215</v>
      </c>
      <c r="R53" s="47">
        <f t="shared" si="13"/>
        <v>5.592173017507724E-2</v>
      </c>
      <c r="S53" s="47">
        <f t="shared" si="13"/>
        <v>0.1824587483276349</v>
      </c>
      <c r="T53" s="47">
        <f t="shared" si="13"/>
        <v>5.2394900068917991E-2</v>
      </c>
      <c r="U53" s="47">
        <f t="shared" si="13"/>
        <v>0.17023234761617381</v>
      </c>
      <c r="V53" s="47">
        <f t="shared" si="13"/>
        <v>1.7035594120772091E-2</v>
      </c>
      <c r="W53" s="47">
        <f t="shared" si="13"/>
        <v>7.3248532289628174E-2</v>
      </c>
    </row>
    <row r="54" spans="2:23">
      <c r="B54" s="36"/>
      <c r="C54" s="39"/>
      <c r="D54" s="40"/>
      <c r="E54" s="39"/>
      <c r="F54" s="40"/>
      <c r="G54" s="39"/>
      <c r="H54" s="40"/>
      <c r="K54" s="41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2:23">
      <c r="B55" s="36"/>
      <c r="C55" s="39"/>
      <c r="D55" s="40"/>
      <c r="E55" s="39"/>
      <c r="F55" s="40"/>
      <c r="G55" s="39"/>
      <c r="H55" s="40"/>
      <c r="K55" s="41" t="s">
        <v>101</v>
      </c>
      <c r="L55" s="47">
        <f>L34/L32</f>
        <v>1.3553994314620826E-2</v>
      </c>
      <c r="M55" s="47">
        <f t="shared" ref="M55:W55" si="14">M34/M32</f>
        <v>1.4403587212193794E-2</v>
      </c>
      <c r="N55" s="47">
        <f t="shared" si="14"/>
        <v>1.3049215462440684E-2</v>
      </c>
      <c r="O55" s="47">
        <f t="shared" si="14"/>
        <v>1.4410805716323262E-2</v>
      </c>
      <c r="P55" s="47">
        <f t="shared" si="14"/>
        <v>1.5122901557883423E-2</v>
      </c>
      <c r="Q55" s="47">
        <f t="shared" si="14"/>
        <v>1.7635974613687815E-2</v>
      </c>
      <c r="R55" s="47">
        <f t="shared" si="14"/>
        <v>1.1064206732921475E-2</v>
      </c>
      <c r="S55" s="47">
        <f t="shared" si="14"/>
        <v>1.3473588486418157E-2</v>
      </c>
      <c r="T55" s="47">
        <f t="shared" si="14"/>
        <v>1.1234740128928281E-2</v>
      </c>
      <c r="U55" s="47">
        <f t="shared" si="14"/>
        <v>1.3592602891486793E-2</v>
      </c>
      <c r="V55" s="47">
        <f t="shared" si="14"/>
        <v>3.9836601307189539E-3</v>
      </c>
      <c r="W55" s="47">
        <f t="shared" si="14"/>
        <v>4.4022952560019441E-3</v>
      </c>
    </row>
    <row r="56" spans="2:23">
      <c r="B56" s="36"/>
      <c r="C56" s="39"/>
      <c r="D56" s="40"/>
      <c r="E56" s="39"/>
      <c r="F56" s="40"/>
      <c r="G56" s="39"/>
      <c r="H56" s="40"/>
      <c r="K56" s="41" t="s">
        <v>103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 spans="2:23">
      <c r="B57" s="36"/>
      <c r="C57" s="39"/>
      <c r="D57" s="40"/>
      <c r="E57" s="39"/>
      <c r="F57" s="40"/>
      <c r="G57" s="39"/>
      <c r="H57" s="40"/>
      <c r="K57" s="41" t="s">
        <v>102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 spans="2:23">
      <c r="B58" s="7" t="s">
        <v>18</v>
      </c>
      <c r="C58" s="100">
        <v>622050</v>
      </c>
      <c r="D58" s="102">
        <v>543250</v>
      </c>
      <c r="E58" s="100">
        <v>625060</v>
      </c>
      <c r="F58" s="102">
        <v>513610</v>
      </c>
      <c r="G58" s="100">
        <v>628980</v>
      </c>
      <c r="H58" s="102">
        <v>496860</v>
      </c>
      <c r="M58" s="11"/>
    </row>
    <row r="59" spans="2:23">
      <c r="B59" s="7" t="s">
        <v>19</v>
      </c>
      <c r="C59" s="107"/>
      <c r="D59" s="108"/>
      <c r="E59" s="107"/>
      <c r="F59" s="108"/>
      <c r="G59" s="107"/>
      <c r="H59" s="108"/>
      <c r="M59" s="12"/>
    </row>
    <row r="60" spans="2:23">
      <c r="B60" s="7" t="s">
        <v>20</v>
      </c>
      <c r="C60" s="100">
        <v>466901</v>
      </c>
      <c r="D60" s="102">
        <v>487011</v>
      </c>
      <c r="E60" s="100">
        <v>459958</v>
      </c>
      <c r="F60" s="102">
        <v>484212</v>
      </c>
      <c r="G60" s="100">
        <v>436646</v>
      </c>
      <c r="H60" s="102">
        <v>465264</v>
      </c>
      <c r="M60" s="11"/>
      <c r="O60" s="11"/>
      <c r="Q60" s="11"/>
      <c r="U60" s="30"/>
    </row>
    <row r="61" spans="2:23">
      <c r="B61" s="7" t="s">
        <v>21</v>
      </c>
      <c r="C61" s="107"/>
      <c r="D61" s="108"/>
      <c r="E61" s="107"/>
      <c r="F61" s="108"/>
      <c r="G61" s="107"/>
      <c r="H61" s="108"/>
      <c r="U61" s="30"/>
    </row>
    <row r="62" spans="2:23">
      <c r="B62" s="4"/>
      <c r="C62" s="91" t="s">
        <v>22</v>
      </c>
      <c r="D62" s="93" t="s">
        <v>22</v>
      </c>
      <c r="E62" s="91" t="s">
        <v>22</v>
      </c>
      <c r="F62" s="93" t="s">
        <v>22</v>
      </c>
      <c r="G62" s="91" t="s">
        <v>22</v>
      </c>
      <c r="H62" s="93" t="s">
        <v>22</v>
      </c>
      <c r="Q62" s="15"/>
    </row>
    <row r="63" spans="2:23">
      <c r="B63" s="4"/>
      <c r="C63" s="92"/>
      <c r="D63" s="94"/>
      <c r="E63" s="92"/>
      <c r="F63" s="94"/>
      <c r="G63" s="92"/>
      <c r="H63" s="94"/>
    </row>
    <row r="64" spans="2:23">
      <c r="B64" s="4"/>
      <c r="C64" s="100">
        <v>1596320</v>
      </c>
      <c r="D64" s="102">
        <v>1665074</v>
      </c>
      <c r="E64" s="100">
        <v>1572582</v>
      </c>
      <c r="F64" s="102">
        <v>1655503</v>
      </c>
      <c r="G64" s="100">
        <v>1492878</v>
      </c>
      <c r="H64" s="102">
        <v>1590722</v>
      </c>
    </row>
    <row r="65" spans="2:8">
      <c r="B65" s="4"/>
      <c r="C65" s="107"/>
      <c r="D65" s="108"/>
      <c r="E65" s="107"/>
      <c r="F65" s="108"/>
      <c r="G65" s="107"/>
      <c r="H65" s="108"/>
    </row>
    <row r="66" spans="2:8">
      <c r="B66" s="4"/>
      <c r="C66" s="96">
        <v>0.39</v>
      </c>
      <c r="D66" s="98">
        <v>0.32600000000000001</v>
      </c>
      <c r="E66" s="96">
        <v>0.39700000000000002</v>
      </c>
      <c r="F66" s="98">
        <v>0.31</v>
      </c>
      <c r="G66" s="96">
        <v>0.42099999999999999</v>
      </c>
      <c r="H66" s="98">
        <v>0.312</v>
      </c>
    </row>
    <row r="67" spans="2:8">
      <c r="B67" s="4"/>
      <c r="C67" s="97"/>
      <c r="D67" s="99"/>
      <c r="E67" s="97"/>
      <c r="F67" s="99"/>
      <c r="G67" s="97"/>
      <c r="H67" s="99"/>
    </row>
    <row r="68" spans="2:8">
      <c r="B68" s="4"/>
      <c r="C68" s="100">
        <v>8756</v>
      </c>
      <c r="D68" s="102">
        <v>10458</v>
      </c>
      <c r="E68" s="100">
        <v>8585</v>
      </c>
      <c r="F68" s="102">
        <v>10998</v>
      </c>
      <c r="G68" s="100">
        <v>8099</v>
      </c>
      <c r="H68" s="102">
        <v>10924</v>
      </c>
    </row>
    <row r="69" spans="2:8" ht="16.5" thickBot="1">
      <c r="B69" s="5"/>
      <c r="C69" s="101"/>
      <c r="D69" s="103"/>
      <c r="E69" s="101"/>
      <c r="F69" s="103"/>
      <c r="G69" s="101"/>
      <c r="H69" s="103"/>
    </row>
    <row r="70" spans="2:8" ht="33" customHeight="1">
      <c r="B70" s="104" t="s">
        <v>23</v>
      </c>
      <c r="C70" s="89">
        <v>7.6</v>
      </c>
      <c r="D70" s="95">
        <v>10.7</v>
      </c>
      <c r="E70" s="89">
        <v>7</v>
      </c>
      <c r="F70" s="95">
        <v>11.1</v>
      </c>
      <c r="G70" s="89">
        <v>6.6</v>
      </c>
      <c r="H70" s="95">
        <v>11.3</v>
      </c>
    </row>
    <row r="71" spans="2:8">
      <c r="B71" s="105"/>
      <c r="C71" s="92"/>
      <c r="D71" s="94"/>
      <c r="E71" s="92"/>
      <c r="F71" s="94"/>
      <c r="G71" s="92"/>
      <c r="H71" s="94"/>
    </row>
    <row r="72" spans="2:8">
      <c r="B72" s="105"/>
      <c r="C72" s="91">
        <v>1.6</v>
      </c>
      <c r="D72" s="93">
        <v>2</v>
      </c>
      <c r="E72" s="91">
        <v>1.4</v>
      </c>
      <c r="F72" s="93">
        <v>2.1</v>
      </c>
      <c r="G72" s="91">
        <v>1.2</v>
      </c>
      <c r="H72" s="93">
        <v>2</v>
      </c>
    </row>
    <row r="73" spans="2:8">
      <c r="B73" s="105"/>
      <c r="C73" s="92"/>
      <c r="D73" s="94"/>
      <c r="E73" s="92"/>
      <c r="F73" s="94"/>
      <c r="G73" s="92"/>
      <c r="H73" s="94"/>
    </row>
    <row r="74" spans="2:8">
      <c r="B74" s="105"/>
      <c r="C74" s="91">
        <v>6</v>
      </c>
      <c r="D74" s="93">
        <v>8.6999999999999993</v>
      </c>
      <c r="E74" s="91">
        <v>5.5</v>
      </c>
      <c r="F74" s="93">
        <v>9</v>
      </c>
      <c r="G74" s="91">
        <v>5.3</v>
      </c>
      <c r="H74" s="93">
        <v>9.3000000000000007</v>
      </c>
    </row>
    <row r="75" spans="2:8" ht="16.5" thickBot="1">
      <c r="B75" s="106"/>
      <c r="C75" s="81"/>
      <c r="D75" s="82"/>
      <c r="E75" s="81"/>
      <c r="F75" s="82"/>
      <c r="G75" s="81"/>
      <c r="H75" s="82"/>
    </row>
    <row r="76" spans="2:8" ht="48">
      <c r="B76" s="6" t="s">
        <v>24</v>
      </c>
      <c r="C76" s="89">
        <v>197</v>
      </c>
      <c r="D76" s="95">
        <v>20</v>
      </c>
      <c r="E76" s="89">
        <v>199</v>
      </c>
      <c r="F76" s="95">
        <v>20</v>
      </c>
      <c r="G76" s="89">
        <v>197</v>
      </c>
      <c r="H76" s="95">
        <v>20</v>
      </c>
    </row>
    <row r="77" spans="2:8">
      <c r="B77" s="4"/>
      <c r="C77" s="92"/>
      <c r="D77" s="94"/>
      <c r="E77" s="92"/>
      <c r="F77" s="94"/>
      <c r="G77" s="92"/>
      <c r="H77" s="94"/>
    </row>
    <row r="78" spans="2:8">
      <c r="B78" s="7" t="s">
        <v>25</v>
      </c>
      <c r="C78" s="100">
        <v>1434</v>
      </c>
      <c r="D78" s="93">
        <v>152</v>
      </c>
      <c r="E78" s="100">
        <v>1448</v>
      </c>
      <c r="F78" s="93">
        <v>158</v>
      </c>
      <c r="G78" s="100">
        <v>1361</v>
      </c>
      <c r="H78" s="93">
        <v>161</v>
      </c>
    </row>
    <row r="79" spans="2:8">
      <c r="B79" s="7" t="s">
        <v>26</v>
      </c>
      <c r="C79" s="107"/>
      <c r="D79" s="94"/>
      <c r="E79" s="107"/>
      <c r="F79" s="94"/>
      <c r="G79" s="107"/>
      <c r="H79" s="94"/>
    </row>
    <row r="80" spans="2:8">
      <c r="B80" s="4"/>
      <c r="C80" s="100">
        <v>1723</v>
      </c>
      <c r="D80" s="93">
        <v>206</v>
      </c>
      <c r="E80" s="100">
        <v>1710</v>
      </c>
      <c r="F80" s="93">
        <v>217</v>
      </c>
      <c r="G80" s="100">
        <v>1595</v>
      </c>
      <c r="H80" s="93">
        <v>218</v>
      </c>
    </row>
    <row r="81" spans="2:8">
      <c r="B81" s="4"/>
      <c r="C81" s="107"/>
      <c r="D81" s="94"/>
      <c r="E81" s="107"/>
      <c r="F81" s="94"/>
      <c r="G81" s="107"/>
      <c r="H81" s="94"/>
    </row>
    <row r="82" spans="2:8">
      <c r="B82" s="4"/>
      <c r="C82" s="91">
        <v>1.1999999999999999E-3</v>
      </c>
      <c r="D82" s="93">
        <v>2.2000000000000001E-3</v>
      </c>
      <c r="E82" s="91">
        <v>1.17E-2</v>
      </c>
      <c r="F82" s="93">
        <v>2.2000000000000001E-3</v>
      </c>
      <c r="G82" s="91">
        <v>4.1999999999999997E-3</v>
      </c>
      <c r="H82" s="93">
        <v>2.0999999999999999E-3</v>
      </c>
    </row>
    <row r="83" spans="2:8">
      <c r="B83" s="4"/>
      <c r="C83" s="92"/>
      <c r="D83" s="94"/>
      <c r="E83" s="92"/>
      <c r="F83" s="94"/>
      <c r="G83" s="92"/>
      <c r="H83" s="94"/>
    </row>
    <row r="84" spans="2:8">
      <c r="B84" s="4"/>
      <c r="C84" s="91">
        <v>8.9999999999999993E-3</v>
      </c>
      <c r="D84" s="93">
        <v>1.66E-2</v>
      </c>
      <c r="E84" s="91">
        <v>8.5199999999999998E-2</v>
      </c>
      <c r="F84" s="93">
        <v>1.7299999999999999E-2</v>
      </c>
      <c r="G84" s="91">
        <v>2.9000000000000001E-2</v>
      </c>
      <c r="H84" s="93">
        <v>1.7100000000000001E-2</v>
      </c>
    </row>
    <row r="85" spans="2:8">
      <c r="B85" s="4"/>
      <c r="C85" s="92"/>
      <c r="D85" s="94"/>
      <c r="E85" s="92"/>
      <c r="F85" s="94"/>
      <c r="G85" s="92"/>
      <c r="H85" s="94"/>
    </row>
    <row r="86" spans="2:8">
      <c r="B86" s="4"/>
      <c r="C86" s="91">
        <v>5.8999999999999997E-2</v>
      </c>
      <c r="D86" s="93">
        <v>4.9000000000000002E-2</v>
      </c>
      <c r="E86" s="91">
        <v>0.06</v>
      </c>
      <c r="F86" s="93">
        <v>4.9000000000000002E-2</v>
      </c>
      <c r="G86" s="91">
        <v>5.8999999999999997E-2</v>
      </c>
      <c r="H86" s="93">
        <v>4.9000000000000002E-2</v>
      </c>
    </row>
    <row r="87" spans="2:8">
      <c r="B87" s="4"/>
      <c r="C87" s="92"/>
      <c r="D87" s="94"/>
      <c r="E87" s="92"/>
      <c r="F87" s="94"/>
      <c r="G87" s="92"/>
      <c r="H87" s="94"/>
    </row>
    <row r="88" spans="2:8">
      <c r="B88" s="4"/>
      <c r="C88" s="91">
        <v>0.43</v>
      </c>
      <c r="D88" s="93">
        <v>0.376</v>
      </c>
      <c r="E88" s="91">
        <v>0.434</v>
      </c>
      <c r="F88" s="93">
        <v>0.39600000000000002</v>
      </c>
      <c r="G88" s="91">
        <v>0.40899999999999997</v>
      </c>
      <c r="H88" s="93">
        <v>0.39600000000000002</v>
      </c>
    </row>
    <row r="89" spans="2:8">
      <c r="B89" s="4"/>
      <c r="C89" s="92"/>
      <c r="D89" s="94"/>
      <c r="E89" s="92"/>
      <c r="F89" s="94"/>
      <c r="G89" s="92"/>
      <c r="H89" s="94"/>
    </row>
    <row r="90" spans="2:8">
      <c r="B90" s="4"/>
      <c r="C90" s="91">
        <v>7.1000000000000004E-3</v>
      </c>
      <c r="D90" s="93">
        <v>7.1000000000000004E-3</v>
      </c>
      <c r="E90" s="91">
        <v>7.1000000000000004E-3</v>
      </c>
      <c r="F90" s="93">
        <v>7.1000000000000004E-3</v>
      </c>
      <c r="G90" s="91">
        <v>7.1000000000000004E-3</v>
      </c>
      <c r="H90" s="93">
        <v>7.1000000000000004E-3</v>
      </c>
    </row>
    <row r="91" spans="2:8">
      <c r="B91" s="4"/>
      <c r="C91" s="92"/>
      <c r="D91" s="94"/>
      <c r="E91" s="92"/>
      <c r="F91" s="94"/>
      <c r="G91" s="92"/>
      <c r="H91" s="94"/>
    </row>
    <row r="92" spans="2:8">
      <c r="B92" s="4"/>
      <c r="C92" s="91">
        <v>5.1999999999999998E-2</v>
      </c>
      <c r="D92" s="93">
        <v>5.5E-2</v>
      </c>
      <c r="E92" s="91">
        <v>5.1999999999999998E-2</v>
      </c>
      <c r="F92" s="93">
        <v>5.7000000000000002E-2</v>
      </c>
      <c r="G92" s="91">
        <v>4.9000000000000002E-2</v>
      </c>
      <c r="H92" s="93">
        <v>5.7000000000000002E-2</v>
      </c>
    </row>
    <row r="93" spans="2:8">
      <c r="B93" s="4"/>
      <c r="C93" s="92"/>
      <c r="D93" s="94"/>
      <c r="E93" s="92"/>
      <c r="F93" s="94"/>
      <c r="G93" s="92"/>
      <c r="H93" s="94"/>
    </row>
    <row r="94" spans="2:8">
      <c r="B94" s="4"/>
      <c r="C94" s="91">
        <v>0.57099999999999995</v>
      </c>
      <c r="D94" s="93">
        <v>0.57099999999999995</v>
      </c>
      <c r="E94" s="91">
        <v>0.57099999999999995</v>
      </c>
      <c r="F94" s="93">
        <v>0.57099999999999995</v>
      </c>
      <c r="G94" s="91">
        <v>0.57099999999999995</v>
      </c>
      <c r="H94" s="93">
        <v>0.57099999999999995</v>
      </c>
    </row>
    <row r="95" spans="2:8">
      <c r="B95" s="4"/>
      <c r="C95" s="92"/>
      <c r="D95" s="94"/>
      <c r="E95" s="92"/>
      <c r="F95" s="94"/>
      <c r="G95" s="92"/>
      <c r="H95" s="94"/>
    </row>
    <row r="96" spans="2:8">
      <c r="B96" s="4"/>
      <c r="C96" s="129">
        <v>4.16E-6</v>
      </c>
      <c r="D96" s="131">
        <v>4.42E-6</v>
      </c>
      <c r="E96" s="129">
        <v>4.1500000000000001E-6</v>
      </c>
      <c r="F96" s="131">
        <v>4.5900000000000001E-6</v>
      </c>
      <c r="G96" s="129">
        <v>3.9500000000000003E-6</v>
      </c>
      <c r="H96" s="131">
        <v>4.6099999999999999E-6</v>
      </c>
    </row>
    <row r="97" spans="2:9" ht="16.5" thickBot="1">
      <c r="B97" s="5"/>
      <c r="C97" s="130"/>
      <c r="D97" s="132"/>
      <c r="E97" s="130"/>
      <c r="F97" s="132"/>
      <c r="G97" s="130"/>
      <c r="H97" s="132"/>
    </row>
    <row r="98" spans="2:9">
      <c r="B98" s="83" t="s">
        <v>27</v>
      </c>
      <c r="C98" s="84"/>
      <c r="D98" s="84"/>
      <c r="E98" s="84"/>
      <c r="F98" s="84"/>
      <c r="G98" s="84"/>
      <c r="H98" s="85"/>
    </row>
    <row r="99" spans="2:9" ht="16.5" thickBot="1">
      <c r="B99" s="86"/>
      <c r="C99" s="87"/>
      <c r="D99" s="87"/>
      <c r="E99" s="87"/>
      <c r="F99" s="87"/>
      <c r="G99" s="87"/>
      <c r="H99" s="88"/>
    </row>
    <row r="100" spans="2:9">
      <c r="B100" s="8" t="s">
        <v>28</v>
      </c>
      <c r="C100" s="109">
        <v>1987</v>
      </c>
      <c r="D100" s="90">
        <v>2711</v>
      </c>
      <c r="E100" s="109">
        <v>1913</v>
      </c>
      <c r="F100" s="90">
        <v>2817</v>
      </c>
      <c r="G100" s="109">
        <v>2217</v>
      </c>
      <c r="H100" s="90">
        <v>3181</v>
      </c>
      <c r="I100" s="11"/>
    </row>
    <row r="101" spans="2:9">
      <c r="B101" s="2"/>
      <c r="C101" s="107"/>
      <c r="D101" s="108"/>
      <c r="E101" s="107"/>
      <c r="F101" s="108"/>
      <c r="G101" s="107"/>
      <c r="H101" s="108"/>
    </row>
    <row r="102" spans="2:9" ht="21">
      <c r="B102" s="9" t="s">
        <v>29</v>
      </c>
      <c r="C102" s="100">
        <v>2447</v>
      </c>
      <c r="D102" s="102">
        <v>3334</v>
      </c>
      <c r="E102" s="100">
        <v>2351</v>
      </c>
      <c r="F102" s="102">
        <v>3466</v>
      </c>
      <c r="G102" s="100">
        <v>2716</v>
      </c>
      <c r="H102" s="102">
        <v>3904</v>
      </c>
      <c r="I102" s="11"/>
    </row>
    <row r="103" spans="2:9">
      <c r="B103" s="2"/>
      <c r="C103" s="107"/>
      <c r="D103" s="108"/>
      <c r="E103" s="107"/>
      <c r="F103" s="108"/>
      <c r="G103" s="107"/>
      <c r="H103" s="108"/>
    </row>
    <row r="104" spans="2:9" ht="24">
      <c r="B104" s="10" t="s">
        <v>30</v>
      </c>
      <c r="C104" s="100">
        <v>1528</v>
      </c>
      <c r="D104" s="102">
        <v>2032</v>
      </c>
      <c r="E104" s="100">
        <v>1470</v>
      </c>
      <c r="F104" s="102">
        <v>2113</v>
      </c>
      <c r="G104" s="100">
        <v>1695</v>
      </c>
      <c r="H104" s="102">
        <v>2385</v>
      </c>
    </row>
    <row r="105" spans="2:9">
      <c r="B105" s="2"/>
      <c r="C105" s="107"/>
      <c r="D105" s="108"/>
      <c r="E105" s="107"/>
      <c r="F105" s="108"/>
      <c r="G105" s="107"/>
      <c r="H105" s="108"/>
    </row>
    <row r="106" spans="2:9">
      <c r="B106" s="9" t="s">
        <v>31</v>
      </c>
      <c r="C106" s="91">
        <v>144</v>
      </c>
      <c r="D106" s="93">
        <v>191</v>
      </c>
      <c r="E106" s="91">
        <v>138</v>
      </c>
      <c r="F106" s="93">
        <v>199</v>
      </c>
      <c r="G106" s="91">
        <v>156</v>
      </c>
      <c r="H106" s="93">
        <v>221</v>
      </c>
    </row>
    <row r="107" spans="2:9">
      <c r="B107" s="2"/>
      <c r="C107" s="92"/>
      <c r="D107" s="94"/>
      <c r="E107" s="92"/>
      <c r="F107" s="94"/>
      <c r="G107" s="92"/>
      <c r="H107" s="94"/>
    </row>
    <row r="108" spans="2:9">
      <c r="B108" s="10" t="s">
        <v>32</v>
      </c>
      <c r="C108" s="91">
        <v>265</v>
      </c>
      <c r="D108" s="93">
        <v>369</v>
      </c>
      <c r="E108" s="91">
        <v>256</v>
      </c>
      <c r="F108" s="93">
        <v>385</v>
      </c>
      <c r="G108" s="91">
        <v>302</v>
      </c>
      <c r="H108" s="93">
        <v>444</v>
      </c>
    </row>
    <row r="109" spans="2:9">
      <c r="B109" s="2"/>
      <c r="C109" s="92"/>
      <c r="D109" s="94"/>
      <c r="E109" s="92"/>
      <c r="F109" s="94"/>
      <c r="G109" s="92"/>
      <c r="H109" s="94"/>
    </row>
    <row r="110" spans="2:9">
      <c r="B110" s="2"/>
      <c r="C110" s="91">
        <v>50</v>
      </c>
      <c r="D110" s="93">
        <v>119</v>
      </c>
      <c r="E110" s="91">
        <v>50</v>
      </c>
      <c r="F110" s="93">
        <v>120</v>
      </c>
      <c r="G110" s="91">
        <v>63</v>
      </c>
      <c r="H110" s="93">
        <v>131</v>
      </c>
    </row>
    <row r="111" spans="2:9">
      <c r="B111" s="2"/>
      <c r="C111" s="92"/>
      <c r="D111" s="94"/>
      <c r="E111" s="92"/>
      <c r="F111" s="94"/>
      <c r="G111" s="92"/>
      <c r="H111" s="94"/>
    </row>
    <row r="112" spans="2:9">
      <c r="B112" s="2"/>
      <c r="C112" s="91">
        <v>460</v>
      </c>
      <c r="D112" s="93">
        <v>623</v>
      </c>
      <c r="E112" s="91">
        <v>438</v>
      </c>
      <c r="F112" s="93">
        <v>649</v>
      </c>
      <c r="G112" s="91">
        <v>500</v>
      </c>
      <c r="H112" s="93">
        <v>723</v>
      </c>
    </row>
    <row r="113" spans="2:8">
      <c r="B113" s="2"/>
      <c r="C113" s="92"/>
      <c r="D113" s="94"/>
      <c r="E113" s="92"/>
      <c r="F113" s="94"/>
      <c r="G113" s="92"/>
      <c r="H113" s="94"/>
    </row>
    <row r="114" spans="2:8">
      <c r="B114" s="2"/>
      <c r="C114" s="100">
        <v>1521880</v>
      </c>
      <c r="D114" s="102">
        <v>1811411</v>
      </c>
      <c r="E114" s="100">
        <v>1469577</v>
      </c>
      <c r="F114" s="102">
        <v>1780290</v>
      </c>
      <c r="G114" s="100">
        <v>1708524</v>
      </c>
      <c r="H114" s="102">
        <v>1939878</v>
      </c>
    </row>
    <row r="115" spans="2:8">
      <c r="B115" s="2"/>
      <c r="C115" s="107"/>
      <c r="D115" s="108"/>
      <c r="E115" s="107"/>
      <c r="F115" s="108"/>
      <c r="G115" s="107"/>
      <c r="H115" s="108"/>
    </row>
    <row r="116" spans="2:8">
      <c r="B116" s="2"/>
      <c r="C116" s="100">
        <v>2789</v>
      </c>
      <c r="D116" s="102">
        <v>3801</v>
      </c>
      <c r="E116" s="100">
        <v>2680</v>
      </c>
      <c r="F116" s="102">
        <v>3952</v>
      </c>
      <c r="G116" s="100">
        <v>3097</v>
      </c>
      <c r="H116" s="102">
        <v>4451</v>
      </c>
    </row>
    <row r="117" spans="2:8">
      <c r="B117" s="2"/>
      <c r="C117" s="107"/>
      <c r="D117" s="108"/>
      <c r="E117" s="107"/>
      <c r="F117" s="108"/>
      <c r="G117" s="107"/>
      <c r="H117" s="108"/>
    </row>
    <row r="118" spans="2:8">
      <c r="B118" s="2"/>
      <c r="C118" s="91">
        <v>76.3</v>
      </c>
      <c r="D118" s="93">
        <v>105.6</v>
      </c>
      <c r="E118" s="91">
        <v>74</v>
      </c>
      <c r="F118" s="93">
        <v>110.3</v>
      </c>
      <c r="G118" s="91">
        <v>81.3</v>
      </c>
      <c r="H118" s="93">
        <v>119.4</v>
      </c>
    </row>
    <row r="119" spans="2:8">
      <c r="B119" s="2"/>
      <c r="C119" s="92"/>
      <c r="D119" s="94"/>
      <c r="E119" s="92"/>
      <c r="F119" s="94"/>
      <c r="G119" s="92"/>
      <c r="H119" s="94"/>
    </row>
    <row r="120" spans="2:8">
      <c r="B120" s="2"/>
      <c r="C120" s="125">
        <v>0</v>
      </c>
      <c r="D120" s="127">
        <v>5.2</v>
      </c>
      <c r="E120" s="125">
        <v>0</v>
      </c>
      <c r="F120" s="127">
        <v>5.5</v>
      </c>
      <c r="G120" s="125">
        <v>0</v>
      </c>
      <c r="H120" s="127">
        <v>5.6</v>
      </c>
    </row>
    <row r="121" spans="2:8">
      <c r="B121" s="2"/>
      <c r="C121" s="126"/>
      <c r="D121" s="128"/>
      <c r="E121" s="126"/>
      <c r="F121" s="128"/>
      <c r="G121" s="126"/>
      <c r="H121" s="128"/>
    </row>
    <row r="122" spans="2:8">
      <c r="B122" s="2"/>
      <c r="C122" s="125">
        <v>14.3</v>
      </c>
      <c r="D122" s="127">
        <v>17.100000000000001</v>
      </c>
      <c r="E122" s="125">
        <v>14</v>
      </c>
      <c r="F122" s="127">
        <v>18</v>
      </c>
      <c r="G122" s="125">
        <v>13.3</v>
      </c>
      <c r="H122" s="127">
        <v>17.899999999999999</v>
      </c>
    </row>
    <row r="123" spans="2:8">
      <c r="B123" s="2"/>
      <c r="C123" s="126"/>
      <c r="D123" s="128"/>
      <c r="E123" s="126"/>
      <c r="F123" s="128"/>
      <c r="G123" s="126"/>
      <c r="H123" s="128"/>
    </row>
    <row r="124" spans="2:8">
      <c r="B124" s="2"/>
      <c r="C124" s="125">
        <v>7.3</v>
      </c>
      <c r="D124" s="127">
        <v>9.3000000000000007</v>
      </c>
      <c r="E124" s="125">
        <v>7.2</v>
      </c>
      <c r="F124" s="127">
        <v>9.8000000000000007</v>
      </c>
      <c r="G124" s="125">
        <v>7.8</v>
      </c>
      <c r="H124" s="127">
        <v>9.9</v>
      </c>
    </row>
    <row r="125" spans="2:8">
      <c r="B125" s="2"/>
      <c r="C125" s="126"/>
      <c r="D125" s="128"/>
      <c r="E125" s="126"/>
      <c r="F125" s="128"/>
      <c r="G125" s="126"/>
      <c r="H125" s="128"/>
    </row>
    <row r="126" spans="2:8">
      <c r="B126" s="2"/>
      <c r="C126" s="125">
        <v>11.3</v>
      </c>
      <c r="D126" s="127">
        <v>14.8</v>
      </c>
      <c r="E126" s="125">
        <v>11.1</v>
      </c>
      <c r="F126" s="127">
        <v>15.5</v>
      </c>
      <c r="G126" s="125">
        <v>12.1</v>
      </c>
      <c r="H126" s="127">
        <v>16.7</v>
      </c>
    </row>
    <row r="127" spans="2:8">
      <c r="B127" s="2"/>
      <c r="C127" s="126"/>
      <c r="D127" s="128"/>
      <c r="E127" s="126"/>
      <c r="F127" s="128"/>
      <c r="G127" s="126"/>
      <c r="H127" s="128"/>
    </row>
    <row r="128" spans="2:8">
      <c r="B128" s="2"/>
      <c r="C128" s="125">
        <v>43.4</v>
      </c>
      <c r="D128" s="127">
        <v>59.1</v>
      </c>
      <c r="E128" s="125">
        <v>41.7</v>
      </c>
      <c r="F128" s="127">
        <v>61.5</v>
      </c>
      <c r="G128" s="125">
        <v>48.2</v>
      </c>
      <c r="H128" s="127">
        <v>69.2</v>
      </c>
    </row>
    <row r="129" spans="1:8">
      <c r="B129" s="2"/>
      <c r="C129" s="126"/>
      <c r="D129" s="128"/>
      <c r="E129" s="126"/>
      <c r="F129" s="128"/>
      <c r="G129" s="126"/>
      <c r="H129" s="128"/>
    </row>
    <row r="130" spans="1:8">
      <c r="B130" s="2"/>
      <c r="C130" s="91">
        <v>96.7</v>
      </c>
      <c r="D130" s="93">
        <v>133.9</v>
      </c>
      <c r="E130" s="91">
        <v>93.8</v>
      </c>
      <c r="F130" s="93">
        <v>139.9</v>
      </c>
      <c r="G130" s="91">
        <v>103.1</v>
      </c>
      <c r="H130" s="93">
        <v>151.4</v>
      </c>
    </row>
    <row r="131" spans="1:8" ht="16.5" thickBot="1">
      <c r="B131" s="3"/>
      <c r="C131" s="81"/>
      <c r="D131" s="82"/>
      <c r="E131" s="81"/>
      <c r="F131" s="82"/>
      <c r="G131" s="81"/>
      <c r="H131" s="82"/>
    </row>
    <row r="133" spans="1:8">
      <c r="A133" t="s">
        <v>48</v>
      </c>
      <c r="B133" t="s">
        <v>49</v>
      </c>
    </row>
    <row r="134" spans="1:8">
      <c r="B134" s="110"/>
      <c r="C134" s="113" t="s">
        <v>36</v>
      </c>
      <c r="D134" s="133"/>
      <c r="E134" s="133"/>
      <c r="F134" s="114"/>
    </row>
    <row r="135" spans="1:8" ht="16.5" thickBot="1">
      <c r="B135" s="111"/>
      <c r="C135" s="115"/>
      <c r="D135" s="134"/>
      <c r="E135" s="134"/>
      <c r="F135" s="116"/>
    </row>
    <row r="136" spans="1:8">
      <c r="B136" s="111"/>
      <c r="C136" s="117" t="s">
        <v>37</v>
      </c>
      <c r="D136" s="118"/>
      <c r="E136" s="117" t="s">
        <v>38</v>
      </c>
      <c r="F136" s="118"/>
    </row>
    <row r="137" spans="1:8" ht="16.5" thickBot="1">
      <c r="B137" s="112"/>
      <c r="C137" s="115"/>
      <c r="D137" s="116"/>
      <c r="E137" s="115"/>
      <c r="F137" s="116"/>
    </row>
    <row r="138" spans="1:8">
      <c r="B138" s="104" t="s">
        <v>8</v>
      </c>
      <c r="C138" s="119" t="s">
        <v>39</v>
      </c>
      <c r="D138" s="104" t="s">
        <v>40</v>
      </c>
      <c r="E138" s="119" t="s">
        <v>41</v>
      </c>
      <c r="F138" s="104" t="s">
        <v>42</v>
      </c>
    </row>
    <row r="139" spans="1:8" ht="16.5" thickBot="1">
      <c r="B139" s="106"/>
      <c r="C139" s="120"/>
      <c r="D139" s="106"/>
      <c r="E139" s="120"/>
      <c r="F139" s="106"/>
    </row>
    <row r="140" spans="1:8">
      <c r="B140" s="104" t="s">
        <v>14</v>
      </c>
      <c r="C140" s="121">
        <v>0</v>
      </c>
      <c r="D140" s="123">
        <v>0.9</v>
      </c>
      <c r="E140" s="121">
        <v>0</v>
      </c>
      <c r="F140" s="123">
        <v>0.9</v>
      </c>
    </row>
    <row r="141" spans="1:8" ht="16.5" thickBot="1">
      <c r="B141" s="106"/>
      <c r="C141" s="122"/>
      <c r="D141" s="124"/>
      <c r="E141" s="122"/>
      <c r="F141" s="124"/>
    </row>
    <row r="142" spans="1:8">
      <c r="B142" s="6" t="s">
        <v>15</v>
      </c>
      <c r="C142" s="109">
        <v>582600</v>
      </c>
      <c r="D142" s="90">
        <v>672700</v>
      </c>
      <c r="E142" s="109">
        <v>580400</v>
      </c>
      <c r="F142" s="90">
        <v>662800</v>
      </c>
    </row>
    <row r="143" spans="1:8">
      <c r="B143" s="7" t="s">
        <v>16</v>
      </c>
      <c r="C143" s="107"/>
      <c r="D143" s="108"/>
      <c r="E143" s="107"/>
      <c r="F143" s="108"/>
    </row>
    <row r="144" spans="1:8">
      <c r="B144" s="7" t="s">
        <v>17</v>
      </c>
      <c r="C144" s="100">
        <v>32580</v>
      </c>
      <c r="D144" s="102">
        <v>122740</v>
      </c>
      <c r="E144" s="100">
        <v>30410</v>
      </c>
      <c r="F144" s="102">
        <v>112830</v>
      </c>
    </row>
    <row r="145" spans="2:6">
      <c r="B145" s="7" t="s">
        <v>18</v>
      </c>
      <c r="C145" s="107"/>
      <c r="D145" s="108"/>
      <c r="E145" s="107"/>
      <c r="F145" s="108"/>
    </row>
    <row r="146" spans="2:6">
      <c r="B146" s="7" t="s">
        <v>19</v>
      </c>
      <c r="C146" s="100">
        <v>550020</v>
      </c>
      <c r="D146" s="102">
        <v>549960</v>
      </c>
      <c r="E146" s="100">
        <v>549990</v>
      </c>
      <c r="F146" s="102">
        <v>549970</v>
      </c>
    </row>
    <row r="147" spans="2:6">
      <c r="B147" s="7" t="s">
        <v>20</v>
      </c>
      <c r="C147" s="107"/>
      <c r="D147" s="108"/>
      <c r="E147" s="107"/>
      <c r="F147" s="108"/>
    </row>
    <row r="148" spans="2:6">
      <c r="B148" s="7" t="s">
        <v>21</v>
      </c>
      <c r="C148" s="100">
        <v>437378</v>
      </c>
      <c r="D148" s="102">
        <v>614994</v>
      </c>
      <c r="E148" s="100">
        <v>409528</v>
      </c>
      <c r="F148" s="102">
        <v>565820</v>
      </c>
    </row>
    <row r="149" spans="2:6">
      <c r="B149" s="4"/>
      <c r="C149" s="107"/>
      <c r="D149" s="108"/>
      <c r="E149" s="107"/>
      <c r="F149" s="108"/>
    </row>
    <row r="150" spans="2:6">
      <c r="B150" s="4"/>
      <c r="C150" s="91" t="s">
        <v>22</v>
      </c>
      <c r="D150" s="93" t="s">
        <v>22</v>
      </c>
      <c r="E150" s="91" t="s">
        <v>22</v>
      </c>
      <c r="F150" s="93" t="s">
        <v>22</v>
      </c>
    </row>
    <row r="151" spans="2:6">
      <c r="B151" s="4"/>
      <c r="C151" s="92"/>
      <c r="D151" s="94"/>
      <c r="E151" s="92"/>
      <c r="F151" s="94"/>
    </row>
    <row r="152" spans="2:6">
      <c r="B152" s="4"/>
      <c r="C152" s="100">
        <v>1495379</v>
      </c>
      <c r="D152" s="102">
        <v>2102643</v>
      </c>
      <c r="E152" s="100">
        <v>1400162</v>
      </c>
      <c r="F152" s="102">
        <v>1934519</v>
      </c>
    </row>
    <row r="153" spans="2:6">
      <c r="B153" s="4"/>
      <c r="C153" s="107"/>
      <c r="D153" s="108"/>
      <c r="E153" s="107"/>
      <c r="F153" s="108"/>
    </row>
    <row r="154" spans="2:6">
      <c r="B154" s="4"/>
      <c r="C154" s="96">
        <v>0.36799999999999999</v>
      </c>
      <c r="D154" s="98">
        <v>0.26200000000000001</v>
      </c>
      <c r="E154" s="96">
        <v>0.39300000000000002</v>
      </c>
      <c r="F154" s="98">
        <v>0.28399999999999997</v>
      </c>
    </row>
    <row r="155" spans="2:6">
      <c r="B155" s="4"/>
      <c r="C155" s="97"/>
      <c r="D155" s="99"/>
      <c r="E155" s="97"/>
      <c r="F155" s="99"/>
    </row>
    <row r="156" spans="2:6">
      <c r="B156" s="4"/>
      <c r="C156" s="100">
        <v>9277</v>
      </c>
      <c r="D156" s="102">
        <v>13046</v>
      </c>
      <c r="E156" s="100">
        <v>8687</v>
      </c>
      <c r="F156" s="102">
        <v>12002</v>
      </c>
    </row>
    <row r="157" spans="2:6" ht="16.5" thickBot="1">
      <c r="B157" s="5"/>
      <c r="C157" s="101"/>
      <c r="D157" s="103"/>
      <c r="E157" s="101"/>
      <c r="F157" s="103"/>
    </row>
    <row r="158" spans="2:6">
      <c r="B158" s="104" t="s">
        <v>43</v>
      </c>
      <c r="C158" s="89">
        <v>10.7</v>
      </c>
      <c r="D158" s="95">
        <v>20.399999999999999</v>
      </c>
      <c r="E158" s="89">
        <v>9.6999999999999993</v>
      </c>
      <c r="F158" s="95">
        <v>18.3</v>
      </c>
    </row>
    <row r="159" spans="2:6">
      <c r="B159" s="105"/>
      <c r="C159" s="92"/>
      <c r="D159" s="94"/>
      <c r="E159" s="92"/>
      <c r="F159" s="94"/>
    </row>
    <row r="160" spans="2:6">
      <c r="B160" s="105"/>
      <c r="C160" s="91">
        <v>2.2000000000000002</v>
      </c>
      <c r="D160" s="93">
        <v>4.7</v>
      </c>
      <c r="E160" s="91">
        <v>2</v>
      </c>
      <c r="F160" s="93">
        <v>4.3</v>
      </c>
    </row>
    <row r="161" spans="2:6">
      <c r="B161" s="105"/>
      <c r="C161" s="92"/>
      <c r="D161" s="94"/>
      <c r="E161" s="92"/>
      <c r="F161" s="94"/>
    </row>
    <row r="162" spans="2:6">
      <c r="B162" s="105"/>
      <c r="C162" s="91">
        <v>8.5</v>
      </c>
      <c r="D162" s="93">
        <v>15.7</v>
      </c>
      <c r="E162" s="91">
        <v>7.7</v>
      </c>
      <c r="F162" s="93">
        <v>14.1</v>
      </c>
    </row>
    <row r="163" spans="2:6" ht="16.5" thickBot="1">
      <c r="B163" s="106"/>
      <c r="C163" s="81"/>
      <c r="D163" s="82"/>
      <c r="E163" s="81"/>
      <c r="F163" s="82"/>
    </row>
    <row r="164" spans="2:6" ht="48">
      <c r="B164" s="6" t="s">
        <v>44</v>
      </c>
      <c r="C164" s="89">
        <v>204</v>
      </c>
      <c r="D164" s="95">
        <v>20</v>
      </c>
      <c r="E164" s="89">
        <v>204</v>
      </c>
      <c r="F164" s="95">
        <v>20</v>
      </c>
    </row>
    <row r="165" spans="2:6">
      <c r="B165" s="4"/>
      <c r="C165" s="92"/>
      <c r="D165" s="94"/>
      <c r="E165" s="92"/>
      <c r="F165" s="94"/>
    </row>
    <row r="166" spans="2:6">
      <c r="B166" s="7" t="s">
        <v>25</v>
      </c>
      <c r="C166" s="100">
        <v>1783</v>
      </c>
      <c r="D166" s="93">
        <v>217</v>
      </c>
      <c r="E166" s="100">
        <v>1675</v>
      </c>
      <c r="F166" s="93">
        <v>203</v>
      </c>
    </row>
    <row r="167" spans="2:6">
      <c r="B167" s="7" t="s">
        <v>45</v>
      </c>
      <c r="C167" s="107"/>
      <c r="D167" s="94"/>
      <c r="E167" s="107"/>
      <c r="F167" s="94"/>
    </row>
    <row r="168" spans="2:6">
      <c r="B168" s="4"/>
      <c r="C168" s="100">
        <v>1888</v>
      </c>
      <c r="D168" s="93">
        <v>266</v>
      </c>
      <c r="E168" s="100">
        <v>1768</v>
      </c>
      <c r="F168" s="93">
        <v>244</v>
      </c>
    </row>
    <row r="169" spans="2:6">
      <c r="B169" s="4"/>
      <c r="C169" s="107"/>
      <c r="D169" s="94"/>
      <c r="E169" s="107"/>
      <c r="F169" s="94"/>
    </row>
    <row r="170" spans="2:6">
      <c r="B170" s="4"/>
      <c r="C170" s="91">
        <v>8.5800000000000001E-2</v>
      </c>
      <c r="D170" s="93">
        <v>1.6999999999999999E-3</v>
      </c>
      <c r="E170" s="91">
        <v>8.5800000000000001E-2</v>
      </c>
      <c r="F170" s="93">
        <v>1.6000000000000001E-3</v>
      </c>
    </row>
    <row r="171" spans="2:6">
      <c r="B171" s="4"/>
      <c r="C171" s="92"/>
      <c r="D171" s="94"/>
      <c r="E171" s="92"/>
      <c r="F171" s="94"/>
    </row>
    <row r="172" spans="2:6">
      <c r="B172" s="4"/>
      <c r="C172" s="91">
        <v>0.75149999999999995</v>
      </c>
      <c r="D172" s="93">
        <v>1.7600000000000001E-2</v>
      </c>
      <c r="E172" s="91">
        <v>0.70630000000000004</v>
      </c>
      <c r="F172" s="93">
        <v>1.6199999999999999E-2</v>
      </c>
    </row>
    <row r="173" spans="2:6">
      <c r="B173" s="4"/>
      <c r="C173" s="92"/>
      <c r="D173" s="94"/>
      <c r="E173" s="92"/>
      <c r="F173" s="94"/>
    </row>
    <row r="174" spans="2:6">
      <c r="B174" s="4"/>
      <c r="C174" s="91">
        <v>7.0000000000000007E-2</v>
      </c>
      <c r="D174" s="93">
        <v>7.0000000000000007E-2</v>
      </c>
      <c r="E174" s="91">
        <v>7.0000000000000007E-2</v>
      </c>
      <c r="F174" s="93">
        <v>7.0000000000000007E-2</v>
      </c>
    </row>
    <row r="175" spans="2:6">
      <c r="B175" s="4"/>
      <c r="C175" s="92"/>
      <c r="D175" s="94"/>
      <c r="E175" s="92"/>
      <c r="F175" s="94"/>
    </row>
    <row r="176" spans="2:6">
      <c r="B176" s="4"/>
      <c r="C176" s="91">
        <v>0.61299999999999999</v>
      </c>
      <c r="D176" s="93">
        <v>0.747</v>
      </c>
      <c r="E176" s="91">
        <v>0.57599999999999996</v>
      </c>
      <c r="F176" s="93">
        <v>0.69699999999999995</v>
      </c>
    </row>
    <row r="177" spans="2:6">
      <c r="B177" s="4"/>
      <c r="C177" s="92"/>
      <c r="D177" s="94"/>
      <c r="E177" s="92"/>
      <c r="F177" s="94"/>
    </row>
    <row r="178" spans="2:6">
      <c r="B178" s="4"/>
      <c r="C178" s="91">
        <v>1.2999999999999999E-2</v>
      </c>
      <c r="D178" s="93">
        <v>1.2999999999999999E-2</v>
      </c>
      <c r="E178" s="91">
        <v>1.2999999999999999E-2</v>
      </c>
      <c r="F178" s="93">
        <v>1.2999999999999999E-2</v>
      </c>
    </row>
    <row r="179" spans="2:6">
      <c r="B179" s="4"/>
      <c r="C179" s="92"/>
      <c r="D179" s="94"/>
      <c r="E179" s="92"/>
      <c r="F179" s="94"/>
    </row>
    <row r="180" spans="2:6">
      <c r="B180" s="4"/>
      <c r="C180" s="91">
        <v>0.114</v>
      </c>
      <c r="D180" s="93">
        <v>0.13900000000000001</v>
      </c>
      <c r="E180" s="91">
        <v>0.107</v>
      </c>
      <c r="F180" s="93">
        <v>0.129</v>
      </c>
    </row>
    <row r="181" spans="2:6">
      <c r="B181" s="4"/>
      <c r="C181" s="92"/>
      <c r="D181" s="94"/>
      <c r="E181" s="92"/>
      <c r="F181" s="94"/>
    </row>
    <row r="182" spans="2:6">
      <c r="B182" s="4"/>
      <c r="C182" s="91">
        <v>1.143</v>
      </c>
      <c r="D182" s="93">
        <v>1.143</v>
      </c>
      <c r="E182" s="91">
        <v>1.143</v>
      </c>
      <c r="F182" s="93">
        <v>1.143</v>
      </c>
    </row>
    <row r="183" spans="2:6">
      <c r="B183" s="4"/>
      <c r="C183" s="92"/>
      <c r="D183" s="94"/>
      <c r="E183" s="92"/>
      <c r="F183" s="94"/>
    </row>
    <row r="184" spans="2:6">
      <c r="B184" s="4"/>
      <c r="C184" s="129">
        <v>1.0000000000000001E-5</v>
      </c>
      <c r="D184" s="131">
        <v>1.22E-5</v>
      </c>
      <c r="E184" s="129">
        <v>9.4099999999999997E-6</v>
      </c>
      <c r="F184" s="131">
        <v>1.1399999999999999E-5</v>
      </c>
    </row>
    <row r="185" spans="2:6" ht="16.5" thickBot="1">
      <c r="B185" s="5"/>
      <c r="C185" s="130"/>
      <c r="D185" s="132"/>
      <c r="E185" s="130"/>
      <c r="F185" s="132"/>
    </row>
    <row r="186" spans="2:6">
      <c r="B186" s="83" t="s">
        <v>27</v>
      </c>
      <c r="C186" s="84"/>
      <c r="D186" s="84"/>
      <c r="E186" s="84"/>
      <c r="F186" s="85"/>
    </row>
    <row r="187" spans="2:6" ht="16.5" thickBot="1">
      <c r="B187" s="86"/>
      <c r="C187" s="87"/>
      <c r="D187" s="87"/>
      <c r="E187" s="87"/>
      <c r="F187" s="88"/>
    </row>
    <row r="188" spans="2:6">
      <c r="B188" s="8" t="s">
        <v>28</v>
      </c>
      <c r="C188" s="109">
        <v>1622</v>
      </c>
      <c r="D188" s="90">
        <v>2942</v>
      </c>
      <c r="E188" s="109">
        <v>1647</v>
      </c>
      <c r="F188" s="90">
        <v>2913</v>
      </c>
    </row>
    <row r="189" spans="2:6">
      <c r="B189" s="2"/>
      <c r="C189" s="107"/>
      <c r="D189" s="108"/>
      <c r="E189" s="107"/>
      <c r="F189" s="108"/>
    </row>
    <row r="190" spans="2:6" ht="21">
      <c r="B190" s="9" t="s">
        <v>29</v>
      </c>
      <c r="C190" s="100">
        <v>1996</v>
      </c>
      <c r="D190" s="102">
        <v>3610</v>
      </c>
      <c r="E190" s="100">
        <v>2024</v>
      </c>
      <c r="F190" s="102">
        <v>3570</v>
      </c>
    </row>
    <row r="191" spans="2:6">
      <c r="B191" s="2"/>
      <c r="C191" s="107"/>
      <c r="D191" s="108"/>
      <c r="E191" s="107"/>
      <c r="F191" s="108"/>
    </row>
    <row r="192" spans="2:6" ht="24">
      <c r="B192" s="10" t="s">
        <v>46</v>
      </c>
      <c r="C192" s="100">
        <v>1317</v>
      </c>
      <c r="D192" s="102">
        <v>2255</v>
      </c>
      <c r="E192" s="100">
        <v>1345</v>
      </c>
      <c r="F192" s="102">
        <v>2239</v>
      </c>
    </row>
    <row r="193" spans="2:6">
      <c r="B193" s="2"/>
      <c r="C193" s="107"/>
      <c r="D193" s="108"/>
      <c r="E193" s="107"/>
      <c r="F193" s="108"/>
    </row>
    <row r="194" spans="2:6">
      <c r="B194" s="9" t="s">
        <v>31</v>
      </c>
      <c r="C194" s="91">
        <v>124</v>
      </c>
      <c r="D194" s="93">
        <v>213</v>
      </c>
      <c r="E194" s="91">
        <v>127</v>
      </c>
      <c r="F194" s="93">
        <v>211</v>
      </c>
    </row>
    <row r="195" spans="2:6">
      <c r="B195" s="2"/>
      <c r="C195" s="92"/>
      <c r="D195" s="94"/>
      <c r="E195" s="92"/>
      <c r="F195" s="94"/>
    </row>
    <row r="196" spans="2:6">
      <c r="B196" s="10" t="s">
        <v>47</v>
      </c>
      <c r="C196" s="91">
        <v>182</v>
      </c>
      <c r="D196" s="93">
        <v>369</v>
      </c>
      <c r="E196" s="91">
        <v>176</v>
      </c>
      <c r="F196" s="93">
        <v>362</v>
      </c>
    </row>
    <row r="197" spans="2:6">
      <c r="B197" s="2"/>
      <c r="C197" s="92"/>
      <c r="D197" s="94"/>
      <c r="E197" s="92"/>
      <c r="F197" s="94"/>
    </row>
    <row r="198" spans="2:6">
      <c r="B198" s="2"/>
      <c r="C198" s="91">
        <v>0</v>
      </c>
      <c r="D198" s="93">
        <v>105</v>
      </c>
      <c r="E198" s="91">
        <v>0</v>
      </c>
      <c r="F198" s="93">
        <v>100</v>
      </c>
    </row>
    <row r="199" spans="2:6">
      <c r="B199" s="2"/>
      <c r="C199" s="92"/>
      <c r="D199" s="94"/>
      <c r="E199" s="92"/>
      <c r="F199" s="94"/>
    </row>
    <row r="200" spans="2:6">
      <c r="B200" s="2"/>
      <c r="C200" s="91">
        <v>374</v>
      </c>
      <c r="D200" s="93">
        <v>667</v>
      </c>
      <c r="E200" s="91">
        <v>377</v>
      </c>
      <c r="F200" s="93">
        <v>657</v>
      </c>
    </row>
    <row r="201" spans="2:6">
      <c r="B201" s="2"/>
      <c r="C201" s="92"/>
      <c r="D201" s="94"/>
      <c r="E201" s="92"/>
      <c r="F201" s="94"/>
    </row>
    <row r="202" spans="2:6">
      <c r="B202" s="2"/>
      <c r="C202" s="100">
        <v>1098124</v>
      </c>
      <c r="D202" s="102">
        <v>1985432</v>
      </c>
      <c r="E202" s="100">
        <v>1113445</v>
      </c>
      <c r="F202" s="102">
        <v>1963644</v>
      </c>
    </row>
    <row r="203" spans="2:6">
      <c r="B203" s="2"/>
      <c r="C203" s="107"/>
      <c r="D203" s="108"/>
      <c r="E203" s="107"/>
      <c r="F203" s="108"/>
    </row>
    <row r="204" spans="2:6">
      <c r="B204" s="2"/>
      <c r="C204" s="100">
        <v>2264</v>
      </c>
      <c r="D204" s="102">
        <v>4115</v>
      </c>
      <c r="E204" s="100">
        <v>2296</v>
      </c>
      <c r="F204" s="102">
        <v>4070</v>
      </c>
    </row>
    <row r="205" spans="2:6">
      <c r="B205" s="2"/>
      <c r="C205" s="107"/>
      <c r="D205" s="108"/>
      <c r="E205" s="107"/>
      <c r="F205" s="108"/>
    </row>
    <row r="206" spans="2:6">
      <c r="B206" s="2"/>
      <c r="C206" s="91">
        <v>59.4</v>
      </c>
      <c r="D206" s="93">
        <v>109.6</v>
      </c>
      <c r="E206" s="91">
        <v>58.9</v>
      </c>
      <c r="F206" s="93">
        <v>106.5</v>
      </c>
    </row>
    <row r="207" spans="2:6">
      <c r="B207" s="2"/>
      <c r="C207" s="92"/>
      <c r="D207" s="94"/>
      <c r="E207" s="92"/>
      <c r="F207" s="94"/>
    </row>
    <row r="208" spans="2:6">
      <c r="B208" s="2"/>
      <c r="C208" s="125">
        <v>0</v>
      </c>
      <c r="D208" s="127">
        <v>5.8</v>
      </c>
      <c r="E208" s="125">
        <v>0</v>
      </c>
      <c r="F208" s="127">
        <v>5.6</v>
      </c>
    </row>
    <row r="209" spans="1:6">
      <c r="B209" s="2"/>
      <c r="C209" s="126"/>
      <c r="D209" s="128"/>
      <c r="E209" s="126"/>
      <c r="F209" s="128"/>
    </row>
    <row r="210" spans="1:6">
      <c r="B210" s="2"/>
      <c r="C210" s="125">
        <v>15.2</v>
      </c>
      <c r="D210" s="127">
        <v>21.3</v>
      </c>
      <c r="E210" s="125">
        <v>14.2</v>
      </c>
      <c r="F210" s="127">
        <v>19.600000000000001</v>
      </c>
    </row>
    <row r="211" spans="1:6">
      <c r="B211" s="2"/>
      <c r="C211" s="126"/>
      <c r="D211" s="128"/>
      <c r="E211" s="126"/>
      <c r="F211" s="128"/>
    </row>
    <row r="212" spans="1:6">
      <c r="B212" s="2"/>
      <c r="C212" s="125">
        <v>5.0999999999999996</v>
      </c>
      <c r="D212" s="127">
        <v>9.1999999999999993</v>
      </c>
      <c r="E212" s="125">
        <v>5</v>
      </c>
      <c r="F212" s="127">
        <v>8.6999999999999993</v>
      </c>
    </row>
    <row r="213" spans="1:6">
      <c r="B213" s="2"/>
      <c r="C213" s="126"/>
      <c r="D213" s="128"/>
      <c r="E213" s="126"/>
      <c r="F213" s="128"/>
    </row>
    <row r="214" spans="1:6">
      <c r="B214" s="2"/>
      <c r="C214" s="125">
        <v>7.8</v>
      </c>
      <c r="D214" s="127">
        <v>13.1</v>
      </c>
      <c r="E214" s="125">
        <v>8</v>
      </c>
      <c r="F214" s="127">
        <v>13</v>
      </c>
    </row>
    <row r="215" spans="1:6">
      <c r="B215" s="2"/>
      <c r="C215" s="126"/>
      <c r="D215" s="128"/>
      <c r="E215" s="126"/>
      <c r="F215" s="128"/>
    </row>
    <row r="216" spans="1:6">
      <c r="B216" s="2"/>
      <c r="C216" s="125">
        <v>31.2</v>
      </c>
      <c r="D216" s="127">
        <v>60.2</v>
      </c>
      <c r="E216" s="125">
        <v>31.7</v>
      </c>
      <c r="F216" s="127">
        <v>59.6</v>
      </c>
    </row>
    <row r="217" spans="1:6">
      <c r="B217" s="2"/>
      <c r="C217" s="126"/>
      <c r="D217" s="128"/>
      <c r="E217" s="126"/>
      <c r="F217" s="128"/>
    </row>
    <row r="218" spans="1:6">
      <c r="B218" s="2"/>
      <c r="C218" s="91">
        <v>75.3</v>
      </c>
      <c r="D218" s="93">
        <v>139</v>
      </c>
      <c r="E218" s="91">
        <v>74.7</v>
      </c>
      <c r="F218" s="93">
        <v>135.19999999999999</v>
      </c>
    </row>
    <row r="219" spans="1:6" ht="16.5" thickBot="1">
      <c r="B219" s="3"/>
      <c r="C219" s="81"/>
      <c r="D219" s="82"/>
      <c r="E219" s="81"/>
      <c r="F219" s="82"/>
    </row>
    <row r="222" spans="1:6">
      <c r="A222" t="s">
        <v>55</v>
      </c>
      <c r="B222" t="s">
        <v>56</v>
      </c>
    </row>
    <row r="223" spans="1:6">
      <c r="B223" s="110"/>
      <c r="C223" s="113" t="s">
        <v>50</v>
      </c>
      <c r="D223" s="114"/>
    </row>
    <row r="224" spans="1:6" ht="16.5" thickBot="1">
      <c r="B224" s="111"/>
      <c r="C224" s="115"/>
      <c r="D224" s="116"/>
    </row>
    <row r="225" spans="2:4">
      <c r="B225" s="111"/>
      <c r="C225" s="117" t="s">
        <v>51</v>
      </c>
      <c r="D225" s="118"/>
    </row>
    <row r="226" spans="2:4" ht="16.5" thickBot="1">
      <c r="B226" s="112"/>
      <c r="C226" s="115"/>
      <c r="D226" s="116"/>
    </row>
    <row r="227" spans="2:4">
      <c r="B227" s="104" t="s">
        <v>8</v>
      </c>
      <c r="C227" s="119" t="s">
        <v>52</v>
      </c>
      <c r="D227" s="104" t="s">
        <v>53</v>
      </c>
    </row>
    <row r="228" spans="2:4" ht="16.5" thickBot="1">
      <c r="B228" s="106"/>
      <c r="C228" s="120"/>
      <c r="D228" s="106"/>
    </row>
    <row r="229" spans="2:4">
      <c r="B229" s="104" t="s">
        <v>14</v>
      </c>
      <c r="C229" s="121">
        <v>0</v>
      </c>
      <c r="D229" s="123">
        <v>0.9</v>
      </c>
    </row>
    <row r="230" spans="2:4" ht="16.5" thickBot="1">
      <c r="B230" s="106"/>
      <c r="C230" s="122"/>
      <c r="D230" s="124"/>
    </row>
    <row r="231" spans="2:4">
      <c r="B231" s="6" t="s">
        <v>15</v>
      </c>
      <c r="C231" s="109">
        <v>564700</v>
      </c>
      <c r="D231" s="90">
        <v>511000</v>
      </c>
    </row>
    <row r="232" spans="2:4">
      <c r="B232" s="7" t="s">
        <v>16</v>
      </c>
      <c r="C232" s="107"/>
      <c r="D232" s="108"/>
    </row>
    <row r="233" spans="2:4">
      <c r="B233" s="7" t="s">
        <v>17</v>
      </c>
      <c r="C233" s="100">
        <v>9620</v>
      </c>
      <c r="D233" s="102">
        <v>37430</v>
      </c>
    </row>
    <row r="234" spans="2:4">
      <c r="B234" s="7" t="s">
        <v>18</v>
      </c>
      <c r="C234" s="107"/>
      <c r="D234" s="108"/>
    </row>
    <row r="235" spans="2:4">
      <c r="B235" s="7" t="s">
        <v>19</v>
      </c>
      <c r="C235" s="100">
        <v>555080</v>
      </c>
      <c r="D235" s="102">
        <v>473570</v>
      </c>
    </row>
    <row r="236" spans="2:4">
      <c r="B236" s="7" t="s">
        <v>20</v>
      </c>
      <c r="C236" s="107"/>
      <c r="D236" s="108"/>
    </row>
    <row r="237" spans="2:4">
      <c r="B237" s="7" t="s">
        <v>21</v>
      </c>
      <c r="C237" s="91" t="s">
        <v>22</v>
      </c>
      <c r="D237" s="93" t="s">
        <v>22</v>
      </c>
    </row>
    <row r="238" spans="2:4">
      <c r="B238" s="4"/>
      <c r="C238" s="92"/>
      <c r="D238" s="94"/>
    </row>
    <row r="239" spans="2:4">
      <c r="B239" s="4"/>
      <c r="C239" s="100">
        <v>167333</v>
      </c>
      <c r="D239" s="102">
        <v>167333</v>
      </c>
    </row>
    <row r="240" spans="2:4">
      <c r="B240" s="4"/>
      <c r="C240" s="107"/>
      <c r="D240" s="108"/>
    </row>
    <row r="241" spans="2:4">
      <c r="B241" s="4"/>
      <c r="C241" s="100">
        <v>1105812</v>
      </c>
      <c r="D241" s="102">
        <v>1105812</v>
      </c>
    </row>
    <row r="242" spans="2:4">
      <c r="B242" s="4"/>
      <c r="C242" s="107"/>
      <c r="D242" s="108"/>
    </row>
    <row r="243" spans="2:4">
      <c r="B243" s="4"/>
      <c r="C243" s="96">
        <v>0.502</v>
      </c>
      <c r="D243" s="98">
        <v>0.42799999999999999</v>
      </c>
    </row>
    <row r="244" spans="2:4">
      <c r="B244" s="4"/>
      <c r="C244" s="97"/>
      <c r="D244" s="99"/>
    </row>
    <row r="245" spans="2:4">
      <c r="B245" s="4"/>
      <c r="C245" s="100">
        <v>6798</v>
      </c>
      <c r="D245" s="102">
        <v>7968</v>
      </c>
    </row>
    <row r="246" spans="2:4" ht="16.5" thickBot="1">
      <c r="B246" s="5"/>
      <c r="C246" s="101"/>
      <c r="D246" s="103"/>
    </row>
    <row r="247" spans="2:4">
      <c r="B247" s="104" t="s">
        <v>23</v>
      </c>
      <c r="C247" s="89">
        <v>4.3</v>
      </c>
      <c r="D247" s="95">
        <v>8.4</v>
      </c>
    </row>
    <row r="248" spans="2:4">
      <c r="B248" s="105"/>
      <c r="C248" s="92"/>
      <c r="D248" s="94"/>
    </row>
    <row r="249" spans="2:4">
      <c r="B249" s="105"/>
      <c r="C249" s="91">
        <v>1</v>
      </c>
      <c r="D249" s="93">
        <v>2.1</v>
      </c>
    </row>
    <row r="250" spans="2:4">
      <c r="B250" s="105"/>
      <c r="C250" s="92"/>
      <c r="D250" s="94"/>
    </row>
    <row r="251" spans="2:4">
      <c r="B251" s="105"/>
      <c r="C251" s="91">
        <v>3.3</v>
      </c>
      <c r="D251" s="93">
        <v>6.3</v>
      </c>
    </row>
    <row r="252" spans="2:4" ht="16.5" thickBot="1">
      <c r="B252" s="106"/>
      <c r="C252" s="81"/>
      <c r="D252" s="82"/>
    </row>
    <row r="253" spans="2:4" ht="48">
      <c r="B253" s="6" t="s">
        <v>24</v>
      </c>
      <c r="C253" s="89">
        <v>118</v>
      </c>
      <c r="D253" s="95">
        <v>12</v>
      </c>
    </row>
    <row r="254" spans="2:4">
      <c r="B254" s="4"/>
      <c r="C254" s="92"/>
      <c r="D254" s="94"/>
    </row>
    <row r="255" spans="2:4">
      <c r="B255" s="7" t="s">
        <v>25</v>
      </c>
      <c r="C255" s="91">
        <v>790</v>
      </c>
      <c r="D255" s="93">
        <v>87</v>
      </c>
    </row>
    <row r="256" spans="2:4">
      <c r="B256" s="7" t="s">
        <v>26</v>
      </c>
      <c r="C256" s="92"/>
      <c r="D256" s="94"/>
    </row>
    <row r="257" spans="2:4">
      <c r="B257" s="4"/>
      <c r="C257" s="91">
        <v>804</v>
      </c>
      <c r="D257" s="93">
        <v>94</v>
      </c>
    </row>
    <row r="258" spans="2:4">
      <c r="B258" s="4"/>
      <c r="C258" s="92"/>
      <c r="D258" s="94"/>
    </row>
    <row r="259" spans="2:4">
      <c r="B259" s="4"/>
      <c r="C259" s="91" t="s">
        <v>54</v>
      </c>
      <c r="D259" s="93" t="s">
        <v>54</v>
      </c>
    </row>
    <row r="260" spans="2:4">
      <c r="B260" s="4"/>
      <c r="C260" s="92"/>
      <c r="D260" s="94"/>
    </row>
    <row r="261" spans="2:4">
      <c r="B261" s="4"/>
      <c r="C261" s="91" t="s">
        <v>54</v>
      </c>
      <c r="D261" s="93" t="s">
        <v>54</v>
      </c>
    </row>
    <row r="262" spans="2:4">
      <c r="B262" s="4"/>
      <c r="C262" s="92"/>
      <c r="D262" s="94"/>
    </row>
    <row r="263" spans="2:4">
      <c r="B263" s="4"/>
      <c r="C263" s="91">
        <v>8.9999999999999993E-3</v>
      </c>
      <c r="D263" s="93">
        <v>8.0000000000000002E-3</v>
      </c>
    </row>
    <row r="264" spans="2:4">
      <c r="B264" s="4"/>
      <c r="C264" s="92"/>
      <c r="D264" s="80"/>
    </row>
    <row r="265" spans="2:4">
      <c r="B265" s="4"/>
      <c r="C265" s="91">
        <v>0.06</v>
      </c>
      <c r="D265" s="79">
        <v>6.0999999999999999E-2</v>
      </c>
    </row>
    <row r="266" spans="2:4">
      <c r="B266" s="4"/>
      <c r="C266" s="78"/>
      <c r="D266" s="80"/>
    </row>
    <row r="267" spans="2:4">
      <c r="B267" s="4"/>
      <c r="C267" s="77" t="s">
        <v>54</v>
      </c>
      <c r="D267" s="79" t="s">
        <v>54</v>
      </c>
    </row>
    <row r="268" spans="2:4">
      <c r="B268" s="4"/>
      <c r="C268" s="78"/>
      <c r="D268" s="80"/>
    </row>
    <row r="269" spans="2:4">
      <c r="B269" s="4"/>
      <c r="C269" s="77" t="s">
        <v>54</v>
      </c>
      <c r="D269" s="79" t="s">
        <v>54</v>
      </c>
    </row>
    <row r="270" spans="2:4">
      <c r="B270" s="4"/>
      <c r="C270" s="78"/>
      <c r="D270" s="80"/>
    </row>
    <row r="271" spans="2:4">
      <c r="B271" s="4"/>
      <c r="C271" s="77" t="s">
        <v>54</v>
      </c>
      <c r="D271" s="79" t="s">
        <v>54</v>
      </c>
    </row>
    <row r="272" spans="2:4">
      <c r="B272" s="4"/>
      <c r="C272" s="78"/>
      <c r="D272" s="80"/>
    </row>
    <row r="273" spans="2:4">
      <c r="B273" s="4"/>
      <c r="C273" s="77" t="s">
        <v>54</v>
      </c>
      <c r="D273" s="79" t="s">
        <v>54</v>
      </c>
    </row>
    <row r="274" spans="2:4" ht="16.5" thickBot="1">
      <c r="B274" s="5"/>
      <c r="C274" s="81"/>
      <c r="D274" s="82"/>
    </row>
    <row r="275" spans="2:4">
      <c r="B275" s="83" t="s">
        <v>27</v>
      </c>
      <c r="C275" s="84"/>
      <c r="D275" s="85"/>
    </row>
    <row r="276" spans="2:4" ht="16.5" thickBot="1">
      <c r="B276" s="86"/>
      <c r="C276" s="87"/>
      <c r="D276" s="88"/>
    </row>
    <row r="277" spans="2:4">
      <c r="B277" s="8" t="s">
        <v>28</v>
      </c>
      <c r="C277" s="89">
        <v>584</v>
      </c>
      <c r="D277" s="90">
        <v>1226</v>
      </c>
    </row>
    <row r="278" spans="2:4">
      <c r="B278" s="2"/>
      <c r="C278" s="78"/>
      <c r="D278" s="76"/>
    </row>
    <row r="279" spans="2:4" ht="21">
      <c r="B279" s="9" t="s">
        <v>29</v>
      </c>
      <c r="C279" s="77">
        <v>718</v>
      </c>
      <c r="D279" s="75">
        <v>1497</v>
      </c>
    </row>
    <row r="280" spans="2:4">
      <c r="B280" s="2"/>
      <c r="C280" s="78"/>
      <c r="D280" s="76"/>
    </row>
    <row r="281" spans="2:4" ht="24">
      <c r="B281" s="10" t="s">
        <v>30</v>
      </c>
      <c r="C281" s="77">
        <v>482</v>
      </c>
      <c r="D281" s="79">
        <v>926</v>
      </c>
    </row>
    <row r="282" spans="2:4">
      <c r="B282" s="2"/>
      <c r="C282" s="78"/>
      <c r="D282" s="80"/>
    </row>
    <row r="283" spans="2:4">
      <c r="B283" s="9" t="s">
        <v>31</v>
      </c>
      <c r="C283" s="77">
        <v>40</v>
      </c>
      <c r="D283" s="79">
        <v>78</v>
      </c>
    </row>
    <row r="284" spans="2:4">
      <c r="B284" s="2"/>
      <c r="C284" s="78"/>
      <c r="D284" s="80"/>
    </row>
    <row r="285" spans="2:4">
      <c r="B285" s="10" t="s">
        <v>32</v>
      </c>
      <c r="C285" s="77">
        <v>62</v>
      </c>
      <c r="D285" s="79">
        <v>162</v>
      </c>
    </row>
    <row r="286" spans="2:4">
      <c r="B286" s="2"/>
      <c r="C286" s="78"/>
      <c r="D286" s="80"/>
    </row>
    <row r="287" spans="2:4">
      <c r="B287" s="2"/>
      <c r="C287" s="77">
        <v>0</v>
      </c>
      <c r="D287" s="79">
        <v>60</v>
      </c>
    </row>
    <row r="288" spans="2:4">
      <c r="B288" s="2"/>
      <c r="C288" s="78"/>
      <c r="D288" s="80"/>
    </row>
    <row r="289" spans="2:4">
      <c r="B289" s="2"/>
      <c r="C289" s="77">
        <v>133</v>
      </c>
      <c r="D289" s="79">
        <v>271</v>
      </c>
    </row>
    <row r="290" spans="2:4">
      <c r="B290" s="2"/>
      <c r="C290" s="78"/>
      <c r="D290" s="80"/>
    </row>
    <row r="291" spans="2:4">
      <c r="B291" s="2"/>
      <c r="C291" s="73">
        <v>398290</v>
      </c>
      <c r="D291" s="75">
        <v>709039</v>
      </c>
    </row>
    <row r="292" spans="2:4">
      <c r="B292" s="2"/>
      <c r="C292" s="74"/>
      <c r="D292" s="76"/>
    </row>
    <row r="293" spans="2:4">
      <c r="B293" s="2"/>
      <c r="C293" s="77">
        <v>771</v>
      </c>
      <c r="D293" s="75">
        <v>1614</v>
      </c>
    </row>
    <row r="294" spans="2:4">
      <c r="B294" s="2"/>
      <c r="C294" s="78"/>
      <c r="D294" s="76"/>
    </row>
    <row r="295" spans="2:4">
      <c r="B295" s="2"/>
      <c r="C295" s="77">
        <v>58.9</v>
      </c>
      <c r="D295" s="79">
        <v>85.9</v>
      </c>
    </row>
    <row r="296" spans="2:4">
      <c r="B296" s="2"/>
      <c r="C296" s="78"/>
      <c r="D296" s="80"/>
    </row>
    <row r="297" spans="2:4">
      <c r="B297" s="2"/>
      <c r="C297" s="69">
        <v>0</v>
      </c>
      <c r="D297" s="71">
        <v>3.2</v>
      </c>
    </row>
    <row r="298" spans="2:4">
      <c r="B298" s="2"/>
      <c r="C298" s="70"/>
      <c r="D298" s="72"/>
    </row>
    <row r="299" spans="2:4">
      <c r="B299" s="2"/>
      <c r="C299" s="69">
        <v>44.5</v>
      </c>
      <c r="D299" s="71">
        <v>52.2</v>
      </c>
    </row>
    <row r="300" spans="2:4">
      <c r="B300" s="2"/>
      <c r="C300" s="70"/>
      <c r="D300" s="72"/>
    </row>
    <row r="301" spans="2:4">
      <c r="B301" s="2"/>
      <c r="C301" s="69">
        <v>1.3</v>
      </c>
      <c r="D301" s="71">
        <v>2.6</v>
      </c>
    </row>
    <row r="302" spans="2:4">
      <c r="B302" s="2"/>
      <c r="C302" s="70"/>
      <c r="D302" s="72"/>
    </row>
    <row r="303" spans="2:4">
      <c r="B303" s="2"/>
      <c r="C303" s="69">
        <v>3</v>
      </c>
      <c r="D303" s="71">
        <v>5.7</v>
      </c>
    </row>
    <row r="304" spans="2:4">
      <c r="B304" s="2"/>
      <c r="C304" s="70"/>
      <c r="D304" s="72"/>
    </row>
    <row r="305" spans="2:4">
      <c r="B305" s="2"/>
      <c r="C305" s="69">
        <v>10.1</v>
      </c>
      <c r="D305" s="71">
        <v>22.3</v>
      </c>
    </row>
    <row r="306" spans="2:4">
      <c r="B306" s="2"/>
      <c r="C306" s="70"/>
      <c r="D306" s="72"/>
    </row>
    <row r="307" spans="2:4">
      <c r="B307" s="2"/>
      <c r="C307" s="77">
        <v>74.7</v>
      </c>
      <c r="D307" s="79">
        <v>108.9</v>
      </c>
    </row>
    <row r="308" spans="2:4" ht="16.5" thickBot="1">
      <c r="B308" s="3"/>
      <c r="C308" s="81"/>
      <c r="D308" s="82"/>
    </row>
  </sheetData>
  <mergeCells count="512">
    <mergeCell ref="C144:C145"/>
    <mergeCell ref="D144:D145"/>
    <mergeCell ref="E144:E145"/>
    <mergeCell ref="F144:F145"/>
    <mergeCell ref="C146:C147"/>
    <mergeCell ref="D146:D147"/>
    <mergeCell ref="E146:E147"/>
    <mergeCell ref="F146:F147"/>
    <mergeCell ref="B14:B17"/>
    <mergeCell ref="C14:H15"/>
    <mergeCell ref="C16:D17"/>
    <mergeCell ref="E16:F17"/>
    <mergeCell ref="G16:H17"/>
    <mergeCell ref="B19:B20"/>
    <mergeCell ref="B140:B141"/>
    <mergeCell ref="C140:C141"/>
    <mergeCell ref="D140:D141"/>
    <mergeCell ref="E140:E141"/>
    <mergeCell ref="F140:F141"/>
    <mergeCell ref="C142:C143"/>
    <mergeCell ref="D142:D143"/>
    <mergeCell ref="E142:E143"/>
    <mergeCell ref="F142:F143"/>
    <mergeCell ref="H19:H20"/>
    <mergeCell ref="B134:B137"/>
    <mergeCell ref="C134:F135"/>
    <mergeCell ref="C136:D137"/>
    <mergeCell ref="E136:F137"/>
    <mergeCell ref="B138:B139"/>
    <mergeCell ref="C138:C139"/>
    <mergeCell ref="D138:D139"/>
    <mergeCell ref="E138:E139"/>
    <mergeCell ref="F138:F139"/>
    <mergeCell ref="B24:B25"/>
    <mergeCell ref="C24:C25"/>
    <mergeCell ref="D24:D25"/>
    <mergeCell ref="E24:E25"/>
    <mergeCell ref="F24:F25"/>
    <mergeCell ref="G24:G25"/>
    <mergeCell ref="C19:C20"/>
    <mergeCell ref="D19:D20"/>
    <mergeCell ref="E19:E20"/>
    <mergeCell ref="F19:F20"/>
    <mergeCell ref="G19:G20"/>
    <mergeCell ref="C43:C44"/>
    <mergeCell ref="D43:D44"/>
    <mergeCell ref="E43:E44"/>
    <mergeCell ref="F43:F44"/>
    <mergeCell ref="G43:G44"/>
    <mergeCell ref="H43:H44"/>
    <mergeCell ref="H24:H25"/>
    <mergeCell ref="C26:C27"/>
    <mergeCell ref="D26:D27"/>
    <mergeCell ref="E26:E27"/>
    <mergeCell ref="F26:F27"/>
    <mergeCell ref="G26:G27"/>
    <mergeCell ref="H26:H27"/>
    <mergeCell ref="C60:C61"/>
    <mergeCell ref="D60:D61"/>
    <mergeCell ref="E60:E61"/>
    <mergeCell ref="F60:F61"/>
    <mergeCell ref="G60:G61"/>
    <mergeCell ref="H60:H61"/>
    <mergeCell ref="C58:C59"/>
    <mergeCell ref="D58:D59"/>
    <mergeCell ref="E58:E59"/>
    <mergeCell ref="F58:F59"/>
    <mergeCell ref="G58:G59"/>
    <mergeCell ref="H58:H59"/>
    <mergeCell ref="C64:C65"/>
    <mergeCell ref="D64:D65"/>
    <mergeCell ref="E64:E65"/>
    <mergeCell ref="F64:F65"/>
    <mergeCell ref="G64:G65"/>
    <mergeCell ref="H64:H65"/>
    <mergeCell ref="C62:C63"/>
    <mergeCell ref="D62:D63"/>
    <mergeCell ref="E62:E63"/>
    <mergeCell ref="F62:F63"/>
    <mergeCell ref="G62:G63"/>
    <mergeCell ref="H62:H63"/>
    <mergeCell ref="C68:C69"/>
    <mergeCell ref="D68:D69"/>
    <mergeCell ref="E68:E69"/>
    <mergeCell ref="F68:F69"/>
    <mergeCell ref="G68:G69"/>
    <mergeCell ref="H68:H69"/>
    <mergeCell ref="C66:C67"/>
    <mergeCell ref="D66:D67"/>
    <mergeCell ref="E66:E67"/>
    <mergeCell ref="F66:F67"/>
    <mergeCell ref="G66:G67"/>
    <mergeCell ref="H66:H67"/>
    <mergeCell ref="B70:B75"/>
    <mergeCell ref="C70:C71"/>
    <mergeCell ref="D70:D71"/>
    <mergeCell ref="E70:E71"/>
    <mergeCell ref="F70:F71"/>
    <mergeCell ref="G70:G71"/>
    <mergeCell ref="C74:C75"/>
    <mergeCell ref="D74:D75"/>
    <mergeCell ref="E74:E75"/>
    <mergeCell ref="F74:F75"/>
    <mergeCell ref="G74:G75"/>
    <mergeCell ref="H74:H75"/>
    <mergeCell ref="C76:C77"/>
    <mergeCell ref="D76:D77"/>
    <mergeCell ref="E76:E77"/>
    <mergeCell ref="F76:F77"/>
    <mergeCell ref="G76:G77"/>
    <mergeCell ref="H76:H77"/>
    <mergeCell ref="H70:H71"/>
    <mergeCell ref="C72:C73"/>
    <mergeCell ref="D72:D73"/>
    <mergeCell ref="E72:E73"/>
    <mergeCell ref="F72:F73"/>
    <mergeCell ref="G72:G73"/>
    <mergeCell ref="H72:H73"/>
    <mergeCell ref="C80:C81"/>
    <mergeCell ref="D80:D81"/>
    <mergeCell ref="E80:E81"/>
    <mergeCell ref="F80:F81"/>
    <mergeCell ref="G80:G81"/>
    <mergeCell ref="H80:H81"/>
    <mergeCell ref="C78:C79"/>
    <mergeCell ref="D78:D79"/>
    <mergeCell ref="E78:E79"/>
    <mergeCell ref="F78:F79"/>
    <mergeCell ref="G78:G79"/>
    <mergeCell ref="H78:H79"/>
    <mergeCell ref="C84:C85"/>
    <mergeCell ref="D84:D85"/>
    <mergeCell ref="E84:E85"/>
    <mergeCell ref="F84:F85"/>
    <mergeCell ref="G84:G85"/>
    <mergeCell ref="H84:H85"/>
    <mergeCell ref="C82:C83"/>
    <mergeCell ref="D82:D83"/>
    <mergeCell ref="E82:E83"/>
    <mergeCell ref="F82:F83"/>
    <mergeCell ref="G82:G83"/>
    <mergeCell ref="H82:H83"/>
    <mergeCell ref="C88:C89"/>
    <mergeCell ref="D88:D89"/>
    <mergeCell ref="E88:E89"/>
    <mergeCell ref="F88:F89"/>
    <mergeCell ref="G88:G89"/>
    <mergeCell ref="H88:H89"/>
    <mergeCell ref="C86:C87"/>
    <mergeCell ref="D86:D87"/>
    <mergeCell ref="E86:E87"/>
    <mergeCell ref="F86:F87"/>
    <mergeCell ref="G86:G87"/>
    <mergeCell ref="H86:H87"/>
    <mergeCell ref="C92:C93"/>
    <mergeCell ref="D92:D93"/>
    <mergeCell ref="E92:E93"/>
    <mergeCell ref="F92:F93"/>
    <mergeCell ref="G92:G93"/>
    <mergeCell ref="H92:H93"/>
    <mergeCell ref="C90:C91"/>
    <mergeCell ref="D90:D91"/>
    <mergeCell ref="E90:E91"/>
    <mergeCell ref="F90:F91"/>
    <mergeCell ref="G90:G91"/>
    <mergeCell ref="H90:H91"/>
    <mergeCell ref="C96:C97"/>
    <mergeCell ref="D96:D97"/>
    <mergeCell ref="E96:E97"/>
    <mergeCell ref="F96:F97"/>
    <mergeCell ref="G96:G97"/>
    <mergeCell ref="H96:H97"/>
    <mergeCell ref="C94:C95"/>
    <mergeCell ref="D94:D95"/>
    <mergeCell ref="E94:E95"/>
    <mergeCell ref="F94:F95"/>
    <mergeCell ref="G94:G95"/>
    <mergeCell ref="H94:H95"/>
    <mergeCell ref="C102:C103"/>
    <mergeCell ref="D102:D103"/>
    <mergeCell ref="E102:E103"/>
    <mergeCell ref="F102:F103"/>
    <mergeCell ref="G102:G103"/>
    <mergeCell ref="H102:H103"/>
    <mergeCell ref="B98:H99"/>
    <mergeCell ref="C100:C101"/>
    <mergeCell ref="D100:D101"/>
    <mergeCell ref="E100:E101"/>
    <mergeCell ref="F100:F101"/>
    <mergeCell ref="G100:G101"/>
    <mergeCell ref="H100:H101"/>
    <mergeCell ref="C106:C107"/>
    <mergeCell ref="D106:D107"/>
    <mergeCell ref="E106:E107"/>
    <mergeCell ref="F106:F107"/>
    <mergeCell ref="G106:G107"/>
    <mergeCell ref="H106:H107"/>
    <mergeCell ref="C104:C105"/>
    <mergeCell ref="D104:D105"/>
    <mergeCell ref="E104:E105"/>
    <mergeCell ref="F104:F105"/>
    <mergeCell ref="G104:G105"/>
    <mergeCell ref="H104:H105"/>
    <mergeCell ref="C110:C111"/>
    <mergeCell ref="D110:D111"/>
    <mergeCell ref="E110:E111"/>
    <mergeCell ref="F110:F111"/>
    <mergeCell ref="G110:G111"/>
    <mergeCell ref="H110:H111"/>
    <mergeCell ref="C108:C109"/>
    <mergeCell ref="D108:D109"/>
    <mergeCell ref="E108:E109"/>
    <mergeCell ref="F108:F109"/>
    <mergeCell ref="G108:G109"/>
    <mergeCell ref="H108:H109"/>
    <mergeCell ref="C114:C115"/>
    <mergeCell ref="D114:D115"/>
    <mergeCell ref="E114:E115"/>
    <mergeCell ref="F114:F115"/>
    <mergeCell ref="G114:G115"/>
    <mergeCell ref="H114:H115"/>
    <mergeCell ref="C112:C113"/>
    <mergeCell ref="D112:D113"/>
    <mergeCell ref="E112:E113"/>
    <mergeCell ref="F112:F113"/>
    <mergeCell ref="G112:G113"/>
    <mergeCell ref="H112:H113"/>
    <mergeCell ref="C118:C119"/>
    <mergeCell ref="D118:D119"/>
    <mergeCell ref="E118:E119"/>
    <mergeCell ref="F118:F119"/>
    <mergeCell ref="G118:G119"/>
    <mergeCell ref="H118:H119"/>
    <mergeCell ref="C116:C117"/>
    <mergeCell ref="D116:D117"/>
    <mergeCell ref="E116:E117"/>
    <mergeCell ref="F116:F117"/>
    <mergeCell ref="G116:G117"/>
    <mergeCell ref="H116:H117"/>
    <mergeCell ref="C122:C123"/>
    <mergeCell ref="D122:D123"/>
    <mergeCell ref="E122:E123"/>
    <mergeCell ref="F122:F123"/>
    <mergeCell ref="G122:G123"/>
    <mergeCell ref="H122:H123"/>
    <mergeCell ref="C120:C121"/>
    <mergeCell ref="D120:D121"/>
    <mergeCell ref="E120:E121"/>
    <mergeCell ref="F120:F121"/>
    <mergeCell ref="G120:G121"/>
    <mergeCell ref="H120:H121"/>
    <mergeCell ref="C126:C127"/>
    <mergeCell ref="D126:D127"/>
    <mergeCell ref="E126:E127"/>
    <mergeCell ref="F126:F127"/>
    <mergeCell ref="G126:G127"/>
    <mergeCell ref="H126:H127"/>
    <mergeCell ref="C124:C125"/>
    <mergeCell ref="D124:D125"/>
    <mergeCell ref="E124:E125"/>
    <mergeCell ref="F124:F125"/>
    <mergeCell ref="G124:G125"/>
    <mergeCell ref="H124:H125"/>
    <mergeCell ref="C130:C131"/>
    <mergeCell ref="D130:D131"/>
    <mergeCell ref="E130:E131"/>
    <mergeCell ref="F130:F131"/>
    <mergeCell ref="G130:G131"/>
    <mergeCell ref="H130:H131"/>
    <mergeCell ref="C128:C129"/>
    <mergeCell ref="D128:D129"/>
    <mergeCell ref="E128:E129"/>
    <mergeCell ref="F128:F129"/>
    <mergeCell ref="G128:G129"/>
    <mergeCell ref="H128:H129"/>
    <mergeCell ref="C152:C153"/>
    <mergeCell ref="D152:D153"/>
    <mergeCell ref="E152:E153"/>
    <mergeCell ref="F152:F153"/>
    <mergeCell ref="C154:C155"/>
    <mergeCell ref="D154:D155"/>
    <mergeCell ref="E154:E155"/>
    <mergeCell ref="F154:F155"/>
    <mergeCell ref="C148:C149"/>
    <mergeCell ref="D148:D149"/>
    <mergeCell ref="E148:E149"/>
    <mergeCell ref="F148:F149"/>
    <mergeCell ref="C150:C151"/>
    <mergeCell ref="D150:D151"/>
    <mergeCell ref="E150:E151"/>
    <mergeCell ref="F150:F151"/>
    <mergeCell ref="C156:C157"/>
    <mergeCell ref="D156:D157"/>
    <mergeCell ref="E156:E157"/>
    <mergeCell ref="F156:F157"/>
    <mergeCell ref="B158:B163"/>
    <mergeCell ref="C158:C159"/>
    <mergeCell ref="D158:D159"/>
    <mergeCell ref="E158:E159"/>
    <mergeCell ref="F158:F159"/>
    <mergeCell ref="C160:C161"/>
    <mergeCell ref="C164:C165"/>
    <mergeCell ref="D164:D165"/>
    <mergeCell ref="E164:E165"/>
    <mergeCell ref="F164:F165"/>
    <mergeCell ref="C166:C167"/>
    <mergeCell ref="D166:D167"/>
    <mergeCell ref="E166:E167"/>
    <mergeCell ref="F166:F167"/>
    <mergeCell ref="D160:D161"/>
    <mergeCell ref="E160:E161"/>
    <mergeCell ref="F160:F161"/>
    <mergeCell ref="C162:C163"/>
    <mergeCell ref="D162:D163"/>
    <mergeCell ref="E162:E163"/>
    <mergeCell ref="F162:F163"/>
    <mergeCell ref="C172:C173"/>
    <mergeCell ref="D172:D173"/>
    <mergeCell ref="E172:E173"/>
    <mergeCell ref="F172:F173"/>
    <mergeCell ref="C174:C175"/>
    <mergeCell ref="D174:D175"/>
    <mergeCell ref="E174:E175"/>
    <mergeCell ref="F174:F175"/>
    <mergeCell ref="C168:C169"/>
    <mergeCell ref="D168:D169"/>
    <mergeCell ref="E168:E169"/>
    <mergeCell ref="F168:F169"/>
    <mergeCell ref="C170:C171"/>
    <mergeCell ref="D170:D171"/>
    <mergeCell ref="E170:E171"/>
    <mergeCell ref="F170:F171"/>
    <mergeCell ref="C180:C181"/>
    <mergeCell ref="D180:D181"/>
    <mergeCell ref="E180:E181"/>
    <mergeCell ref="F180:F181"/>
    <mergeCell ref="C182:C183"/>
    <mergeCell ref="D182:D183"/>
    <mergeCell ref="E182:E183"/>
    <mergeCell ref="F182:F183"/>
    <mergeCell ref="C176:C177"/>
    <mergeCell ref="D176:D177"/>
    <mergeCell ref="E176:E177"/>
    <mergeCell ref="F176:F177"/>
    <mergeCell ref="C178:C179"/>
    <mergeCell ref="D178:D179"/>
    <mergeCell ref="E178:E179"/>
    <mergeCell ref="F178:F179"/>
    <mergeCell ref="C184:C185"/>
    <mergeCell ref="D184:D185"/>
    <mergeCell ref="E184:E185"/>
    <mergeCell ref="F184:F185"/>
    <mergeCell ref="B186:F187"/>
    <mergeCell ref="C188:C189"/>
    <mergeCell ref="D188:D189"/>
    <mergeCell ref="E188:E189"/>
    <mergeCell ref="F188:F189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C190:C191"/>
    <mergeCell ref="D190:D191"/>
    <mergeCell ref="E190:E191"/>
    <mergeCell ref="F190:F191"/>
    <mergeCell ref="C192:C193"/>
    <mergeCell ref="D192:D193"/>
    <mergeCell ref="E192:E193"/>
    <mergeCell ref="F192:F193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C198:C199"/>
    <mergeCell ref="D198:D199"/>
    <mergeCell ref="E198:E199"/>
    <mergeCell ref="F198:F199"/>
    <mergeCell ref="C200:C201"/>
    <mergeCell ref="D200:D201"/>
    <mergeCell ref="E200:E201"/>
    <mergeCell ref="F200:F201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C206:C207"/>
    <mergeCell ref="D206:D207"/>
    <mergeCell ref="E206:E207"/>
    <mergeCell ref="F206:F207"/>
    <mergeCell ref="C208:C209"/>
    <mergeCell ref="D208:D209"/>
    <mergeCell ref="E208:E209"/>
    <mergeCell ref="F208:F209"/>
    <mergeCell ref="C218:C219"/>
    <mergeCell ref="D218:D219"/>
    <mergeCell ref="E218:E219"/>
    <mergeCell ref="F218:F219"/>
    <mergeCell ref="B229:B230"/>
    <mergeCell ref="C229:C230"/>
    <mergeCell ref="D229:D230"/>
    <mergeCell ref="C214:C215"/>
    <mergeCell ref="D214:D215"/>
    <mergeCell ref="E214:E215"/>
    <mergeCell ref="F214:F215"/>
    <mergeCell ref="C216:C217"/>
    <mergeCell ref="D216:D217"/>
    <mergeCell ref="E216:E217"/>
    <mergeCell ref="F216:F217"/>
    <mergeCell ref="C231:C232"/>
    <mergeCell ref="D231:D232"/>
    <mergeCell ref="C233:C234"/>
    <mergeCell ref="D233:D234"/>
    <mergeCell ref="C235:C236"/>
    <mergeCell ref="D235:D236"/>
    <mergeCell ref="B223:B226"/>
    <mergeCell ref="C223:D224"/>
    <mergeCell ref="C225:D226"/>
    <mergeCell ref="B227:B228"/>
    <mergeCell ref="C227:C228"/>
    <mergeCell ref="D227:D228"/>
    <mergeCell ref="B247:B252"/>
    <mergeCell ref="C247:C248"/>
    <mergeCell ref="D247:D248"/>
    <mergeCell ref="C249:C250"/>
    <mergeCell ref="D249:D250"/>
    <mergeCell ref="C251:C252"/>
    <mergeCell ref="C237:C238"/>
    <mergeCell ref="D237:D238"/>
    <mergeCell ref="C239:C240"/>
    <mergeCell ref="D239:D240"/>
    <mergeCell ref="C241:C242"/>
    <mergeCell ref="D241:D242"/>
    <mergeCell ref="D251:D252"/>
    <mergeCell ref="C253:C254"/>
    <mergeCell ref="D253:D254"/>
    <mergeCell ref="C255:C256"/>
    <mergeCell ref="D255:D256"/>
    <mergeCell ref="C257:C258"/>
    <mergeCell ref="D257:D258"/>
    <mergeCell ref="C243:C244"/>
    <mergeCell ref="D243:D244"/>
    <mergeCell ref="C245:C246"/>
    <mergeCell ref="D245:D246"/>
    <mergeCell ref="C265:C266"/>
    <mergeCell ref="D265:D266"/>
    <mergeCell ref="C267:C268"/>
    <mergeCell ref="D267:D268"/>
    <mergeCell ref="C269:C270"/>
    <mergeCell ref="D269:D270"/>
    <mergeCell ref="C259:C260"/>
    <mergeCell ref="D259:D260"/>
    <mergeCell ref="C261:C262"/>
    <mergeCell ref="D261:D262"/>
    <mergeCell ref="C263:C264"/>
    <mergeCell ref="D263:D264"/>
    <mergeCell ref="C281:C282"/>
    <mergeCell ref="D281:D282"/>
    <mergeCell ref="C283:C284"/>
    <mergeCell ref="D283:D284"/>
    <mergeCell ref="C271:C272"/>
    <mergeCell ref="D271:D272"/>
    <mergeCell ref="C273:C274"/>
    <mergeCell ref="D273:D274"/>
    <mergeCell ref="B275:D276"/>
    <mergeCell ref="C277:C278"/>
    <mergeCell ref="D277:D278"/>
    <mergeCell ref="C305:C306"/>
    <mergeCell ref="D305:D306"/>
    <mergeCell ref="C307:C308"/>
    <mergeCell ref="D307:D308"/>
    <mergeCell ref="C297:C298"/>
    <mergeCell ref="D297:D298"/>
    <mergeCell ref="C299:C300"/>
    <mergeCell ref="D299:D300"/>
    <mergeCell ref="C301:C302"/>
    <mergeCell ref="D301:D302"/>
    <mergeCell ref="L20:Q20"/>
    <mergeCell ref="R20:U20"/>
    <mergeCell ref="L11:Q11"/>
    <mergeCell ref="R11:U11"/>
    <mergeCell ref="V11:W11"/>
    <mergeCell ref="L19:Q19"/>
    <mergeCell ref="R19:U19"/>
    <mergeCell ref="V19:W19"/>
    <mergeCell ref="C303:C304"/>
    <mergeCell ref="D303:D304"/>
    <mergeCell ref="C291:C292"/>
    <mergeCell ref="D291:D292"/>
    <mergeCell ref="C293:C294"/>
    <mergeCell ref="D293:D294"/>
    <mergeCell ref="C295:C296"/>
    <mergeCell ref="D295:D296"/>
    <mergeCell ref="C285:C286"/>
    <mergeCell ref="D285:D286"/>
    <mergeCell ref="C287:C288"/>
    <mergeCell ref="D287:D288"/>
    <mergeCell ref="C289:C290"/>
    <mergeCell ref="D289:D290"/>
    <mergeCell ref="C279:C280"/>
    <mergeCell ref="D279:D280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and NG calcs</vt:lpstr>
    </vt:vector>
  </TitlesOfParts>
  <Company>Masdar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Sgouris Sgouridis</dc:creator>
  <cp:lastModifiedBy>Csala, Dénes</cp:lastModifiedBy>
  <dcterms:created xsi:type="dcterms:W3CDTF">2016-11-06T12:10:35Z</dcterms:created>
  <dcterms:modified xsi:type="dcterms:W3CDTF">2019-02-07T02:28:51Z</dcterms:modified>
</cp:coreProperties>
</file>