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Box Sync\work\Academics\Publications\Journal\working_2016_eroei_ccs\code3\"/>
    </mc:Choice>
  </mc:AlternateContent>
  <bookViews>
    <workbookView xWindow="2790" yWindow="0" windowWidth="19560" windowHeight="8115" tabRatio="500" activeTab="2"/>
  </bookViews>
  <sheets>
    <sheet name="Sheet1" sheetId="1" r:id="rId1"/>
    <sheet name="CTLcalc" sheetId="2" r:id="rId2"/>
    <sheet name="COAL and NG calcs" sheetId="3" r:id="rId3"/>
    <sheet name="Projections" sheetId="4" r:id="rId4"/>
    <sheet name="MasdarCCS" sheetId="5" r:id="rId5"/>
    <sheet name="REstorageLCOE" sheetId="6" r:id="rId6"/>
    <sheet name="Storagefraction" sheetId="7" r:id="rId7"/>
    <sheet name="EROIvsEff" sheetId="8" r:id="rId8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3" l="1"/>
  <c r="M44" i="3"/>
  <c r="L32" i="3"/>
  <c r="L48" i="3" s="1"/>
  <c r="L31" i="3"/>
  <c r="L47" i="3"/>
  <c r="L49" i="3" l="1"/>
  <c r="L41" i="3"/>
  <c r="L40" i="3"/>
  <c r="L35" i="3"/>
  <c r="M42" i="3" l="1"/>
  <c r="M41" i="3"/>
  <c r="V26" i="3"/>
  <c r="V31" i="3"/>
  <c r="V24" i="3"/>
  <c r="L5" i="3"/>
  <c r="O5" i="3"/>
  <c r="W24" i="3"/>
  <c r="W27" i="3"/>
  <c r="W36" i="3" s="1"/>
  <c r="W44" i="3"/>
  <c r="M2" i="3"/>
  <c r="N2" i="3"/>
  <c r="N3" i="3" s="1"/>
  <c r="O2" i="3"/>
  <c r="P2" i="3" s="1"/>
  <c r="U44" i="3"/>
  <c r="S44" i="3"/>
  <c r="Q44" i="3"/>
  <c r="O3" i="3"/>
  <c r="O44" i="3"/>
  <c r="L3" i="3"/>
  <c r="L26" i="3"/>
  <c r="M29" i="3" s="1"/>
  <c r="L24" i="3"/>
  <c r="M3" i="3"/>
  <c r="M24" i="3" s="1"/>
  <c r="M26" i="3"/>
  <c r="M31" i="3" s="1"/>
  <c r="W26" i="3"/>
  <c r="W31" i="3" s="1"/>
  <c r="W30" i="3"/>
  <c r="M25" i="3"/>
  <c r="L25" i="3"/>
  <c r="V25" i="3"/>
  <c r="W25" i="3"/>
  <c r="M32" i="3"/>
  <c r="N4" i="8"/>
  <c r="U4" i="8" s="1"/>
  <c r="R4" i="8"/>
  <c r="AB4" i="8"/>
  <c r="R6" i="8"/>
  <c r="R7" i="8"/>
  <c r="N8" i="8"/>
  <c r="U8" i="8" s="1"/>
  <c r="O8" i="8"/>
  <c r="T8" i="8" s="1"/>
  <c r="R8" i="8"/>
  <c r="R5" i="8"/>
  <c r="R3" i="8"/>
  <c r="Z6" i="8"/>
  <c r="L4" i="8"/>
  <c r="O4" i="8" s="1"/>
  <c r="T4" i="8" s="1"/>
  <c r="P4" i="8"/>
  <c r="S4" i="8"/>
  <c r="AC4" i="8" s="1"/>
  <c r="V4" i="8"/>
  <c r="W4" i="8"/>
  <c r="X4" i="8"/>
  <c r="L5" i="8"/>
  <c r="V5" i="8"/>
  <c r="L6" i="8"/>
  <c r="V6" i="8"/>
  <c r="W6" i="8"/>
  <c r="Y6" i="8" s="1"/>
  <c r="L7" i="8"/>
  <c r="N7" i="8" s="1"/>
  <c r="U7" i="8" s="1"/>
  <c r="AC7" i="8" s="1"/>
  <c r="S7" i="8"/>
  <c r="V7" i="8"/>
  <c r="W7" i="8"/>
  <c r="X7" i="8"/>
  <c r="L8" i="8"/>
  <c r="P8" i="8"/>
  <c r="S8" i="8"/>
  <c r="V8" i="8"/>
  <c r="W8" i="8"/>
  <c r="X8" i="8"/>
  <c r="V3" i="8"/>
  <c r="L3" i="8"/>
  <c r="N25" i="3"/>
  <c r="N46" i="3"/>
  <c r="W21" i="3"/>
  <c r="W22" i="3"/>
  <c r="V21" i="3"/>
  <c r="M21" i="3"/>
  <c r="L21" i="3"/>
  <c r="L51" i="3"/>
  <c r="W32" i="3"/>
  <c r="L46" i="3"/>
  <c r="M58" i="3"/>
  <c r="G9" i="7"/>
  <c r="H7" i="7" s="1"/>
  <c r="I7" i="7" s="1"/>
  <c r="H5" i="7"/>
  <c r="I5" i="7"/>
  <c r="K5" i="7" s="1"/>
  <c r="H6" i="7"/>
  <c r="I6" i="7"/>
  <c r="K6" i="7"/>
  <c r="K7" i="7"/>
  <c r="L9" i="7"/>
  <c r="E22" i="6"/>
  <c r="F22" i="6"/>
  <c r="G22" i="6"/>
  <c r="H22" i="6"/>
  <c r="E23" i="6"/>
  <c r="F21" i="6"/>
  <c r="E5" i="6"/>
  <c r="D13" i="6"/>
  <c r="D15" i="6"/>
  <c r="L13" i="6"/>
  <c r="E25" i="6"/>
  <c r="E26" i="6"/>
  <c r="E28" i="6"/>
  <c r="E29" i="6"/>
  <c r="F25" i="6"/>
  <c r="F26" i="6"/>
  <c r="F28" i="6"/>
  <c r="D4" i="6"/>
  <c r="L14" i="6"/>
  <c r="L15" i="6"/>
  <c r="L12" i="6"/>
  <c r="D18" i="6"/>
  <c r="B7" i="5"/>
  <c r="B5" i="5"/>
  <c r="B8" i="5"/>
  <c r="D8" i="5" s="1"/>
  <c r="F10" i="4"/>
  <c r="F9" i="4"/>
  <c r="G10" i="4"/>
  <c r="G9" i="4"/>
  <c r="G8" i="4"/>
  <c r="K89" i="4"/>
  <c r="M89" i="4"/>
  <c r="N89" i="4"/>
  <c r="K90" i="4"/>
  <c r="M90" i="4" s="1"/>
  <c r="N90" i="4" s="1"/>
  <c r="K91" i="4"/>
  <c r="M91" i="4"/>
  <c r="N91" i="4" s="1"/>
  <c r="K92" i="4"/>
  <c r="M92" i="4"/>
  <c r="N92" i="4"/>
  <c r="K93" i="4"/>
  <c r="M93" i="4"/>
  <c r="N93" i="4"/>
  <c r="K88" i="4"/>
  <c r="M88" i="4" s="1"/>
  <c r="J97" i="4"/>
  <c r="K97" i="4" s="1"/>
  <c r="M97" i="4" s="1"/>
  <c r="N97" i="4" s="1"/>
  <c r="K98" i="4"/>
  <c r="M98" i="4" s="1"/>
  <c r="N98" i="4" s="1"/>
  <c r="K99" i="4"/>
  <c r="M99" i="4"/>
  <c r="N99" i="4" s="1"/>
  <c r="Q60" i="4"/>
  <c r="Q61" i="4"/>
  <c r="Q62" i="4"/>
  <c r="Q58" i="4"/>
  <c r="O76" i="3"/>
  <c r="P76" i="3"/>
  <c r="O75" i="3"/>
  <c r="U60" i="3"/>
  <c r="U61" i="3"/>
  <c r="I102" i="3"/>
  <c r="I100" i="3"/>
  <c r="M59" i="3"/>
  <c r="M60" i="3"/>
  <c r="Q59" i="3"/>
  <c r="Q60" i="3" s="1"/>
  <c r="O59" i="3"/>
  <c r="O60" i="3"/>
  <c r="F12" i="2"/>
  <c r="F15" i="2" s="1"/>
  <c r="F19" i="2" s="1"/>
  <c r="F18" i="2"/>
  <c r="F17" i="2"/>
  <c r="C7" i="1"/>
  <c r="C8" i="1"/>
  <c r="D8" i="1" s="1"/>
  <c r="C9" i="1"/>
  <c r="D9" i="1" s="1"/>
  <c r="C6" i="1"/>
  <c r="D6" i="1" s="1"/>
  <c r="D7" i="1"/>
  <c r="M95" i="4" l="1"/>
  <c r="N95" i="4" s="1"/>
  <c r="N88" i="4"/>
  <c r="F23" i="6"/>
  <c r="G21" i="6"/>
  <c r="N5" i="8"/>
  <c r="U5" i="8" s="1"/>
  <c r="S5" i="8"/>
  <c r="W5" i="8"/>
  <c r="X5" i="8" s="1"/>
  <c r="M28" i="3"/>
  <c r="M50" i="3"/>
  <c r="M53" i="3"/>
  <c r="W50" i="3"/>
  <c r="W46" i="3"/>
  <c r="W53" i="3"/>
  <c r="W28" i="3"/>
  <c r="N3" i="8"/>
  <c r="U3" i="8" s="1"/>
  <c r="W3" i="8"/>
  <c r="X3" i="8" s="1"/>
  <c r="O3" i="8"/>
  <c r="S3" i="8"/>
  <c r="AC3" i="8" s="1"/>
  <c r="O7" i="8"/>
  <c r="O24" i="3"/>
  <c r="O26" i="3"/>
  <c r="O25" i="3"/>
  <c r="F29" i="6"/>
  <c r="I22" i="6"/>
  <c r="H25" i="6"/>
  <c r="H26" i="6" s="1"/>
  <c r="G25" i="6"/>
  <c r="AD8" i="8"/>
  <c r="AB8" i="8"/>
  <c r="W33" i="3"/>
  <c r="M30" i="3"/>
  <c r="M22" i="3"/>
  <c r="M46" i="3"/>
  <c r="V46" i="3"/>
  <c r="Q2" i="3"/>
  <c r="P3" i="3"/>
  <c r="AD4" i="8"/>
  <c r="L30" i="3"/>
  <c r="L34" i="3" s="1"/>
  <c r="M27" i="3"/>
  <c r="M36" i="3" s="1"/>
  <c r="L22" i="3"/>
  <c r="N24" i="3"/>
  <c r="N26" i="3"/>
  <c r="V30" i="3"/>
  <c r="V34" i="3" s="1"/>
  <c r="V32" i="3"/>
  <c r="V22" i="3"/>
  <c r="H8" i="7"/>
  <c r="I8" i="7" s="1"/>
  <c r="K8" i="7" s="1"/>
  <c r="K9" i="7" s="1"/>
  <c r="V53" i="3"/>
  <c r="V51" i="3"/>
  <c r="W29" i="3"/>
  <c r="W43" i="3" s="1"/>
  <c r="AC8" i="8"/>
  <c r="N6" i="8"/>
  <c r="U6" i="8" s="1"/>
  <c r="O6" i="8"/>
  <c r="S6" i="8"/>
  <c r="AC6" i="8" s="1"/>
  <c r="X6" i="8"/>
  <c r="L53" i="3"/>
  <c r="M48" i="3"/>
  <c r="M40" i="3" s="1"/>
  <c r="G26" i="6" l="1"/>
  <c r="G28" i="6"/>
  <c r="G29" i="6" s="1"/>
  <c r="P6" i="8"/>
  <c r="T6" i="8"/>
  <c r="O31" i="3"/>
  <c r="O21" i="3"/>
  <c r="O22" i="3" s="1"/>
  <c r="V47" i="3"/>
  <c r="W47" i="3"/>
  <c r="W34" i="3"/>
  <c r="V55" i="3"/>
  <c r="Q3" i="3"/>
  <c r="R2" i="3"/>
  <c r="W35" i="3"/>
  <c r="I25" i="6"/>
  <c r="I26" i="6" s="1"/>
  <c r="J22" i="6"/>
  <c r="O30" i="3"/>
  <c r="O33" i="3" s="1"/>
  <c r="O32" i="3"/>
  <c r="M52" i="3"/>
  <c r="O5" i="8"/>
  <c r="N32" i="3"/>
  <c r="N30" i="3"/>
  <c r="N34" i="3" s="1"/>
  <c r="O27" i="3"/>
  <c r="O36" i="3" s="1"/>
  <c r="N53" i="3"/>
  <c r="O50" i="3"/>
  <c r="O28" i="3"/>
  <c r="O53" i="3"/>
  <c r="W48" i="3"/>
  <c r="V48" i="3"/>
  <c r="P25" i="3"/>
  <c r="P24" i="3"/>
  <c r="P26" i="3"/>
  <c r="P3" i="8"/>
  <c r="T3" i="8"/>
  <c r="G23" i="6"/>
  <c r="H21" i="6"/>
  <c r="N21" i="3"/>
  <c r="N22" i="3" s="1"/>
  <c r="N31" i="3"/>
  <c r="O29" i="3"/>
  <c r="N51" i="3"/>
  <c r="L55" i="3"/>
  <c r="M34" i="3"/>
  <c r="L38" i="3"/>
  <c r="V35" i="3"/>
  <c r="V38" i="3" s="1"/>
  <c r="M33" i="3"/>
  <c r="H28" i="6"/>
  <c r="H29" i="6" s="1"/>
  <c r="P7" i="8"/>
  <c r="T7" i="8"/>
  <c r="AC5" i="8"/>
  <c r="V49" i="3" l="1"/>
  <c r="V41" i="3"/>
  <c r="V40" i="3"/>
  <c r="N48" i="3"/>
  <c r="N40" i="3" s="1"/>
  <c r="O48" i="3"/>
  <c r="P5" i="8"/>
  <c r="T5" i="8"/>
  <c r="J25" i="6"/>
  <c r="J26" i="6" s="1"/>
  <c r="J28" i="6"/>
  <c r="K22" i="6"/>
  <c r="Q25" i="3"/>
  <c r="Q24" i="3"/>
  <c r="Q26" i="3"/>
  <c r="M55" i="3"/>
  <c r="I21" i="6"/>
  <c r="H23" i="6"/>
  <c r="I28" i="6"/>
  <c r="I29" i="6" s="1"/>
  <c r="AD7" i="8"/>
  <c r="AB7" i="8"/>
  <c r="M35" i="3"/>
  <c r="M39" i="3" s="1"/>
  <c r="O46" i="3"/>
  <c r="O43" i="3"/>
  <c r="P32" i="3"/>
  <c r="P35" i="3" s="1"/>
  <c r="P30" i="3"/>
  <c r="P34" i="3" s="1"/>
  <c r="Q27" i="3"/>
  <c r="Q36" i="3" s="1"/>
  <c r="W39" i="3"/>
  <c r="W55" i="3"/>
  <c r="W40" i="3"/>
  <c r="P31" i="3"/>
  <c r="P21" i="3"/>
  <c r="P22" i="3" s="1"/>
  <c r="Q29" i="3"/>
  <c r="Q43" i="3" s="1"/>
  <c r="P51" i="3"/>
  <c r="M47" i="3"/>
  <c r="AD3" i="8"/>
  <c r="AB3" i="8"/>
  <c r="P53" i="3"/>
  <c r="P46" i="3"/>
  <c r="N55" i="3"/>
  <c r="O47" i="3"/>
  <c r="N47" i="3"/>
  <c r="O35" i="3"/>
  <c r="O34" i="3"/>
  <c r="O55" i="3" s="1"/>
  <c r="N35" i="3"/>
  <c r="N38" i="3" s="1"/>
  <c r="R3" i="3"/>
  <c r="S2" i="3"/>
  <c r="AB6" i="8"/>
  <c r="AD6" i="8"/>
  <c r="W38" i="3"/>
  <c r="W42" i="3" l="1"/>
  <c r="W49" i="3" s="1"/>
  <c r="N49" i="3"/>
  <c r="O42" i="3" s="1"/>
  <c r="N41" i="3"/>
  <c r="O41" i="3" s="1"/>
  <c r="Q46" i="3"/>
  <c r="Q28" i="3"/>
  <c r="Q53" i="3"/>
  <c r="Q50" i="3"/>
  <c r="R26" i="3"/>
  <c r="R24" i="3"/>
  <c r="R25" i="3"/>
  <c r="M49" i="3"/>
  <c r="J29" i="6"/>
  <c r="M38" i="3"/>
  <c r="O39" i="3"/>
  <c r="O38" i="3"/>
  <c r="O40" i="3"/>
  <c r="J21" i="6"/>
  <c r="I23" i="6"/>
  <c r="Q31" i="3"/>
  <c r="Q21" i="3"/>
  <c r="T2" i="3"/>
  <c r="S3" i="3"/>
  <c r="P38" i="3"/>
  <c r="P48" i="3"/>
  <c r="Q48" i="3"/>
  <c r="W41" i="3"/>
  <c r="P47" i="3"/>
  <c r="Q34" i="3"/>
  <c r="P55" i="3"/>
  <c r="Q30" i="3"/>
  <c r="Q33" i="3" s="1"/>
  <c r="Q35" i="3" s="1"/>
  <c r="Q22" i="3"/>
  <c r="Q32" i="3"/>
  <c r="K25" i="6"/>
  <c r="K26" i="6" s="1"/>
  <c r="K28" i="6"/>
  <c r="L22" i="6"/>
  <c r="AB5" i="8"/>
  <c r="AD5" i="8"/>
  <c r="O49" i="3" l="1"/>
  <c r="P40" i="3"/>
  <c r="Q55" i="3"/>
  <c r="P49" i="3"/>
  <c r="P41" i="3"/>
  <c r="K29" i="6"/>
  <c r="S24" i="3"/>
  <c r="S26" i="3"/>
  <c r="S25" i="3"/>
  <c r="R53" i="3"/>
  <c r="R46" i="3"/>
  <c r="Q39" i="3"/>
  <c r="T3" i="3"/>
  <c r="U2" i="3"/>
  <c r="U3" i="3" s="1"/>
  <c r="R32" i="3"/>
  <c r="R30" i="3"/>
  <c r="R34" i="3" s="1"/>
  <c r="S27" i="3"/>
  <c r="S36" i="3" s="1"/>
  <c r="K21" i="6"/>
  <c r="J23" i="6"/>
  <c r="R21" i="3"/>
  <c r="R22" i="3" s="1"/>
  <c r="R51" i="3"/>
  <c r="R31" i="3"/>
  <c r="M22" i="6"/>
  <c r="L25" i="6"/>
  <c r="L26" i="6" s="1"/>
  <c r="L28" i="6"/>
  <c r="Q38" i="3"/>
  <c r="Q47" i="3"/>
  <c r="Q40" i="3" s="1"/>
  <c r="Q42" i="3" l="1"/>
  <c r="Q41" i="3"/>
  <c r="S28" i="3"/>
  <c r="S46" i="3"/>
  <c r="S50" i="3"/>
  <c r="S53" i="3"/>
  <c r="S34" i="3"/>
  <c r="S47" i="3"/>
  <c r="R47" i="3"/>
  <c r="R55" i="3"/>
  <c r="S31" i="3"/>
  <c r="S21" i="3"/>
  <c r="S32" i="3"/>
  <c r="S22" i="3"/>
  <c r="S30" i="3"/>
  <c r="S33" i="3" s="1"/>
  <c r="U25" i="3"/>
  <c r="U26" i="3"/>
  <c r="U24" i="3"/>
  <c r="S29" i="3"/>
  <c r="S43" i="3" s="1"/>
  <c r="L21" i="6"/>
  <c r="K23" i="6"/>
  <c r="S48" i="3"/>
  <c r="R48" i="3"/>
  <c r="T24" i="3"/>
  <c r="T25" i="3"/>
  <c r="T26" i="3"/>
  <c r="R35" i="3"/>
  <c r="R38" i="3" s="1"/>
  <c r="M25" i="6"/>
  <c r="M26" i="6" s="1"/>
  <c r="N22" i="6"/>
  <c r="M28" i="6"/>
  <c r="S35" i="3"/>
  <c r="Q49" i="3"/>
  <c r="S38" i="3" l="1"/>
  <c r="R40" i="3"/>
  <c r="R49" i="3"/>
  <c r="R41" i="3"/>
  <c r="M29" i="6"/>
  <c r="M21" i="6"/>
  <c r="L23" i="6"/>
  <c r="U46" i="3"/>
  <c r="U53" i="3"/>
  <c r="U50" i="3"/>
  <c r="U28" i="3"/>
  <c r="T21" i="3"/>
  <c r="T31" i="3"/>
  <c r="U29" i="3"/>
  <c r="U43" i="3" s="1"/>
  <c r="T51" i="3"/>
  <c r="N25" i="6"/>
  <c r="N26" i="6" s="1"/>
  <c r="O22" i="6"/>
  <c r="N28" i="6"/>
  <c r="T53" i="3"/>
  <c r="T46" i="3"/>
  <c r="U30" i="3"/>
  <c r="U33" i="3" s="1"/>
  <c r="U32" i="3"/>
  <c r="L29" i="6"/>
  <c r="S39" i="3"/>
  <c r="T32" i="3"/>
  <c r="U27" i="3"/>
  <c r="U36" i="3" s="1"/>
  <c r="T30" i="3"/>
  <c r="T34" i="3" s="1"/>
  <c r="T22" i="3"/>
  <c r="U31" i="3"/>
  <c r="U21" i="3"/>
  <c r="U22" i="3" s="1"/>
  <c r="S40" i="3"/>
  <c r="S55" i="3"/>
  <c r="T35" i="3" l="1"/>
  <c r="S42" i="3"/>
  <c r="S49" i="3" s="1"/>
  <c r="S41" i="3"/>
  <c r="U47" i="3"/>
  <c r="T47" i="3"/>
  <c r="U34" i="3"/>
  <c r="U55" i="3" s="1"/>
  <c r="T55" i="3"/>
  <c r="O25" i="6"/>
  <c r="O26" i="6" s="1"/>
  <c r="P22" i="6"/>
  <c r="O28" i="6"/>
  <c r="N21" i="6"/>
  <c r="M23" i="6"/>
  <c r="U48" i="3"/>
  <c r="U40" i="3" s="1"/>
  <c r="T48" i="3"/>
  <c r="T38" i="3"/>
  <c r="U35" i="3"/>
  <c r="U39" i="3" l="1"/>
  <c r="T40" i="3"/>
  <c r="T49" i="3"/>
  <c r="T41" i="3"/>
  <c r="O29" i="6"/>
  <c r="U38" i="3"/>
  <c r="Q22" i="6"/>
  <c r="P25" i="6"/>
  <c r="P26" i="6" s="1"/>
  <c r="P28" i="6"/>
  <c r="O21" i="6"/>
  <c r="N23" i="6"/>
  <c r="N29" i="6"/>
  <c r="U41" i="3" l="1"/>
  <c r="U42" i="3"/>
  <c r="U49" i="3" s="1"/>
  <c r="P21" i="6"/>
  <c r="O23" i="6"/>
  <c r="Q25" i="6"/>
  <c r="Q26" i="6" s="1"/>
  <c r="R22" i="6"/>
  <c r="Q28" i="6" l="1"/>
  <c r="Q21" i="6"/>
  <c r="P23" i="6"/>
  <c r="R25" i="6"/>
  <c r="R26" i="6" s="1"/>
  <c r="R28" i="6"/>
  <c r="S22" i="6"/>
  <c r="P29" i="6"/>
  <c r="S25" i="6" l="1"/>
  <c r="S26" i="6" s="1"/>
  <c r="S28" i="6"/>
  <c r="T22" i="6"/>
  <c r="R21" i="6"/>
  <c r="Q23" i="6"/>
  <c r="Q29" i="6"/>
  <c r="U22" i="6" l="1"/>
  <c r="T25" i="6"/>
  <c r="T26" i="6" s="1"/>
  <c r="T28" i="6"/>
  <c r="S21" i="6"/>
  <c r="R23" i="6"/>
  <c r="R29" i="6"/>
  <c r="T21" i="6" l="1"/>
  <c r="S23" i="6"/>
  <c r="S29" i="6"/>
  <c r="U25" i="6"/>
  <c r="U26" i="6" s="1"/>
  <c r="V22" i="6"/>
  <c r="U28" i="6"/>
  <c r="V25" i="6" l="1"/>
  <c r="V26" i="6" s="1"/>
  <c r="W22" i="6"/>
  <c r="U21" i="6"/>
  <c r="T23" i="6"/>
  <c r="T29" i="6"/>
  <c r="W25" i="6" l="1"/>
  <c r="W26" i="6" s="1"/>
  <c r="X22" i="6"/>
  <c r="W28" i="6"/>
  <c r="V21" i="6"/>
  <c r="U23" i="6"/>
  <c r="V28" i="6"/>
  <c r="V29" i="6" s="1"/>
  <c r="U29" i="6"/>
  <c r="Y22" i="6" l="1"/>
  <c r="X25" i="6"/>
  <c r="X26" i="6" s="1"/>
  <c r="H12" i="6"/>
  <c r="W21" i="6"/>
  <c r="V23" i="6"/>
  <c r="X21" i="6" l="1"/>
  <c r="W23" i="6"/>
  <c r="Y25" i="6"/>
  <c r="Y26" i="6" s="1"/>
  <c r="Z22" i="6"/>
  <c r="X28" i="6"/>
  <c r="X29" i="6" s="1"/>
  <c r="W29" i="6"/>
  <c r="Z25" i="6" l="1"/>
  <c r="Z26" i="6" s="1"/>
  <c r="Z28" i="6"/>
  <c r="AA22" i="6"/>
  <c r="Y28" i="6"/>
  <c r="Y21" i="6"/>
  <c r="X23" i="6"/>
  <c r="AB22" i="6" l="1"/>
  <c r="AA25" i="6"/>
  <c r="AA26" i="6" s="1"/>
  <c r="Z21" i="6"/>
  <c r="Y23" i="6"/>
  <c r="I12" i="6" s="1"/>
  <c r="J12" i="6" s="1"/>
  <c r="Y29" i="6"/>
  <c r="N12" i="6" s="1"/>
  <c r="P12" i="6" s="1"/>
  <c r="AC22" i="6" l="1"/>
  <c r="AB25" i="6"/>
  <c r="AB26" i="6" s="1"/>
  <c r="AA21" i="6"/>
  <c r="Z23" i="6"/>
  <c r="AA28" i="6"/>
  <c r="AA29" i="6" s="1"/>
  <c r="Z29" i="6"/>
  <c r="AB28" i="6" l="1"/>
  <c r="AB21" i="6"/>
  <c r="AA23" i="6"/>
  <c r="AD22" i="6"/>
  <c r="AC25" i="6"/>
  <c r="AC26" i="6" s="1"/>
  <c r="H13" i="6"/>
  <c r="AE22" i="6" l="1"/>
  <c r="AD25" i="6"/>
  <c r="AD26" i="6" s="1"/>
  <c r="AC21" i="6"/>
  <c r="AB23" i="6"/>
  <c r="AC28" i="6"/>
  <c r="AC29" i="6" s="1"/>
  <c r="AB29" i="6"/>
  <c r="AD28" i="6" l="1"/>
  <c r="AF22" i="6"/>
  <c r="AE28" i="6"/>
  <c r="AE25" i="6"/>
  <c r="AE26" i="6" s="1"/>
  <c r="AD21" i="6"/>
  <c r="AC23" i="6"/>
  <c r="AG22" i="6" l="1"/>
  <c r="AF28" i="6"/>
  <c r="AF25" i="6"/>
  <c r="AF26" i="6" s="1"/>
  <c r="AE21" i="6"/>
  <c r="AD23" i="6"/>
  <c r="I13" i="6" s="1"/>
  <c r="J13" i="6" s="1"/>
  <c r="AD29" i="6"/>
  <c r="N13" i="6" s="1"/>
  <c r="P13" i="6" s="1"/>
  <c r="AF21" i="6" l="1"/>
  <c r="AE23" i="6"/>
  <c r="AH22" i="6"/>
  <c r="AG25" i="6"/>
  <c r="AG26" i="6" s="1"/>
  <c r="AE29" i="6"/>
  <c r="AI22" i="6" l="1"/>
  <c r="AH25" i="6"/>
  <c r="AH26" i="6" s="1"/>
  <c r="H14" i="6"/>
  <c r="AG21" i="6"/>
  <c r="AF23" i="6"/>
  <c r="AG28" i="6"/>
  <c r="AG29" i="6" s="1"/>
  <c r="AF29" i="6"/>
  <c r="AJ22" i="6" l="1"/>
  <c r="AI25" i="6"/>
  <c r="AI26" i="6" s="1"/>
  <c r="AH21" i="6"/>
  <c r="AG23" i="6"/>
  <c r="AH28" i="6"/>
  <c r="AH29" i="6" s="1"/>
  <c r="AK22" i="6" l="1"/>
  <c r="AJ25" i="6"/>
  <c r="AJ26" i="6" s="1"/>
  <c r="AI28" i="6"/>
  <c r="AI21" i="6"/>
  <c r="AH23" i="6"/>
  <c r="AJ21" i="6" l="1"/>
  <c r="AI23" i="6"/>
  <c r="I14" i="6" s="1"/>
  <c r="J14" i="6" s="1"/>
  <c r="AJ28" i="6"/>
  <c r="AJ29" i="6" s="1"/>
  <c r="AI29" i="6"/>
  <c r="N14" i="6" s="1"/>
  <c r="P14" i="6" s="1"/>
  <c r="AL22" i="6"/>
  <c r="AK25" i="6"/>
  <c r="AK26" i="6" s="1"/>
  <c r="AK28" i="6" l="1"/>
  <c r="AL25" i="6"/>
  <c r="AL26" i="6" s="1"/>
  <c r="AM22" i="6"/>
  <c r="H15" i="6"/>
  <c r="AK21" i="6"/>
  <c r="AJ23" i="6"/>
  <c r="AM25" i="6" l="1"/>
  <c r="AM26" i="6" s="1"/>
  <c r="AN22" i="6"/>
  <c r="AL21" i="6"/>
  <c r="AK23" i="6"/>
  <c r="AL28" i="6"/>
  <c r="AL29" i="6" s="1"/>
  <c r="AK29" i="6"/>
  <c r="AN25" i="6" l="1"/>
  <c r="AN26" i="6" s="1"/>
  <c r="AM21" i="6"/>
  <c r="AL23" i="6"/>
  <c r="AM28" i="6"/>
  <c r="AN21" i="6" l="1"/>
  <c r="AN23" i="6" s="1"/>
  <c r="AM23" i="6"/>
  <c r="I15" i="6" s="1"/>
  <c r="J15" i="6" s="1"/>
  <c r="AM29" i="6"/>
  <c r="N15" i="6" s="1"/>
  <c r="P15" i="6" s="1"/>
  <c r="AN28" i="6"/>
  <c r="AN29" i="6" s="1"/>
</calcChain>
</file>

<file path=xl/comments1.xml><?xml version="1.0" encoding="utf-8"?>
<comments xmlns="http://schemas.openxmlformats.org/spreadsheetml/2006/main">
  <authors>
    <author>Dénes CSALA</author>
  </authors>
  <commentList>
    <comment ref="M42" authorId="0" shapeId="0">
      <text>
        <r>
          <rPr>
            <b/>
            <sz val="9"/>
            <color indexed="81"/>
            <rFont val="Tahoma"/>
            <charset val="1"/>
          </rPr>
          <t>Dénes CSALA:</t>
        </r>
        <r>
          <rPr>
            <sz val="9"/>
            <color indexed="81"/>
            <rFont val="Tahoma"/>
            <charset val="1"/>
          </rPr>
          <t xml:space="preserve">
changed L45 to L49
changed R to R+1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Dénes CSALA:</t>
        </r>
        <r>
          <rPr>
            <sz val="9"/>
            <color indexed="81"/>
            <rFont val="Tahoma"/>
            <charset val="1"/>
          </rPr>
          <t xml:space="preserve">
Added *(1+Ls)
</t>
        </r>
      </text>
    </comment>
  </commentList>
</comments>
</file>

<file path=xl/sharedStrings.xml><?xml version="1.0" encoding="utf-8"?>
<sst xmlns="http://schemas.openxmlformats.org/spreadsheetml/2006/main" count="367" uniqueCount="277">
  <si>
    <t>Capture energy  %</t>
  </si>
  <si>
    <t>rop</t>
  </si>
  <si>
    <t>rcap</t>
  </si>
  <si>
    <t>Capital of CCS % of Ec</t>
  </si>
  <si>
    <t>f</t>
  </si>
  <si>
    <t>ratio of Eop to Ec</t>
  </si>
  <si>
    <t>EROI without CCS</t>
  </si>
  <si>
    <t>EROI</t>
  </si>
  <si>
    <t>Capture Energy</t>
  </si>
  <si>
    <t>Table 6</t>
  </si>
  <si>
    <t>min</t>
  </si>
  <si>
    <t>max</t>
  </si>
  <si>
    <t>Depreciation</t>
  </si>
  <si>
    <t>AverageCost of CCS per t CO2 minus depreciation</t>
  </si>
  <si>
    <t>tCO2 per ton DCL</t>
  </si>
  <si>
    <t>capture efficiency</t>
  </si>
  <si>
    <t>Energy for CCS per t CO2</t>
  </si>
  <si>
    <t>Avg energy for CCS per t DCL minus depreciation</t>
  </si>
  <si>
    <t>Energy input for DCL per ton DCL with internal energy</t>
  </si>
  <si>
    <t>MJ/tDCL</t>
  </si>
  <si>
    <t>MJ/tCO2</t>
  </si>
  <si>
    <t>Average</t>
  </si>
  <si>
    <t>fop</t>
  </si>
  <si>
    <t>Energy output of DCL per ton with byproducts</t>
  </si>
  <si>
    <t xml:space="preserve">origin </t>
  </si>
  <si>
    <t>Kong, Y., Dong, X., Xu, B., Li, R., Yin, Q., &amp; Song, C. (2015). EROI Analysis for Direct Coal Liquefaction without and with CCS: The Case of the Shenhua DCL Project in China. Energies, 8(2), 786–807. http://doi.org/10.3390/en8020786</t>
  </si>
  <si>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</si>
  <si>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</si>
  <si>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</si>
  <si>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</si>
  <si>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</si>
  <si>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</si>
  <si>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</si>
  <si>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</si>
  <si>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</si>
  <si>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</si>
  <si>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</si>
  <si>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</si>
  <si>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</si>
  <si>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</si>
  <si>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</si>
  <si>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</si>
  <si>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</si>
  <si>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</si>
  <si>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</si>
  <si>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</si>
  <si>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</si>
  <si>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</si>
  <si>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</si>
  <si>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</si>
  <si>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</si>
  <si>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</si>
  <si>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</si>
  <si>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</si>
  <si>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</si>
  <si>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</si>
  <si>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</si>
  <si>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</si>
  <si>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</si>
  <si>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</si>
  <si>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</si>
  <si>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</si>
  <si>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>Net Difference</t>
  </si>
  <si>
    <t>fop (just plant losses)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</si>
  <si>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</si>
  <si>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</si>
  <si>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</si>
  <si>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</si>
  <si>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</si>
  <si>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</si>
  <si>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</si>
  <si>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</si>
  <si>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</si>
  <si>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</si>
  <si>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</si>
  <si>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</si>
  <si>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</si>
  <si>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</si>
  <si>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</si>
  <si>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</si>
  <si>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</si>
  <si>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</si>
  <si>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</si>
  <si>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</si>
  <si>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</si>
  <si>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</si>
  <si>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</si>
  <si>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</si>
  <si>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</si>
  <si>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</si>
  <si>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</si>
  <si>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</si>
  <si>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</si>
  <si>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</si>
  <si>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</si>
  <si>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</si>
  <si>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</si>
  <si>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</si>
  <si>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</si>
  <si>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</si>
  <si>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</si>
  <si>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</si>
  <si>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</si>
  <si>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</si>
  <si>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</si>
  <si>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</si>
  <si>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</si>
  <si>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kw</t>
  </si>
  <si>
    <t>IEA</t>
  </si>
  <si>
    <t>Scalable RE</t>
  </si>
  <si>
    <t>Biomass</t>
  </si>
  <si>
    <t>From IEA 2012 Energy Tech Perspectives</t>
  </si>
  <si>
    <t>Gt CO2</t>
  </si>
  <si>
    <t>China</t>
  </si>
  <si>
    <t>IEA 2013 CCS roadmap</t>
  </si>
  <si>
    <t>OECD Amer</t>
  </si>
  <si>
    <t>Other non-OECD</t>
  </si>
  <si>
    <t>India</t>
  </si>
  <si>
    <t>Africa and ME</t>
  </si>
  <si>
    <t>OECD Asia Oceania</t>
  </si>
  <si>
    <t>Central/S.Amer</t>
  </si>
  <si>
    <t>Total</t>
  </si>
  <si>
    <t>OECD Eur</t>
  </si>
  <si>
    <t>GW</t>
  </si>
  <si>
    <t>NG</t>
  </si>
  <si>
    <t>Coal</t>
  </si>
  <si>
    <t>RE Gen 2050 2DS hiRen</t>
  </si>
  <si>
    <t>PV</t>
  </si>
  <si>
    <t>CSP</t>
  </si>
  <si>
    <t>Wind on shore</t>
  </si>
  <si>
    <t>Wind offshore</t>
  </si>
  <si>
    <t>Geothermal</t>
  </si>
  <si>
    <t>TWh</t>
  </si>
  <si>
    <t>Ocean</t>
  </si>
  <si>
    <t>Twe</t>
  </si>
  <si>
    <t>Capacity factor</t>
  </si>
  <si>
    <t>TWp</t>
  </si>
  <si>
    <t>Biomass and waste</t>
  </si>
  <si>
    <t>Share achieved</t>
  </si>
  <si>
    <t>Power CCS</t>
  </si>
  <si>
    <t>2012 biomass</t>
  </si>
  <si>
    <t>2016 biomass</t>
  </si>
  <si>
    <t>Sum</t>
  </si>
  <si>
    <t>-</t>
  </si>
  <si>
    <t>Annual Growth Rate</t>
  </si>
  <si>
    <t>IEA 2DS Projections</t>
  </si>
  <si>
    <t>2012-16</t>
  </si>
  <si>
    <t>Year</t>
  </si>
  <si>
    <t>Note: Figures from authors' calculations based on IEA and IRENA data</t>
  </si>
  <si>
    <t>Installed Base (GWp)</t>
  </si>
  <si>
    <t>Emirates steel</t>
  </si>
  <si>
    <t>MW</t>
  </si>
  <si>
    <t>tonnes CO2/year</t>
  </si>
  <si>
    <t xml:space="preserve">power </t>
  </si>
  <si>
    <t>MWh</t>
  </si>
  <si>
    <t>tonnes/MWh</t>
  </si>
  <si>
    <t>kg/kWh</t>
  </si>
  <si>
    <t>MWh/tonne</t>
  </si>
  <si>
    <t>Al Reyadah</t>
  </si>
  <si>
    <t>Petra Nova</t>
  </si>
  <si>
    <t>tons/day</t>
  </si>
  <si>
    <t>1 billion</t>
  </si>
  <si>
    <t>t/day</t>
  </si>
  <si>
    <t>10% of 2.5GW</t>
  </si>
  <si>
    <t>kWh</t>
  </si>
  <si>
    <t>$/Wp</t>
  </si>
  <si>
    <t>FLH</t>
  </si>
  <si>
    <t>DR</t>
  </si>
  <si>
    <t>Size</t>
  </si>
  <si>
    <t>Ouput</t>
  </si>
  <si>
    <t>Degradation</t>
  </si>
  <si>
    <t>Discounted</t>
  </si>
  <si>
    <t>Output sum</t>
  </si>
  <si>
    <t>LCOE</t>
  </si>
  <si>
    <t>Storage cost</t>
  </si>
  <si>
    <t>$/kWh</t>
  </si>
  <si>
    <t>Storage fraction</t>
  </si>
  <si>
    <t>Stored energy</t>
  </si>
  <si>
    <t>Storage efficiency</t>
  </si>
  <si>
    <t>Returned energy</t>
  </si>
  <si>
    <t>Energy output</t>
  </si>
  <si>
    <t>Storage size</t>
  </si>
  <si>
    <t>Storage unit cost</t>
  </si>
  <si>
    <t>Installed unit cost</t>
  </si>
  <si>
    <t>kW</t>
  </si>
  <si>
    <t>Installed RE cost</t>
  </si>
  <si>
    <t>$</t>
  </si>
  <si>
    <t>Rated cycles</t>
  </si>
  <si>
    <t>Lifetime</t>
  </si>
  <si>
    <t>Discounted energy output</t>
  </si>
  <si>
    <t>Stored output</t>
  </si>
  <si>
    <t>Storage system cost</t>
  </si>
  <si>
    <t>LCOE stored</t>
  </si>
  <si>
    <t>Undiscounted</t>
  </si>
  <si>
    <t>of carbon free electricity</t>
  </si>
  <si>
    <t>Breyer 2017</t>
  </si>
  <si>
    <t>Estimates</t>
  </si>
  <si>
    <t>PV single</t>
  </si>
  <si>
    <t>Wind</t>
  </si>
  <si>
    <t>hydro</t>
  </si>
  <si>
    <t>sum</t>
  </si>
  <si>
    <t>Ratio</t>
  </si>
  <si>
    <t>TW</t>
  </si>
  <si>
    <t>CF</t>
  </si>
  <si>
    <t>only variable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</si>
  <si>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</si>
  <si>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</si>
  <si>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</si>
  <si>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</si>
  <si>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</si>
  <si>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</si>
  <si>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</si>
  <si>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</si>
  <si>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simple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</si>
  <si>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</si>
  <si>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</si>
  <si>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</si>
  <si>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</si>
  <si>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</si>
  <si>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</si>
  <si>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</si>
  <si>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</si>
  <si>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</si>
  <si>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</si>
  <si>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</si>
  <si>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</si>
  <si>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</si>
  <si>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</si>
  <si>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</si>
  <si>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</si>
  <si>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</si>
  <si>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</si>
  <si>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</si>
  <si>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</si>
  <si>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</si>
  <si>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 xml:space="preserve">Fuel </t>
  </si>
  <si>
    <t>MWth</t>
  </si>
  <si>
    <t>Gross efficiency</t>
  </si>
  <si>
    <t>Gross electricity</t>
  </si>
  <si>
    <t>MW e</t>
  </si>
  <si>
    <t>Auxiliary share</t>
  </si>
  <si>
    <t>Net electricity</t>
  </si>
  <si>
    <t>Auxiliary</t>
  </si>
  <si>
    <t>Net efficiency</t>
  </si>
  <si>
    <t>EROI Net</t>
  </si>
  <si>
    <t>Capacity Factor</t>
  </si>
  <si>
    <t>Eout gross</t>
  </si>
  <si>
    <t>GWh</t>
  </si>
  <si>
    <t>Eout net</t>
  </si>
  <si>
    <t>E aux</t>
  </si>
  <si>
    <t>Ef</t>
  </si>
  <si>
    <t>EROI th</t>
  </si>
  <si>
    <t>Ecap</t>
  </si>
  <si>
    <t>E O&amp;M</t>
  </si>
  <si>
    <t>$/KW</t>
  </si>
  <si>
    <t>Investment</t>
  </si>
  <si>
    <t>Intensity</t>
  </si>
  <si>
    <t>TJ/$million 2007</t>
  </si>
  <si>
    <t>GWh/million</t>
  </si>
  <si>
    <t>O&amp;M share</t>
  </si>
  <si>
    <t>EROI gross</t>
  </si>
  <si>
    <t>EROI net</t>
  </si>
  <si>
    <t>IGCC paradox</t>
  </si>
  <si>
    <t>C2 with lower CF</t>
  </si>
  <si>
    <t>C1 + CCS</t>
  </si>
  <si>
    <t>E ccs</t>
  </si>
  <si>
    <t>fcap</t>
  </si>
  <si>
    <t>E O&amp;M ccs</t>
  </si>
  <si>
    <t>C1 gas</t>
  </si>
  <si>
    <t>C1 coal</t>
  </si>
  <si>
    <t>Efuel</t>
  </si>
  <si>
    <t>Eaux CCS</t>
  </si>
  <si>
    <t>Auxilliary CCS</t>
  </si>
  <si>
    <t>Eout net  (GWh)</t>
  </si>
  <si>
    <t>R</t>
  </si>
  <si>
    <t>R and EROI CCS</t>
  </si>
  <si>
    <t>EROEIel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</si>
</sst>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00%"/>
    <numFmt numFmtId="166" formatCode="0.0%"/>
    <numFmt numFmtId="167" formatCode="_(* #,##0_);_(* \(#,##0\);_(* &quot;-&quot;??_);_(@_)"/>
    <numFmt numFmtId="168" formatCode="_(* #,##0.0_);_(* \(#,##0.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right"/>
    </xf>
    <xf numFmtId="9" fontId="3" fillId="0" borderId="0" xfId="0" applyNumberFormat="1" applyFont="1"/>
    <xf numFmtId="0" fontId="3" fillId="0" borderId="0" xfId="0" applyFon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6" fontId="0" fillId="0" borderId="0" xfId="1" applyNumberFormat="1" applyFont="1"/>
    <xf numFmtId="167" fontId="0" fillId="0" borderId="0" xfId="0" applyNumberFormat="1"/>
    <xf numFmtId="167" fontId="0" fillId="0" borderId="29" xfId="24" applyNumberFormat="1" applyFont="1" applyBorder="1"/>
    <xf numFmtId="166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7" fontId="0" fillId="4" borderId="30" xfId="24" applyNumberFormat="1" applyFont="1" applyFill="1" applyBorder="1"/>
    <xf numFmtId="166" fontId="0" fillId="4" borderId="30" xfId="1" applyNumberFormat="1" applyFont="1" applyFill="1" applyBorder="1"/>
    <xf numFmtId="0" fontId="12" fillId="0" borderId="31" xfId="0" applyFont="1" applyBorder="1"/>
    <xf numFmtId="166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6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6" fontId="14" fillId="5" borderId="40" xfId="0" applyNumberFormat="1" applyFont="1" applyFill="1" applyBorder="1"/>
    <xf numFmtId="167" fontId="0" fillId="0" borderId="31" xfId="24" applyNumberFormat="1" applyFont="1" applyBorder="1"/>
    <xf numFmtId="167" fontId="0" fillId="4" borderId="32" xfId="24" applyNumberFormat="1" applyFont="1" applyFill="1" applyBorder="1"/>
    <xf numFmtId="0" fontId="15" fillId="0" borderId="0" xfId="0" applyFont="1" applyBorder="1"/>
    <xf numFmtId="0" fontId="16" fillId="0" borderId="49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6" borderId="39" xfId="0" applyFont="1" applyFill="1" applyBorder="1"/>
    <xf numFmtId="0" fontId="15" fillId="6" borderId="45" xfId="0" applyFont="1" applyFill="1" applyBorder="1" applyAlignment="1">
      <alignment horizontal="center"/>
    </xf>
    <xf numFmtId="0" fontId="15" fillId="6" borderId="46" xfId="0" applyFont="1" applyFill="1" applyBorder="1" applyAlignment="1">
      <alignment horizontal="center"/>
    </xf>
    <xf numFmtId="0" fontId="15" fillId="6" borderId="50" xfId="0" applyFont="1" applyFill="1" applyBorder="1" applyAlignment="1">
      <alignment horizontal="center"/>
    </xf>
    <xf numFmtId="0" fontId="16" fillId="0" borderId="39" xfId="0" applyFont="1" applyBorder="1"/>
    <xf numFmtId="0" fontId="15" fillId="0" borderId="45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5" fillId="0" borderId="50" xfId="0" applyFont="1" applyBorder="1" applyAlignment="1">
      <alignment horizontal="right"/>
    </xf>
    <xf numFmtId="10" fontId="15" fillId="0" borderId="45" xfId="1" applyNumberFormat="1" applyFont="1" applyBorder="1" applyAlignment="1">
      <alignment horizontal="right"/>
    </xf>
    <xf numFmtId="10" fontId="15" fillId="0" borderId="46" xfId="1" applyNumberFormat="1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10" fontId="15" fillId="0" borderId="47" xfId="1" applyNumberFormat="1" applyFont="1" applyBorder="1" applyAlignment="1">
      <alignment horizontal="right"/>
    </xf>
    <xf numFmtId="10" fontId="15" fillId="0" borderId="48" xfId="1" applyNumberFormat="1" applyFont="1" applyBorder="1" applyAlignment="1">
      <alignment horizontal="right"/>
    </xf>
    <xf numFmtId="0" fontId="15" fillId="0" borderId="0" xfId="0" applyFont="1"/>
    <xf numFmtId="0" fontId="17" fillId="0" borderId="0" xfId="0" applyFont="1"/>
    <xf numFmtId="10" fontId="0" fillId="0" borderId="0" xfId="0" applyNumberFormat="1"/>
    <xf numFmtId="167" fontId="0" fillId="0" borderId="0" xfId="24" applyNumberFormat="1" applyFont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52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6" fontId="12" fillId="4" borderId="0" xfId="1" applyNumberFormat="1" applyFont="1" applyFill="1" applyBorder="1"/>
    <xf numFmtId="167" fontId="12" fillId="0" borderId="0" xfId="0" applyNumberFormat="1" applyFont="1" applyBorder="1"/>
    <xf numFmtId="167" fontId="12" fillId="0" borderId="0" xfId="24" applyNumberFormat="1" applyFont="1" applyBorder="1"/>
    <xf numFmtId="167" fontId="12" fillId="4" borderId="0" xfId="24" applyNumberFormat="1" applyFont="1" applyFill="1" applyBorder="1"/>
    <xf numFmtId="166" fontId="12" fillId="0" borderId="0" xfId="1" applyNumberFormat="1" applyFont="1" applyBorder="1"/>
    <xf numFmtId="0" fontId="7" fillId="0" borderId="52" xfId="0" applyFont="1" applyBorder="1" applyAlignment="1">
      <alignment vertical="center" wrapText="1"/>
    </xf>
    <xf numFmtId="167" fontId="0" fillId="0" borderId="29" xfId="24" applyNumberFormat="1" applyFont="1" applyBorder="1" applyAlignment="1">
      <alignment horizontal="center"/>
    </xf>
    <xf numFmtId="167" fontId="0" fillId="0" borderId="30" xfId="24" applyNumberFormat="1" applyFont="1" applyBorder="1" applyAlignment="1">
      <alignment horizontal="center"/>
    </xf>
    <xf numFmtId="166" fontId="0" fillId="0" borderId="29" xfId="1" applyNumberFormat="1" applyFont="1" applyBorder="1" applyAlignment="1">
      <alignment horizontal="center"/>
    </xf>
    <xf numFmtId="166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8" fontId="0" fillId="4" borderId="30" xfId="24" applyNumberFormat="1" applyFont="1" applyFill="1" applyBorder="1"/>
    <xf numFmtId="168" fontId="0" fillId="0" borderId="0" xfId="24" applyNumberFormat="1" applyFont="1" applyBorder="1"/>
    <xf numFmtId="167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24" applyFont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7" borderId="37" xfId="0" applyFill="1" applyBorder="1" applyAlignment="1">
      <alignment horizontal="right"/>
    </xf>
    <xf numFmtId="0" fontId="0" fillId="0" borderId="0" xfId="0" applyAlignment="1">
      <alignment horizontal="center"/>
    </xf>
    <xf numFmtId="3" fontId="6" fillId="0" borderId="8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6" fontId="13" fillId="0" borderId="31" xfId="1" applyNumberFormat="1" applyFont="1" applyBorder="1" applyAlignment="1">
      <alignment horizontal="center"/>
    </xf>
    <xf numFmtId="166" fontId="13" fillId="0" borderId="35" xfId="1" applyNumberFormat="1" applyFont="1" applyBorder="1" applyAlignment="1">
      <alignment horizontal="center"/>
    </xf>
    <xf numFmtId="166" fontId="13" fillId="0" borderId="32" xfId="1" applyNumberFormat="1" applyFont="1" applyBorder="1" applyAlignment="1">
      <alignment horizontal="center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1</xdr:row>
      <xdr:rowOff>127000</xdr:rowOff>
    </xdr:from>
    <xdr:to>
      <xdr:col>14</xdr:col>
      <xdr:colOff>664210</xdr:colOff>
      <xdr:row>10</xdr:row>
      <xdr:rowOff>157480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"/>
          <a:ext cx="5274310" cy="25577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38100</xdr:colOff>
      <xdr:row>17</xdr:row>
      <xdr:rowOff>63500</xdr:rowOff>
    </xdr:from>
    <xdr:to>
      <xdr:col>14</xdr:col>
      <xdr:colOff>359410</xdr:colOff>
      <xdr:row>33</xdr:row>
      <xdr:rowOff>172720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2100" y="3302000"/>
          <a:ext cx="5274310" cy="3157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14</xdr:col>
      <xdr:colOff>321310</xdr:colOff>
      <xdr:row>55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0"/>
          <a:ext cx="5274310" cy="37261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15</xdr:col>
      <xdr:colOff>342900</xdr:colOff>
      <xdr:row>83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001500"/>
          <a:ext cx="6121400" cy="3911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546100</xdr:colOff>
      <xdr:row>16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500"/>
          <a:ext cx="3022600" cy="2870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3</xdr:col>
      <xdr:colOff>457200</xdr:colOff>
      <xdr:row>32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0"/>
          <a:ext cx="2108200" cy="284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7" sqref="C7"/>
    </sheetView>
  </sheetViews>
  <sheetFormatPr defaultColWidth="11" defaultRowHeight="15.75"/>
  <cols>
    <col min="2" max="2" width="19" customWidth="1"/>
  </cols>
  <sheetData>
    <row r="2" spans="1:6">
      <c r="A2" t="s">
        <v>1</v>
      </c>
      <c r="B2" t="s">
        <v>0</v>
      </c>
      <c r="C2" s="1">
        <v>0.2</v>
      </c>
    </row>
    <row r="3" spans="1:6">
      <c r="A3" t="s">
        <v>2</v>
      </c>
      <c r="B3" t="s">
        <v>3</v>
      </c>
      <c r="C3" s="1">
        <v>0.1</v>
      </c>
    </row>
    <row r="4" spans="1:6">
      <c r="A4" t="s">
        <v>4</v>
      </c>
      <c r="B4" t="s">
        <v>5</v>
      </c>
      <c r="C4" s="3">
        <v>100</v>
      </c>
    </row>
    <row r="5" spans="1:6">
      <c r="B5" t="s">
        <v>6</v>
      </c>
    </row>
    <row r="6" spans="1:6">
      <c r="B6">
        <v>5</v>
      </c>
      <c r="C6" s="2">
        <f>(1-$C$2)*($C$4+1)*B6/($C$4+1+$C$3+$C$2*($C$4+1)*B6)</f>
        <v>1.9990103908955963</v>
      </c>
      <c r="D6" s="4">
        <f>C6/B6</f>
        <v>0.39980207817911928</v>
      </c>
    </row>
    <row r="7" spans="1:6">
      <c r="B7">
        <v>10</v>
      </c>
      <c r="C7" s="2">
        <f t="shared" ref="C7:C9" si="0">(1-$C$2)*($C$4+1)*B7/($C$4+1+$C$3+$C$2*($C$4+1)*B7)</f>
        <v>2.6657868690201254</v>
      </c>
      <c r="D7" s="4">
        <f t="shared" ref="D7:D9" si="1">C7/B7</f>
        <v>0.26657868690201253</v>
      </c>
    </row>
    <row r="8" spans="1:6">
      <c r="B8">
        <v>15</v>
      </c>
      <c r="C8" s="2">
        <f t="shared" si="0"/>
        <v>2.9992576095025987</v>
      </c>
      <c r="D8" s="4">
        <f t="shared" si="1"/>
        <v>0.19995050730017325</v>
      </c>
    </row>
    <row r="9" spans="1:6">
      <c r="B9">
        <v>80</v>
      </c>
      <c r="C9" s="2">
        <f t="shared" si="0"/>
        <v>3.7644866344417918</v>
      </c>
      <c r="D9" s="4">
        <f t="shared" si="1"/>
        <v>4.7056082930522394E-2</v>
      </c>
    </row>
    <row r="12" spans="1:6">
      <c r="C12" s="92" t="s">
        <v>8</v>
      </c>
      <c r="D12" s="92"/>
      <c r="E12" s="92"/>
      <c r="F12" s="92"/>
    </row>
    <row r="13" spans="1:6">
      <c r="B13" s="5" t="s">
        <v>7</v>
      </c>
      <c r="C13" s="6">
        <v>0.05</v>
      </c>
      <c r="D13" s="6">
        <v>0.1</v>
      </c>
      <c r="E13" s="6">
        <v>0.15</v>
      </c>
      <c r="F13" s="6">
        <v>0.2</v>
      </c>
    </row>
    <row r="14" spans="1:6">
      <c r="B14" s="7">
        <v>5</v>
      </c>
      <c r="C14" s="2">
        <v>3.7984956452889942</v>
      </c>
      <c r="D14" s="2">
        <v>2.9990102276476409</v>
      </c>
      <c r="E14" s="2">
        <v>2.4278846153846154</v>
      </c>
      <c r="F14" s="2">
        <v>1.9995050730017323</v>
      </c>
    </row>
    <row r="15" spans="1:6">
      <c r="B15" s="7">
        <v>10</v>
      </c>
      <c r="C15" s="2">
        <v>6.3312438139227964</v>
      </c>
      <c r="D15" s="2">
        <v>4.4988864142538976</v>
      </c>
      <c r="E15" s="2">
        <v>3.3993268659671352</v>
      </c>
      <c r="F15" s="2">
        <v>2.6662266952648079</v>
      </c>
    </row>
    <row r="16" spans="1:6">
      <c r="B16" s="7">
        <v>25</v>
      </c>
      <c r="C16" s="2">
        <v>8.1405542986425328</v>
      </c>
      <c r="D16" s="2">
        <v>5.3989309047713325</v>
      </c>
      <c r="E16" s="2">
        <v>3.9224794395370095</v>
      </c>
      <c r="F16" s="2">
        <v>2.9996287588169781</v>
      </c>
    </row>
    <row r="17" spans="2:6">
      <c r="B17" s="7">
        <v>80</v>
      </c>
      <c r="C17" s="2">
        <v>15.198495198495195</v>
      </c>
      <c r="D17" s="2">
        <v>7.9995599801991082</v>
      </c>
      <c r="E17" s="2">
        <v>5.2305700468375163</v>
      </c>
      <c r="F17" s="2">
        <v>3.7645962552051486</v>
      </c>
    </row>
  </sheetData>
  <mergeCells count="1">
    <mergeCell ref="C12:F1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2" sqref="E2"/>
    </sheetView>
  </sheetViews>
  <sheetFormatPr defaultColWidth="11" defaultRowHeight="15.75"/>
  <cols>
    <col min="2" max="2" width="41" customWidth="1"/>
  </cols>
  <sheetData>
    <row r="1" spans="2:7">
      <c r="B1" t="s">
        <v>24</v>
      </c>
      <c r="C1" t="s">
        <v>25</v>
      </c>
    </row>
    <row r="2" spans="2:7">
      <c r="D2" t="s">
        <v>10</v>
      </c>
      <c r="E2" t="s">
        <v>11</v>
      </c>
      <c r="F2" t="s">
        <v>21</v>
      </c>
    </row>
    <row r="9" spans="2:7">
      <c r="B9" t="s">
        <v>16</v>
      </c>
      <c r="C9" t="s">
        <v>9</v>
      </c>
      <c r="D9">
        <v>1068</v>
      </c>
      <c r="E9">
        <v>1120</v>
      </c>
      <c r="G9" t="s">
        <v>20</v>
      </c>
    </row>
    <row r="10" spans="2:7">
      <c r="B10" t="s">
        <v>12</v>
      </c>
      <c r="D10">
        <v>81</v>
      </c>
    </row>
    <row r="11" spans="2:7">
      <c r="D11">
        <v>283</v>
      </c>
    </row>
    <row r="12" spans="2:7">
      <c r="B12" t="s">
        <v>13</v>
      </c>
      <c r="F12">
        <f>AVERAGE(D9:E9)-D10-D11</f>
        <v>730</v>
      </c>
    </row>
    <row r="13" spans="2:7">
      <c r="B13" t="s">
        <v>14</v>
      </c>
      <c r="E13">
        <v>2.75</v>
      </c>
    </row>
    <row r="14" spans="2:7">
      <c r="B14" t="s">
        <v>15</v>
      </c>
      <c r="E14">
        <v>0.9</v>
      </c>
    </row>
    <row r="15" spans="2:7">
      <c r="B15" t="s">
        <v>17</v>
      </c>
      <c r="F15">
        <f>F12*E13*E14</f>
        <v>1806.75</v>
      </c>
      <c r="G15" t="s">
        <v>19</v>
      </c>
    </row>
    <row r="17" spans="2:7">
      <c r="B17" t="s">
        <v>18</v>
      </c>
      <c r="D17">
        <v>4568.7</v>
      </c>
      <c r="E17">
        <v>5184.8999999999996</v>
      </c>
      <c r="F17">
        <f>AVERAGE(D17:E17)</f>
        <v>4876.7999999999993</v>
      </c>
      <c r="G17" t="s">
        <v>19</v>
      </c>
    </row>
    <row r="18" spans="2:7">
      <c r="B18" t="s">
        <v>23</v>
      </c>
      <c r="D18">
        <v>3934.5</v>
      </c>
      <c r="E18">
        <v>4111.3999999999996</v>
      </c>
      <c r="F18">
        <f>AVERAGE(D18:E18)</f>
        <v>4022.95</v>
      </c>
    </row>
    <row r="19" spans="2:7">
      <c r="B19" t="s">
        <v>22</v>
      </c>
      <c r="F19">
        <f>F15/F18</f>
        <v>0.4491107272026747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8"/>
  <sheetViews>
    <sheetView tabSelected="1" topLeftCell="K25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0.1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26</v>
      </c>
      <c r="B1" t="s">
        <v>27</v>
      </c>
    </row>
    <row r="2" spans="1:23">
      <c r="K2" t="s">
        <v>86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87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219</v>
      </c>
      <c r="I4">
        <v>0.6</v>
      </c>
      <c r="J4">
        <v>0.4</v>
      </c>
      <c r="K4" t="s">
        <v>208</v>
      </c>
      <c r="L4" s="1">
        <v>0.04</v>
      </c>
    </row>
    <row r="5" spans="1:23">
      <c r="H5" t="s">
        <v>220</v>
      </c>
      <c r="I5">
        <v>6.23</v>
      </c>
      <c r="J5">
        <v>5.76</v>
      </c>
      <c r="K5" t="s">
        <v>206</v>
      </c>
      <c r="L5">
        <f>(I4*I5+J4*J5)*I7/J7</f>
        <v>5.4854999999999992</v>
      </c>
      <c r="M5" t="s">
        <v>257</v>
      </c>
      <c r="O5">
        <f>L5/3.6</f>
        <v>1.5237499999999997</v>
      </c>
      <c r="P5" t="s">
        <v>207</v>
      </c>
    </row>
    <row r="6" spans="1:23">
      <c r="H6" t="s">
        <v>218</v>
      </c>
      <c r="I6">
        <v>2002</v>
      </c>
      <c r="J6">
        <v>2007</v>
      </c>
      <c r="K6" t="s">
        <v>188</v>
      </c>
      <c r="L6">
        <v>30</v>
      </c>
      <c r="M6" t="s">
        <v>209</v>
      </c>
    </row>
    <row r="7" spans="1:23">
      <c r="I7">
        <v>138</v>
      </c>
      <c r="J7">
        <v>152</v>
      </c>
      <c r="K7" t="s">
        <v>135</v>
      </c>
      <c r="L7" s="1">
        <v>0.85</v>
      </c>
    </row>
    <row r="8" spans="1:23">
      <c r="K8" t="s">
        <v>212</v>
      </c>
      <c r="L8">
        <v>80</v>
      </c>
    </row>
    <row r="9" spans="1:23">
      <c r="L9" t="s">
        <v>61</v>
      </c>
      <c r="R9" t="s">
        <v>77</v>
      </c>
      <c r="V9" t="s">
        <v>84</v>
      </c>
    </row>
    <row r="11" spans="1:23" ht="33" customHeight="1">
      <c r="K11" s="31"/>
      <c r="L11" s="159" t="s">
        <v>103</v>
      </c>
      <c r="M11" s="159"/>
      <c r="N11" s="159"/>
      <c r="O11" s="159"/>
      <c r="P11" s="159"/>
      <c r="Q11" s="159"/>
      <c r="R11" s="159" t="s">
        <v>92</v>
      </c>
      <c r="S11" s="159"/>
      <c r="T11" s="159"/>
      <c r="U11" s="159"/>
      <c r="V11" s="160" t="s">
        <v>93</v>
      </c>
      <c r="W11" s="161"/>
    </row>
    <row r="12" spans="1:23">
      <c r="A12" t="s">
        <v>28</v>
      </c>
      <c r="B12" t="s">
        <v>61</v>
      </c>
      <c r="K12" s="34" t="s">
        <v>100</v>
      </c>
      <c r="L12" s="29">
        <v>1</v>
      </c>
      <c r="M12" s="30" t="s">
        <v>94</v>
      </c>
      <c r="N12" s="29">
        <v>3</v>
      </c>
      <c r="O12" s="30" t="s">
        <v>95</v>
      </c>
      <c r="P12" s="29">
        <v>5</v>
      </c>
      <c r="Q12" s="30" t="s">
        <v>96</v>
      </c>
      <c r="R12" s="29">
        <v>9</v>
      </c>
      <c r="S12" s="30" t="s">
        <v>97</v>
      </c>
      <c r="T12" s="29">
        <v>11</v>
      </c>
      <c r="U12" s="30" t="s">
        <v>98</v>
      </c>
      <c r="V12" s="29">
        <v>13</v>
      </c>
      <c r="W12" s="30" t="s">
        <v>99</v>
      </c>
    </row>
    <row r="13" spans="1:23">
      <c r="K13" s="32" t="s">
        <v>102</v>
      </c>
      <c r="L13" s="19">
        <v>466901</v>
      </c>
      <c r="M13" s="25">
        <v>487011</v>
      </c>
      <c r="N13" s="19">
        <v>459958</v>
      </c>
      <c r="O13" s="25">
        <v>484212</v>
      </c>
      <c r="P13" s="19">
        <v>436646</v>
      </c>
      <c r="Q13" s="25">
        <v>465264</v>
      </c>
      <c r="R13" s="19">
        <v>437378</v>
      </c>
      <c r="S13" s="25">
        <v>614994</v>
      </c>
      <c r="T13" s="19">
        <v>409528</v>
      </c>
      <c r="U13" s="25">
        <v>565820</v>
      </c>
      <c r="V13" s="19">
        <v>167333</v>
      </c>
      <c r="W13" s="25">
        <v>167333</v>
      </c>
    </row>
    <row r="14" spans="1:23">
      <c r="B14" s="97"/>
      <c r="C14" s="100" t="s">
        <v>30</v>
      </c>
      <c r="D14" s="101"/>
      <c r="E14" s="101"/>
      <c r="F14" s="101"/>
      <c r="G14" s="101"/>
      <c r="H14" s="102"/>
      <c r="K14" s="32" t="s">
        <v>41</v>
      </c>
      <c r="L14" s="19">
        <v>747800</v>
      </c>
      <c r="M14" s="25">
        <v>734000</v>
      </c>
      <c r="N14" s="19">
        <v>738200</v>
      </c>
      <c r="O14" s="25">
        <v>703700</v>
      </c>
      <c r="P14" s="19">
        <v>737000</v>
      </c>
      <c r="Q14" s="25">
        <v>673400</v>
      </c>
      <c r="R14" s="19">
        <v>582600</v>
      </c>
      <c r="S14" s="25">
        <v>672700</v>
      </c>
      <c r="T14" s="19">
        <v>580400</v>
      </c>
      <c r="U14" s="25">
        <v>662800</v>
      </c>
      <c r="V14" s="19">
        <v>564700</v>
      </c>
      <c r="W14" s="25">
        <v>511000</v>
      </c>
    </row>
    <row r="15" spans="1:23" ht="16.5" thickBot="1">
      <c r="B15" s="98"/>
      <c r="C15" s="103"/>
      <c r="D15" s="104"/>
      <c r="E15" s="104"/>
      <c r="F15" s="104"/>
      <c r="G15" s="104"/>
      <c r="H15" s="105"/>
      <c r="K15" s="32" t="s">
        <v>59</v>
      </c>
      <c r="L15" s="19">
        <v>125750</v>
      </c>
      <c r="M15" s="25">
        <v>190750</v>
      </c>
      <c r="N15" s="19">
        <v>113140</v>
      </c>
      <c r="O15" s="25">
        <v>190090</v>
      </c>
      <c r="P15" s="19">
        <v>108020</v>
      </c>
      <c r="Q15" s="25">
        <v>176540</v>
      </c>
      <c r="R15" s="19">
        <v>32580</v>
      </c>
      <c r="S15" s="25">
        <v>122740</v>
      </c>
      <c r="T15" s="19">
        <v>30410</v>
      </c>
      <c r="U15" s="25">
        <v>112830</v>
      </c>
      <c r="V15" s="19">
        <v>9620</v>
      </c>
      <c r="W15" s="25">
        <v>37430</v>
      </c>
    </row>
    <row r="16" spans="1:23">
      <c r="B16" s="98"/>
      <c r="C16" s="106" t="s">
        <v>31</v>
      </c>
      <c r="D16" s="107"/>
      <c r="E16" s="106" t="s">
        <v>32</v>
      </c>
      <c r="F16" s="107"/>
      <c r="G16" s="106" t="s">
        <v>33</v>
      </c>
      <c r="H16" s="107"/>
      <c r="K16" s="32" t="s">
        <v>60</v>
      </c>
      <c r="L16" s="19">
        <v>622050</v>
      </c>
      <c r="M16" s="25">
        <v>543250</v>
      </c>
      <c r="N16" s="19">
        <v>625060</v>
      </c>
      <c r="O16" s="25">
        <v>513610</v>
      </c>
      <c r="P16" s="19">
        <v>628980</v>
      </c>
      <c r="Q16" s="25">
        <v>496860</v>
      </c>
      <c r="R16" s="19">
        <v>550020</v>
      </c>
      <c r="S16" s="25">
        <v>549960</v>
      </c>
      <c r="T16" s="19">
        <v>549990</v>
      </c>
      <c r="U16" s="25">
        <v>549970</v>
      </c>
      <c r="V16" s="19">
        <v>555080</v>
      </c>
      <c r="W16" s="25">
        <v>473570</v>
      </c>
    </row>
    <row r="17" spans="2:23" ht="16.5" thickBot="1">
      <c r="B17" s="99"/>
      <c r="C17" s="103"/>
      <c r="D17" s="105"/>
      <c r="E17" s="103"/>
      <c r="F17" s="105"/>
      <c r="G17" s="103"/>
      <c r="H17" s="105"/>
      <c r="K17" s="32" t="s">
        <v>46</v>
      </c>
      <c r="L17" s="20">
        <v>0.39</v>
      </c>
      <c r="M17" s="26">
        <v>0.32600000000000001</v>
      </c>
      <c r="N17" s="20">
        <v>0.39700000000000002</v>
      </c>
      <c r="O17" s="26">
        <v>0.31</v>
      </c>
      <c r="P17" s="20">
        <v>0.42099999999999999</v>
      </c>
      <c r="Q17" s="26">
        <v>0.312</v>
      </c>
      <c r="R17" s="20">
        <v>0.36799999999999999</v>
      </c>
      <c r="S17" s="26">
        <v>0.26200000000000001</v>
      </c>
      <c r="T17" s="20">
        <v>0.39300000000000002</v>
      </c>
      <c r="U17" s="26">
        <v>0.28399999999999997</v>
      </c>
      <c r="V17" s="20">
        <v>0.502</v>
      </c>
      <c r="W17" s="26">
        <v>0.42799999999999999</v>
      </c>
    </row>
    <row r="18" spans="2:23" ht="16.5" thickBot="1">
      <c r="B18" s="10"/>
      <c r="C18" s="23"/>
      <c r="D18" s="24"/>
      <c r="E18" s="23"/>
      <c r="F18" s="24"/>
      <c r="G18" s="23"/>
      <c r="H18" s="24"/>
      <c r="K18" s="32" t="s">
        <v>104</v>
      </c>
      <c r="L18" s="40">
        <v>1987</v>
      </c>
      <c r="M18" s="41">
        <v>2711</v>
      </c>
      <c r="N18" s="40">
        <v>1913</v>
      </c>
      <c r="O18" s="41">
        <v>2817</v>
      </c>
      <c r="P18" s="40">
        <v>2217</v>
      </c>
      <c r="Q18" s="41">
        <v>3181</v>
      </c>
      <c r="R18" s="40">
        <v>1622</v>
      </c>
      <c r="S18" s="41">
        <v>2942</v>
      </c>
      <c r="T18" s="40">
        <v>1647</v>
      </c>
      <c r="U18" s="41">
        <v>2913</v>
      </c>
      <c r="V18" s="40">
        <v>584</v>
      </c>
      <c r="W18" s="41">
        <v>1226</v>
      </c>
    </row>
    <row r="19" spans="2:23">
      <c r="B19" s="108" t="s">
        <v>34</v>
      </c>
      <c r="C19" s="116" t="s">
        <v>35</v>
      </c>
      <c r="D19" s="108" t="s">
        <v>29</v>
      </c>
      <c r="E19" s="116" t="s">
        <v>36</v>
      </c>
      <c r="F19" s="108" t="s">
        <v>37</v>
      </c>
      <c r="G19" s="116" t="s">
        <v>38</v>
      </c>
      <c r="H19" s="108" t="s">
        <v>39</v>
      </c>
      <c r="K19" s="35" t="s">
        <v>101</v>
      </c>
      <c r="L19" s="162" t="s">
        <v>89</v>
      </c>
      <c r="M19" s="163"/>
      <c r="N19" s="163"/>
      <c r="O19" s="163"/>
      <c r="P19" s="163"/>
      <c r="Q19" s="164"/>
      <c r="R19" s="162" t="s">
        <v>90</v>
      </c>
      <c r="S19" s="163"/>
      <c r="T19" s="163"/>
      <c r="U19" s="164"/>
      <c r="V19" s="162" t="s">
        <v>91</v>
      </c>
      <c r="W19" s="164"/>
    </row>
    <row r="20" spans="2:23" ht="16.5" thickBot="1">
      <c r="B20" s="109"/>
      <c r="C20" s="117"/>
      <c r="D20" s="109"/>
      <c r="E20" s="117"/>
      <c r="F20" s="109"/>
      <c r="G20" s="117"/>
      <c r="H20" s="109"/>
      <c r="K20" s="31"/>
      <c r="L20" s="156" t="s">
        <v>85</v>
      </c>
      <c r="M20" s="157"/>
      <c r="N20" s="157"/>
      <c r="O20" s="157"/>
      <c r="P20" s="157"/>
      <c r="Q20" s="158"/>
      <c r="R20" s="156" t="s">
        <v>85</v>
      </c>
      <c r="S20" s="157"/>
      <c r="T20" s="157"/>
      <c r="U20" s="158"/>
      <c r="V20" s="21"/>
      <c r="W20" s="22"/>
    </row>
    <row r="21" spans="2:23">
      <c r="B21" s="66"/>
      <c r="C21" s="77"/>
      <c r="D21" s="66"/>
      <c r="E21" s="77"/>
      <c r="F21" s="66"/>
      <c r="G21" s="77"/>
      <c r="H21" s="66"/>
      <c r="K21" s="21" t="s">
        <v>233</v>
      </c>
      <c r="L21" s="78">
        <f t="shared" ref="L21:W21" si="2">L26/L17</f>
        <v>1708070.8758387752</v>
      </c>
      <c r="M21" s="79">
        <f t="shared" si="2"/>
        <v>1710855.6510477029</v>
      </c>
      <c r="N21" s="78">
        <f t="shared" si="2"/>
        <v>1711524.1372985723</v>
      </c>
      <c r="O21" s="79">
        <f t="shared" si="2"/>
        <v>1710827.5420816739</v>
      </c>
      <c r="P21" s="78">
        <f t="shared" si="2"/>
        <v>1710784.3101522429</v>
      </c>
      <c r="Q21" s="79">
        <f t="shared" si="2"/>
        <v>1711393.9612778982</v>
      </c>
      <c r="R21" s="78">
        <f t="shared" si="2"/>
        <v>1708613.1049314225</v>
      </c>
      <c r="S21" s="79">
        <f t="shared" si="2"/>
        <v>1706588.9825475118</v>
      </c>
      <c r="T21" s="78">
        <f t="shared" si="2"/>
        <v>1708632.4364328713</v>
      </c>
      <c r="U21" s="79">
        <f t="shared" si="2"/>
        <v>1711245.7004940107</v>
      </c>
      <c r="V21" s="78">
        <f t="shared" si="2"/>
        <v>1105737.0517928286</v>
      </c>
      <c r="W21" s="79">
        <f t="shared" si="2"/>
        <v>1106471.9626168224</v>
      </c>
    </row>
    <row r="22" spans="2:23">
      <c r="B22" s="66"/>
      <c r="C22" s="77"/>
      <c r="D22" s="66"/>
      <c r="E22" s="77"/>
      <c r="F22" s="66"/>
      <c r="G22" s="77"/>
      <c r="H22" s="66"/>
      <c r="K22" s="21" t="s">
        <v>234</v>
      </c>
      <c r="L22" s="80">
        <f t="shared" ref="L22:W22" si="3">L24/L21</f>
        <v>0.46884012539184955</v>
      </c>
      <c r="M22" s="81">
        <f t="shared" si="3"/>
        <v>0.44046755637367685</v>
      </c>
      <c r="N22" s="80">
        <f t="shared" si="3"/>
        <v>0.46885962947557036</v>
      </c>
      <c r="O22" s="81">
        <f t="shared" si="3"/>
        <v>0.4247327738945893</v>
      </c>
      <c r="P22" s="80">
        <f t="shared" si="3"/>
        <v>0.49330185379503327</v>
      </c>
      <c r="Q22" s="81">
        <f t="shared" si="3"/>
        <v>0.42285714285714282</v>
      </c>
      <c r="R22" s="80">
        <f t="shared" si="3"/>
        <v>0.38979818915675796</v>
      </c>
      <c r="S22" s="81">
        <f t="shared" si="3"/>
        <v>0.32047312531820493</v>
      </c>
      <c r="T22" s="80">
        <f t="shared" si="3"/>
        <v>0.41472972235858829</v>
      </c>
      <c r="U22" s="81">
        <f t="shared" si="3"/>
        <v>0.34226448715384478</v>
      </c>
      <c r="V22" s="80">
        <f t="shared" si="3"/>
        <v>0.51070007926785332</v>
      </c>
      <c r="W22" s="81">
        <f t="shared" si="3"/>
        <v>0.4618282408091729</v>
      </c>
    </row>
    <row r="23" spans="2:23" ht="16.5" thickBot="1">
      <c r="B23" s="66"/>
      <c r="C23" s="77"/>
      <c r="D23" s="66"/>
      <c r="E23" s="77"/>
      <c r="F23" s="66"/>
      <c r="G23" s="77"/>
      <c r="H23" s="66"/>
      <c r="K23" s="21"/>
      <c r="L23" s="80"/>
      <c r="M23" s="81"/>
      <c r="N23" s="80"/>
      <c r="O23" s="81"/>
      <c r="P23" s="80"/>
      <c r="Q23" s="81"/>
      <c r="R23" s="80"/>
      <c r="S23" s="81"/>
      <c r="T23" s="80"/>
      <c r="U23" s="81"/>
      <c r="V23" s="80"/>
      <c r="W23" s="81"/>
    </row>
    <row r="24" spans="2:23">
      <c r="B24" s="108" t="s">
        <v>40</v>
      </c>
      <c r="C24" s="110">
        <v>0</v>
      </c>
      <c r="D24" s="112">
        <v>0.9</v>
      </c>
      <c r="E24" s="110">
        <v>0</v>
      </c>
      <c r="F24" s="112">
        <v>0.9</v>
      </c>
      <c r="G24" s="110">
        <v>0</v>
      </c>
      <c r="H24" s="112">
        <v>0.9</v>
      </c>
      <c r="K24" s="32" t="s">
        <v>41</v>
      </c>
      <c r="L24" s="19">
        <f t="shared" ref="L24:U24" si="4">L14*L$3</f>
        <v>800812.1636064176</v>
      </c>
      <c r="M24" s="25">
        <f>M14*M$3</f>
        <v>753576.40792507771</v>
      </c>
      <c r="N24" s="19">
        <f t="shared" si="4"/>
        <v>802464.57285230386</v>
      </c>
      <c r="O24" s="25">
        <f t="shared" si="4"/>
        <v>726644.52760361158</v>
      </c>
      <c r="P24" s="19">
        <f t="shared" si="4"/>
        <v>843933.07164155855</v>
      </c>
      <c r="Q24" s="25">
        <f t="shared" si="4"/>
        <v>723675.16076893976</v>
      </c>
      <c r="R24" s="19">
        <f t="shared" si="4"/>
        <v>666014.29427177412</v>
      </c>
      <c r="S24" s="25">
        <f t="shared" si="4"/>
        <v>546915.90487061662</v>
      </c>
      <c r="T24" s="19">
        <f t="shared" si="4"/>
        <v>708620.655974683</v>
      </c>
      <c r="U24" s="25">
        <f t="shared" si="4"/>
        <v>585698.63207380439</v>
      </c>
      <c r="V24" s="19">
        <f t="shared" ref="V24:W26" si="5">V14</f>
        <v>564700</v>
      </c>
      <c r="W24" s="25">
        <f t="shared" si="5"/>
        <v>511000</v>
      </c>
    </row>
    <row r="25" spans="2:23" ht="16.5" thickBot="1">
      <c r="B25" s="109"/>
      <c r="C25" s="111"/>
      <c r="D25" s="113"/>
      <c r="E25" s="111"/>
      <c r="F25" s="113"/>
      <c r="G25" s="111"/>
      <c r="H25" s="113"/>
      <c r="K25" s="32" t="s">
        <v>59</v>
      </c>
      <c r="L25" s="19">
        <f t="shared" ref="L25:U25" si="6">L15*L$3</f>
        <v>134664.52202929527</v>
      </c>
      <c r="M25" s="25">
        <f>M15*M$3</f>
        <v>195837.46568352668</v>
      </c>
      <c r="N25" s="19">
        <f t="shared" si="6"/>
        <v>122989.4903447706</v>
      </c>
      <c r="O25" s="25">
        <f t="shared" si="6"/>
        <v>196287.98955829264</v>
      </c>
      <c r="P25" s="19">
        <f t="shared" si="6"/>
        <v>123692.87706746426</v>
      </c>
      <c r="Q25" s="25">
        <f t="shared" si="6"/>
        <v>189720.24485023555</v>
      </c>
      <c r="R25" s="19">
        <f t="shared" si="6"/>
        <v>37244.671657010644</v>
      </c>
      <c r="S25" s="25">
        <f t="shared" si="6"/>
        <v>99789.591443168552</v>
      </c>
      <c r="T25" s="19">
        <f t="shared" si="6"/>
        <v>37128.108456564631</v>
      </c>
      <c r="U25" s="25">
        <f t="shared" si="6"/>
        <v>99704.853133505356</v>
      </c>
      <c r="V25" s="19">
        <f t="shared" si="5"/>
        <v>9620</v>
      </c>
      <c r="W25" s="25">
        <f t="shared" si="5"/>
        <v>37430</v>
      </c>
    </row>
    <row r="26" spans="2:23">
      <c r="B26" s="12" t="s">
        <v>41</v>
      </c>
      <c r="C26" s="114">
        <v>747800</v>
      </c>
      <c r="D26" s="115">
        <v>734000</v>
      </c>
      <c r="E26" s="114">
        <v>738200</v>
      </c>
      <c r="F26" s="115">
        <v>703700</v>
      </c>
      <c r="G26" s="114">
        <v>737000</v>
      </c>
      <c r="H26" s="115">
        <v>673400</v>
      </c>
      <c r="K26" s="32" t="s">
        <v>60</v>
      </c>
      <c r="L26" s="19">
        <f t="shared" ref="L26:U26" si="7">L16*L$3</f>
        <v>666147.64157712238</v>
      </c>
      <c r="M26" s="25">
        <f t="shared" si="7"/>
        <v>557738.94224155112</v>
      </c>
      <c r="N26" s="19">
        <f t="shared" si="7"/>
        <v>679475.08250753325</v>
      </c>
      <c r="O26" s="25">
        <f t="shared" si="7"/>
        <v>530356.53804531891</v>
      </c>
      <c r="P26" s="19">
        <f t="shared" si="7"/>
        <v>720240.19457409426</v>
      </c>
      <c r="Q26" s="25">
        <f t="shared" si="7"/>
        <v>533954.91591870424</v>
      </c>
      <c r="R26" s="19">
        <f t="shared" si="7"/>
        <v>628769.62261476344</v>
      </c>
      <c r="S26" s="25">
        <f t="shared" si="7"/>
        <v>447126.3134274481</v>
      </c>
      <c r="T26" s="19">
        <f t="shared" si="7"/>
        <v>671492.5475181184</v>
      </c>
      <c r="U26" s="25">
        <f t="shared" si="7"/>
        <v>485993.778940299</v>
      </c>
      <c r="V26" s="19">
        <f t="shared" si="5"/>
        <v>555080</v>
      </c>
      <c r="W26" s="25">
        <f t="shared" si="5"/>
        <v>473570</v>
      </c>
    </row>
    <row r="27" spans="2:23">
      <c r="B27" s="13" t="s">
        <v>59</v>
      </c>
      <c r="C27" s="94"/>
      <c r="D27" s="96"/>
      <c r="E27" s="94"/>
      <c r="F27" s="96"/>
      <c r="G27" s="94"/>
      <c r="H27" s="96"/>
      <c r="K27" s="32" t="s">
        <v>229</v>
      </c>
      <c r="L27" s="19"/>
      <c r="M27" s="25">
        <f>L24-M24</f>
        <v>47235.755681339884</v>
      </c>
      <c r="N27" s="19"/>
      <c r="O27" s="25">
        <f>N24-O24</f>
        <v>75820.045248692273</v>
      </c>
      <c r="P27" s="19"/>
      <c r="Q27" s="25">
        <f>P24-Q24</f>
        <v>120257.91087261878</v>
      </c>
      <c r="R27" s="19"/>
      <c r="S27" s="25">
        <f>R24-S24</f>
        <v>119098.3894011575</v>
      </c>
      <c r="T27" s="19"/>
      <c r="U27" s="25">
        <f>T24-U24</f>
        <v>122922.02390087862</v>
      </c>
      <c r="V27" s="19"/>
      <c r="W27" s="25">
        <f>V24-W24</f>
        <v>53700</v>
      </c>
    </row>
    <row r="28" spans="2:23">
      <c r="B28" s="67"/>
      <c r="C28" s="68"/>
      <c r="D28" s="69"/>
      <c r="E28" s="68"/>
      <c r="F28" s="69"/>
      <c r="G28" s="68"/>
      <c r="H28" s="69"/>
      <c r="K28" s="32" t="s">
        <v>232</v>
      </c>
      <c r="L28" s="85"/>
      <c r="M28" s="25">
        <f>M25-L25</f>
        <v>61172.943654231407</v>
      </c>
      <c r="N28" s="85"/>
      <c r="O28" s="25">
        <f>O25-N25</f>
        <v>73298.499213522038</v>
      </c>
      <c r="P28" s="85"/>
      <c r="Q28" s="25">
        <f>Q25-P25</f>
        <v>66027.367782771296</v>
      </c>
      <c r="R28" s="85"/>
      <c r="S28" s="25">
        <f>S25-R25</f>
        <v>62544.919786157909</v>
      </c>
      <c r="T28" s="85"/>
      <c r="U28" s="25">
        <f>U25-T25</f>
        <v>62576.744676940725</v>
      </c>
      <c r="V28" s="85"/>
      <c r="W28" s="25">
        <f>W25-V25</f>
        <v>27810</v>
      </c>
    </row>
    <row r="29" spans="2:23">
      <c r="B29" s="67"/>
      <c r="C29" s="68"/>
      <c r="D29" s="69"/>
      <c r="E29" s="68"/>
      <c r="F29" s="69"/>
      <c r="G29" s="68"/>
      <c r="H29" s="69"/>
      <c r="K29" s="32" t="s">
        <v>231</v>
      </c>
      <c r="L29" s="85"/>
      <c r="M29" s="25">
        <f>L26-M26</f>
        <v>108408.69933557126</v>
      </c>
      <c r="N29" s="85"/>
      <c r="O29" s="25">
        <f>N26-O26</f>
        <v>149118.54446221434</v>
      </c>
      <c r="P29" s="85"/>
      <c r="Q29" s="25">
        <f>P26-Q26</f>
        <v>186285.27865539002</v>
      </c>
      <c r="R29" s="85"/>
      <c r="S29" s="25">
        <f>R26-S26</f>
        <v>181643.30918731535</v>
      </c>
      <c r="T29" s="85"/>
      <c r="U29" s="25">
        <f>T26-U26</f>
        <v>185498.7685778194</v>
      </c>
      <c r="V29" s="85"/>
      <c r="W29" s="25">
        <f>V26-W26</f>
        <v>81510</v>
      </c>
    </row>
    <row r="30" spans="2:23">
      <c r="B30" s="67"/>
      <c r="C30" s="68"/>
      <c r="D30" s="69"/>
      <c r="E30" s="68"/>
      <c r="F30" s="69"/>
      <c r="G30" s="68"/>
      <c r="H30" s="69"/>
      <c r="K30" s="32" t="s">
        <v>205</v>
      </c>
      <c r="L30" s="85">
        <f>L18*L24/1000000</f>
        <v>1591.2137690859518</v>
      </c>
      <c r="M30" s="25">
        <f t="shared" ref="M30:W30" si="8">M18*M24/1000000</f>
        <v>2042.9456418848858</v>
      </c>
      <c r="N30" s="85">
        <f t="shared" si="8"/>
        <v>1535.1147278664573</v>
      </c>
      <c r="O30" s="25">
        <f t="shared" si="8"/>
        <v>2046.9576342593739</v>
      </c>
      <c r="P30" s="85">
        <f t="shared" si="8"/>
        <v>1870.9996198293352</v>
      </c>
      <c r="Q30" s="25">
        <f t="shared" si="8"/>
        <v>2302.0106864059971</v>
      </c>
      <c r="R30" s="85">
        <f t="shared" si="8"/>
        <v>1080.2751853088175</v>
      </c>
      <c r="S30" s="25">
        <f t="shared" si="8"/>
        <v>1609.026592129354</v>
      </c>
      <c r="T30" s="85">
        <f t="shared" si="8"/>
        <v>1167.0982203903029</v>
      </c>
      <c r="U30" s="25">
        <f t="shared" si="8"/>
        <v>1706.140115230992</v>
      </c>
      <c r="V30" s="85">
        <f t="shared" si="8"/>
        <v>329.78480000000002</v>
      </c>
      <c r="W30" s="25">
        <f t="shared" si="8"/>
        <v>626.48599999999999</v>
      </c>
    </row>
    <row r="31" spans="2:23">
      <c r="B31" s="67"/>
      <c r="C31" s="68"/>
      <c r="D31" s="69"/>
      <c r="E31" s="68"/>
      <c r="F31" s="69"/>
      <c r="G31" s="68"/>
      <c r="H31" s="69"/>
      <c r="K31" s="32" t="s">
        <v>273</v>
      </c>
      <c r="L31" s="86">
        <f>L26*8760*$L$6*$L$7/1000000</f>
        <v>148804.06017549758</v>
      </c>
      <c r="M31" s="25">
        <f t="shared" ref="M31:W31" si="9">M26*8760*$L$6*$L$7/1000000</f>
        <v>124587.72491791769</v>
      </c>
      <c r="N31" s="85">
        <f t="shared" si="9"/>
        <v>151781.14393053277</v>
      </c>
      <c r="O31" s="25">
        <f t="shared" si="9"/>
        <v>118471.04346856334</v>
      </c>
      <c r="P31" s="85">
        <f t="shared" si="9"/>
        <v>160887.25466396115</v>
      </c>
      <c r="Q31" s="25">
        <f t="shared" si="9"/>
        <v>119274.84911792017</v>
      </c>
      <c r="R31" s="85">
        <f t="shared" si="9"/>
        <v>140454.55829968586</v>
      </c>
      <c r="S31" s="25">
        <f t="shared" si="9"/>
        <v>99879.07589342336</v>
      </c>
      <c r="T31" s="85">
        <f t="shared" si="9"/>
        <v>149998.00526459728</v>
      </c>
      <c r="U31" s="25">
        <f t="shared" si="9"/>
        <v>108561.290339684</v>
      </c>
      <c r="V31" s="86">
        <f t="shared" si="9"/>
        <v>123993.77039999999</v>
      </c>
      <c r="W31" s="25">
        <f t="shared" si="9"/>
        <v>105786.06660000001</v>
      </c>
    </row>
    <row r="32" spans="2:23">
      <c r="B32" s="67"/>
      <c r="C32" s="68"/>
      <c r="D32" s="69"/>
      <c r="E32" s="68"/>
      <c r="F32" s="69"/>
      <c r="G32" s="68"/>
      <c r="H32" s="69"/>
      <c r="K32" s="32" t="s">
        <v>210</v>
      </c>
      <c r="L32" s="86">
        <f>L24*8760*$L$6*$L$7/1000000</f>
        <v>178885.42110640154</v>
      </c>
      <c r="M32" s="25">
        <f>M24*8760*$L$6*$L$7/1000000</f>
        <v>168333.89800230387</v>
      </c>
      <c r="N32" s="85">
        <f t="shared" ref="N32:W32" si="10">N24*8760*$L$6*$L$7/1000000</f>
        <v>179254.53628374761</v>
      </c>
      <c r="O32" s="25">
        <f t="shared" si="10"/>
        <v>162317.85457609475</v>
      </c>
      <c r="P32" s="85">
        <f t="shared" si="10"/>
        <v>188517.76954329136</v>
      </c>
      <c r="Q32" s="25">
        <f t="shared" si="10"/>
        <v>161654.55741256577</v>
      </c>
      <c r="R32" s="85">
        <f t="shared" si="10"/>
        <v>148774.27305442892</v>
      </c>
      <c r="S32" s="25">
        <f t="shared" si="10"/>
        <v>122170.07482999834</v>
      </c>
      <c r="T32" s="85">
        <f t="shared" si="10"/>
        <v>158291.68213162469</v>
      </c>
      <c r="U32" s="25">
        <f t="shared" si="10"/>
        <v>130833.36043264643</v>
      </c>
      <c r="V32" s="85">
        <f t="shared" si="10"/>
        <v>126142.686</v>
      </c>
      <c r="W32" s="25">
        <f t="shared" si="10"/>
        <v>114147.18</v>
      </c>
    </row>
    <row r="33" spans="2:23">
      <c r="B33" s="67"/>
      <c r="C33" s="68"/>
      <c r="D33" s="69"/>
      <c r="E33" s="68"/>
      <c r="F33" s="69"/>
      <c r="G33" s="68"/>
      <c r="H33" s="69"/>
      <c r="K33" s="32" t="s">
        <v>221</v>
      </c>
      <c r="L33" s="85"/>
      <c r="M33" s="25">
        <f>(M30-L30)*$O$5</f>
        <v>688.32644117737573</v>
      </c>
      <c r="N33" s="85"/>
      <c r="O33" s="25">
        <f>(O30-N30)*$O$5</f>
        <v>779.9206286162065</v>
      </c>
      <c r="P33" s="85"/>
      <c r="Q33" s="25">
        <f>(Q30-P30)*$O$5</f>
        <v>656.75311269618851</v>
      </c>
      <c r="R33" s="85"/>
      <c r="S33" s="25">
        <f>(S30-R30)*$O$5</f>
        <v>805.6849561427922</v>
      </c>
      <c r="T33" s="85"/>
      <c r="U33" s="25">
        <f>(U30-T30)*$O$5</f>
        <v>821.36508726349984</v>
      </c>
      <c r="V33" s="85"/>
      <c r="W33" s="25">
        <f>(W30-V30)*$O$5</f>
        <v>452.09845349999989</v>
      </c>
    </row>
    <row r="34" spans="2:23">
      <c r="B34" s="67"/>
      <c r="C34" s="68"/>
      <c r="D34" s="69"/>
      <c r="E34" s="68"/>
      <c r="F34" s="69"/>
      <c r="G34" s="68"/>
      <c r="H34" s="69"/>
      <c r="K34" s="32" t="s">
        <v>222</v>
      </c>
      <c r="L34" s="85">
        <f>L30*$O$5</f>
        <v>2424.6119806447186</v>
      </c>
      <c r="M34" s="25">
        <f>L34</f>
        <v>2424.6119806447186</v>
      </c>
      <c r="N34" s="85">
        <f>N30*$O$5</f>
        <v>2339.131066586514</v>
      </c>
      <c r="O34" s="25">
        <f>N34</f>
        <v>2339.131066586514</v>
      </c>
      <c r="P34" s="85">
        <f>P30*$O$5</f>
        <v>2850.9356707149491</v>
      </c>
      <c r="Q34" s="25">
        <f>P34</f>
        <v>2850.9356707149491</v>
      </c>
      <c r="R34" s="85">
        <f>R30*$O$5</f>
        <v>1646.0693136143104</v>
      </c>
      <c r="S34" s="25">
        <f>R34</f>
        <v>1646.0693136143104</v>
      </c>
      <c r="T34" s="85">
        <f>T30*$O$5</f>
        <v>1778.3659133197236</v>
      </c>
      <c r="U34" s="25">
        <f>T34</f>
        <v>1778.3659133197236</v>
      </c>
      <c r="V34" s="85">
        <f>V30*$O$5</f>
        <v>502.50958899999995</v>
      </c>
      <c r="W34" s="25">
        <f>V34</f>
        <v>502.50958899999995</v>
      </c>
    </row>
    <row r="35" spans="2:23">
      <c r="B35" s="67"/>
      <c r="C35" s="68"/>
      <c r="D35" s="69"/>
      <c r="E35" s="68"/>
      <c r="F35" s="69"/>
      <c r="G35" s="68"/>
      <c r="H35" s="69"/>
      <c r="K35" s="32" t="s">
        <v>223</v>
      </c>
      <c r="L35" s="86">
        <f>L25*8760*$L$6*$L$7/1000000+$L$4*L34*$L$6+L32/L17/L37</f>
        <v>40899.180944565414</v>
      </c>
      <c r="M35" s="25">
        <f>L25*8760*$L$6*$L$7/1000000+$L$4*(L34+M33)*$L$6+L32/L17/L37</f>
        <v>41725.172673978268</v>
      </c>
      <c r="N35" s="85">
        <f>N25*8760*$L$6*$L$7/1000000+$L$4*N34*$L$6+N32/N17/N37</f>
        <v>38065.224830015555</v>
      </c>
      <c r="O35" s="25">
        <f>N25*8760*$L$6*$L$7/1000000+$L$4*(N34+O33)*$L$6+N32/N17/N37</f>
        <v>39001.129584355003</v>
      </c>
      <c r="P35" s="85">
        <f>P25*8760*$L$6*$L$7/1000000+$L$4*P34*$L$6+P32/P17/P37</f>
        <v>38772.080371684679</v>
      </c>
      <c r="Q35" s="25">
        <f>P25*8760*$L$6*$L$7/1000000+$L$4*(P34+Q33)*$L$6+P32/P17/P37</f>
        <v>39560.184106920104</v>
      </c>
      <c r="R35" s="85">
        <f>R25*8760*$L$6*$L$7/1000000+$L$4*R34*$L$6+R32/R17/R37</f>
        <v>17265.306826059077</v>
      </c>
      <c r="S35" s="25">
        <f>R25*8760*$L$6*$L$7/1000000+$L$4*(R34+S33)*$L$6+R32/R17/R37</f>
        <v>18232.128773430428</v>
      </c>
      <c r="T35" s="85">
        <f>T25*8760*$L$6*$L$7/1000000+$L$4*T34*$L$6+T32/T17/T37</f>
        <v>17372.161085921696</v>
      </c>
      <c r="U35" s="25">
        <f>T25*8760*$L$6*$L$7/1000000+$L$4*(T34+U33)*$L$6+T32/T17/T37</f>
        <v>18357.799190637896</v>
      </c>
      <c r="V35" s="85">
        <f>V25*8760*$L$6*$L$7/1000000+$L$4*V34*$L$6+V32/V17/V37</f>
        <v>5640.2058538806432</v>
      </c>
      <c r="W35" s="25">
        <f>V25*8760*$L$6*$L$7/1000000+$L$4*(V34+W33)*$L$6+V32/V17/V37</f>
        <v>6182.7239980806426</v>
      </c>
    </row>
    <row r="36" spans="2:23">
      <c r="B36" s="67"/>
      <c r="C36" s="68"/>
      <c r="D36" s="69"/>
      <c r="E36" s="68"/>
      <c r="F36" s="69"/>
      <c r="G36" s="68"/>
      <c r="H36" s="69"/>
      <c r="K36" s="32" t="s">
        <v>224</v>
      </c>
      <c r="L36" s="85"/>
      <c r="M36" s="82">
        <f>M27*8760*$L$6*$L$7/1000000</f>
        <v>10551.523104097703</v>
      </c>
      <c r="N36" s="85"/>
      <c r="O36" s="25">
        <f>O27*8760*$L$6*$L$7/1000000</f>
        <v>16936.681707652882</v>
      </c>
      <c r="P36" s="85"/>
      <c r="Q36" s="25">
        <f>Q27*8760*$L$6*$L$7/1000000</f>
        <v>26863.212130725584</v>
      </c>
      <c r="R36" s="85"/>
      <c r="S36" s="25">
        <f>S27*8760*$L$6*$L$7/1000000</f>
        <v>26604.198224430562</v>
      </c>
      <c r="T36" s="85"/>
      <c r="U36" s="25">
        <f>U27*8760*$L$6*$L$7/1000000</f>
        <v>27458.321698978267</v>
      </c>
      <c r="V36" s="85"/>
      <c r="W36" s="25">
        <f>W27*8760*$L$6*$L$7/1000000</f>
        <v>11995.505999999999</v>
      </c>
    </row>
    <row r="37" spans="2:23">
      <c r="B37" s="67"/>
      <c r="C37" s="68"/>
      <c r="D37" s="69"/>
      <c r="E37" s="68"/>
      <c r="F37" s="69"/>
      <c r="G37" s="68"/>
      <c r="H37" s="69"/>
      <c r="K37" s="32" t="s">
        <v>212</v>
      </c>
      <c r="L37" s="85">
        <v>58</v>
      </c>
      <c r="M37" s="25"/>
      <c r="N37" s="85">
        <v>58</v>
      </c>
      <c r="O37" s="25"/>
      <c r="P37" s="85">
        <v>58</v>
      </c>
      <c r="Q37" s="25"/>
      <c r="R37" s="85">
        <v>58</v>
      </c>
      <c r="S37" s="25"/>
      <c r="T37" s="85">
        <v>58</v>
      </c>
      <c r="U37" s="25"/>
      <c r="V37" s="85">
        <v>87</v>
      </c>
      <c r="W37" s="25"/>
    </row>
    <row r="38" spans="2:23">
      <c r="B38" s="67"/>
      <c r="C38" s="68"/>
      <c r="D38" s="69"/>
      <c r="E38" s="68"/>
      <c r="F38" s="69"/>
      <c r="G38" s="68"/>
      <c r="H38" s="69"/>
      <c r="K38" s="32" t="s">
        <v>211</v>
      </c>
      <c r="L38" s="86">
        <f>L32/SUM(L33:L36)</f>
        <v>4.1290341640957307</v>
      </c>
      <c r="M38" s="82">
        <f t="shared" ref="M38:W38" si="11">M32/SUM(M33:M36)</f>
        <v>3.0390866528346501</v>
      </c>
      <c r="N38" s="86">
        <f t="shared" si="11"/>
        <v>4.4365151307565469</v>
      </c>
      <c r="O38" s="82">
        <f t="shared" si="11"/>
        <v>2.748501128670624</v>
      </c>
      <c r="P38" s="86">
        <f t="shared" si="11"/>
        <v>4.5291712967473616</v>
      </c>
      <c r="Q38" s="82">
        <f t="shared" si="11"/>
        <v>2.3116266158874876</v>
      </c>
      <c r="R38" s="86">
        <f t="shared" si="11"/>
        <v>7.8669194645397376</v>
      </c>
      <c r="S38" s="82">
        <f t="shared" si="11"/>
        <v>2.58352784792852</v>
      </c>
      <c r="T38" s="86">
        <f t="shared" si="11"/>
        <v>8.2656567173266229</v>
      </c>
      <c r="U38" s="82">
        <f t="shared" si="11"/>
        <v>2.7022835564136893</v>
      </c>
      <c r="V38" s="86">
        <f>V32/SUM(V33:V36)</f>
        <v>20.535329557907218</v>
      </c>
      <c r="W38" s="82">
        <f t="shared" si="11"/>
        <v>5.9660349268568762</v>
      </c>
    </row>
    <row r="39" spans="2:23">
      <c r="B39" s="67"/>
      <c r="C39" s="68"/>
      <c r="D39" s="69"/>
      <c r="E39" s="68"/>
      <c r="F39" s="69"/>
      <c r="G39" s="68"/>
      <c r="H39" s="69"/>
      <c r="K39" s="32" t="s">
        <v>214</v>
      </c>
      <c r="L39" s="86"/>
      <c r="M39" s="82">
        <f>(M35/M34+1)*L38/(M35/M34+1+M44+M43*(M35/M34+1)*L38)</f>
        <v>2.440373220472507</v>
      </c>
      <c r="N39" s="86"/>
      <c r="O39" s="82">
        <f>(O35/O34+1)*N38/(O35/O34+1+O44+O43*(O35/O34+1)*N38)</f>
        <v>2.21783381572958</v>
      </c>
      <c r="P39" s="86"/>
      <c r="Q39" s="82">
        <f>(Q35/Q34+1)*P38/(Q35/Q34+1+Q44+Q43*(Q35/Q34+1)*P38)</f>
        <v>2.0580883682150084</v>
      </c>
      <c r="R39" s="86"/>
      <c r="S39" s="82">
        <f>(S35/S34+1)*R38/(S35/S34+1+S44+S43*(S35/S34+1)*R38)</f>
        <v>2.3553370384844134</v>
      </c>
      <c r="T39" s="86"/>
      <c r="U39" s="82">
        <f>(U35/U34+1)*T38/(U35/U34+1+U44+U43*(U35/U34+1)*T38)</f>
        <v>2.466431484083714</v>
      </c>
      <c r="V39" s="86"/>
      <c r="W39" s="82">
        <f>(W35/W34+1)*V38/(W35/W34+1+W44+W43*(W35/W34+1)*V38)</f>
        <v>5.0109194749156494</v>
      </c>
    </row>
    <row r="40" spans="2:23">
      <c r="B40" s="67"/>
      <c r="C40" s="68"/>
      <c r="D40" s="69"/>
      <c r="E40" s="68"/>
      <c r="F40" s="69"/>
      <c r="G40" s="68"/>
      <c r="H40" s="69"/>
      <c r="J40" t="s">
        <v>276</v>
      </c>
      <c r="K40" s="32" t="s">
        <v>244</v>
      </c>
      <c r="L40" s="84">
        <f>L31/(L34+L47+L48)</f>
        <v>11.236913298061774</v>
      </c>
      <c r="M40" s="83">
        <f>M31/(M34+M48+M47+M33)</f>
        <v>8.4427616870745119</v>
      </c>
      <c r="N40" s="84">
        <f>N31/(N34+N47+N48)</f>
        <v>11.737806190641715</v>
      </c>
      <c r="O40" s="83">
        <f>O31/(O34+O48+O47+O33)</f>
        <v>8.0885335389443753</v>
      </c>
      <c r="P40" s="84">
        <f>P31/(P34+P47+P48)</f>
        <v>11.498105505868555</v>
      </c>
      <c r="Q40" s="83">
        <f>Q31/(Q34+Q48+Q47+Q33)</f>
        <v>7.7263770803865333</v>
      </c>
      <c r="R40" s="84">
        <f>R31/(R34+R47+R48)</f>
        <v>13.260861841705252</v>
      </c>
      <c r="S40" s="83">
        <f>S31/(S34+S48+S47+S33)</f>
        <v>8.0781071207814286</v>
      </c>
      <c r="T40" s="84">
        <f>T31/(T34+T47+T48)</f>
        <v>13.815978247643779</v>
      </c>
      <c r="U40" s="83">
        <f>U31/(U34+U48+U47+U33)</f>
        <v>8.5725321954165885</v>
      </c>
      <c r="V40" s="84">
        <f>V31/(V34+V47+V48)</f>
        <v>31.04656599679916</v>
      </c>
      <c r="W40" s="83">
        <f>W31/(W34+W48+W47+W33)</f>
        <v>21.206342305231981</v>
      </c>
    </row>
    <row r="41" spans="2:23">
      <c r="B41" s="67"/>
      <c r="C41" s="68"/>
      <c r="D41" s="69"/>
      <c r="E41" s="68"/>
      <c r="F41" s="69"/>
      <c r="G41" s="68"/>
      <c r="H41" s="69"/>
      <c r="K41" s="91" t="s">
        <v>275</v>
      </c>
      <c r="L41" s="84">
        <f>L48/(L34*(1+$L$6*$L$4))</f>
        <v>1.4825775498059688</v>
      </c>
      <c r="M41" s="82">
        <f>L40*(1-M43)*(L41+1)/(L41+M44+1)</f>
        <v>8.2041030442913261</v>
      </c>
      <c r="N41" s="84">
        <f>N48/(N34*(1+$L$6*$L$4))</f>
        <v>1.5127752717666074</v>
      </c>
      <c r="O41" s="82">
        <f>N40*(1-O43)*(N41+1)/(N41+O44+1)</f>
        <v>7.7115631132710352</v>
      </c>
      <c r="P41" s="84">
        <f>P48/(P34*(1+$L$6*$L$4))</f>
        <v>1.2309264522268968</v>
      </c>
      <c r="Q41" s="82">
        <f>P40*(1-Q43)*(P41+1)/(P41+Q44+1)</f>
        <v>7.1337788007357155</v>
      </c>
      <c r="R41" s="84">
        <f>R48/(R34*(1+$L$6*$L$4))</f>
        <v>1.9247805659128892</v>
      </c>
      <c r="S41" s="82">
        <f>R40*(1-S43)*(R41+1)/(R41+S44+1)</f>
        <v>7.3772720184669351</v>
      </c>
      <c r="T41" s="84">
        <f>T48/(T34*(1+$L$6*$L$4))</f>
        <v>1.7749811449472319</v>
      </c>
      <c r="U41" s="82">
        <f>T40*(1-U43)*(T41+1)/(T41+U44+1)</f>
        <v>7.8303322709931917</v>
      </c>
      <c r="V41" s="84">
        <f>V48/(V34*(1+$L$6*$L$4))</f>
        <v>2.6125948731811102</v>
      </c>
      <c r="W41" s="82">
        <f>V40*(1-W43)*(V41+1)/(V41+W44+1)</f>
        <v>20.30787369834378</v>
      </c>
    </row>
    <row r="42" spans="2:23">
      <c r="B42" s="67"/>
      <c r="C42" s="68"/>
      <c r="D42" s="69"/>
      <c r="E42" s="68"/>
      <c r="F42" s="69"/>
      <c r="G42" s="68"/>
      <c r="H42" s="69"/>
      <c r="K42" s="32" t="s">
        <v>213</v>
      </c>
      <c r="L42" s="86"/>
      <c r="M42" s="82">
        <f>L40*(1-M43)*(1+L49)/(1+L49+M44)</f>
        <v>8.2041030442913261</v>
      </c>
      <c r="N42" s="82"/>
      <c r="O42" s="82">
        <f t="shared" ref="O42" si="12">N40*(1-O43)*(1+N49)/(1+N49+O44)</f>
        <v>7.7115631132710352</v>
      </c>
      <c r="P42" s="82"/>
      <c r="Q42" s="82">
        <f t="shared" ref="Q42" si="13">P40*(1-Q43)*(1+P49)/(1+P49+Q44)</f>
        <v>7.1337788007357155</v>
      </c>
      <c r="R42" s="82"/>
      <c r="S42" s="82">
        <f t="shared" ref="S42" si="14">R40*(1-S43)*(1+R49)/(1+R49+S44)</f>
        <v>7.3772720184669351</v>
      </c>
      <c r="T42" s="82"/>
      <c r="U42" s="82">
        <f t="shared" ref="U42" si="15">T40*(1-U43)*(1+T49)/(1+T49+U44)</f>
        <v>7.8303322709931917</v>
      </c>
      <c r="V42" s="82"/>
      <c r="W42" s="82">
        <f t="shared" ref="W42" si="16">V40*(1-W43)*(1+V49)/(1+V49+W44)</f>
        <v>20.30787369834378</v>
      </c>
    </row>
    <row r="43" spans="2:23">
      <c r="B43" t="s">
        <v>60</v>
      </c>
      <c r="C43" s="93">
        <v>125750</v>
      </c>
      <c r="D43" s="95">
        <v>190750</v>
      </c>
      <c r="E43" s="93">
        <v>113140</v>
      </c>
      <c r="F43" s="95">
        <v>190090</v>
      </c>
      <c r="G43" s="93">
        <v>108020</v>
      </c>
      <c r="H43" s="95">
        <v>176540</v>
      </c>
      <c r="K43" s="37" t="s">
        <v>106</v>
      </c>
      <c r="L43" s="38"/>
      <c r="M43" s="39">
        <f>M29/L26</f>
        <v>0.16273974802179103</v>
      </c>
      <c r="N43" s="38"/>
      <c r="O43" s="39">
        <f>O29/N26</f>
        <v>0.21946138762279202</v>
      </c>
      <c r="P43" s="38"/>
      <c r="Q43" s="39">
        <f>Q29/P26</f>
        <v>0.25864326936869675</v>
      </c>
      <c r="R43" s="38"/>
      <c r="S43" s="39">
        <f>S29/R26</f>
        <v>0.28888690333344103</v>
      </c>
      <c r="T43" s="38"/>
      <c r="U43" s="39">
        <f>U29/T26</f>
        <v>0.27624843978304053</v>
      </c>
      <c r="V43" s="38"/>
      <c r="W43" s="39">
        <f>W29/V26</f>
        <v>0.14684369820566404</v>
      </c>
    </row>
    <row r="44" spans="2:23">
      <c r="B44" s="13" t="s">
        <v>43</v>
      </c>
      <c r="C44" s="94"/>
      <c r="D44" s="96"/>
      <c r="E44" s="94"/>
      <c r="F44" s="96"/>
      <c r="G44" s="94"/>
      <c r="H44" s="96"/>
      <c r="K44" s="33" t="s">
        <v>105</v>
      </c>
      <c r="L44" s="27"/>
      <c r="M44" s="28">
        <f>(M18-L18)/L18</f>
        <v>0.36436839456467035</v>
      </c>
      <c r="N44" s="27"/>
      <c r="O44" s="28">
        <f>(O18-N18)/N18</f>
        <v>0.47255619445896496</v>
      </c>
      <c r="P44" s="27"/>
      <c r="Q44" s="28">
        <f>(Q18-P18)/P18</f>
        <v>0.43482183130356339</v>
      </c>
      <c r="R44" s="27"/>
      <c r="S44" s="28">
        <f>(S18-R18)/R18</f>
        <v>0.81381011097410605</v>
      </c>
      <c r="T44" s="27"/>
      <c r="U44" s="28">
        <f>(U18-T18)/T18</f>
        <v>0.76867030965391625</v>
      </c>
      <c r="V44" s="27"/>
      <c r="W44" s="28">
        <f>(W18-V18)/V18</f>
        <v>1.0993150684931507</v>
      </c>
    </row>
    <row r="45" spans="2:23">
      <c r="B45" s="65"/>
      <c r="C45" s="68"/>
      <c r="D45" s="69"/>
      <c r="E45" s="68"/>
      <c r="F45" s="69"/>
      <c r="G45" s="68"/>
      <c r="H45" s="69"/>
      <c r="K45" s="70" t="s">
        <v>274</v>
      </c>
      <c r="L45" s="71">
        <v>4</v>
      </c>
      <c r="M45" s="72"/>
      <c r="N45" s="71"/>
      <c r="O45" s="72"/>
      <c r="P45" s="71"/>
      <c r="Q45" s="72"/>
      <c r="R45" s="71"/>
      <c r="S45" s="72"/>
      <c r="T45" s="71"/>
      <c r="U45" s="72"/>
      <c r="V45" s="71"/>
      <c r="W45" s="72"/>
    </row>
    <row r="46" spans="2:23">
      <c r="B46" s="65"/>
      <c r="C46" s="68"/>
      <c r="D46" s="69"/>
      <c r="E46" s="68"/>
      <c r="F46" s="69"/>
      <c r="G46" s="68"/>
      <c r="H46" s="69"/>
      <c r="K46" s="70" t="s">
        <v>215</v>
      </c>
      <c r="L46" s="74">
        <f>L25*8760*$L$6*$L$7/1000000</f>
        <v>30081.360930903975</v>
      </c>
      <c r="M46" s="75">
        <f>M29*8760*$L$6*$L$7/1000000</f>
        <v>24216.335257579911</v>
      </c>
      <c r="N46" s="74">
        <f>N25*8760*$L$6*$L$7/1000000</f>
        <v>27473.392353214858</v>
      </c>
      <c r="O46" s="89">
        <f>O29*8760*$L$6*$L$7/1000000</f>
        <v>33310.100461969443</v>
      </c>
      <c r="P46" s="74">
        <f t="shared" ref="P46:W46" si="17">P25*8760*$L$6*$L$7/1000000</f>
        <v>27630.514879330167</v>
      </c>
      <c r="Q46" s="75">
        <f t="shared" si="17"/>
        <v>42379.708294645621</v>
      </c>
      <c r="R46" s="74">
        <f t="shared" si="17"/>
        <v>8319.7147547430377</v>
      </c>
      <c r="S46" s="75">
        <f t="shared" si="17"/>
        <v>22290.998936574993</v>
      </c>
      <c r="T46" s="90">
        <f t="shared" si="17"/>
        <v>8293.6768670274068</v>
      </c>
      <c r="U46" s="75">
        <f t="shared" si="17"/>
        <v>22272.070092962425</v>
      </c>
      <c r="V46" s="74">
        <f t="shared" si="17"/>
        <v>2148.9155999999998</v>
      </c>
      <c r="W46" s="75">
        <f t="shared" si="17"/>
        <v>8361.1134000000002</v>
      </c>
    </row>
    <row r="47" spans="2:23">
      <c r="B47" s="65"/>
      <c r="C47" s="68"/>
      <c r="D47" s="69"/>
      <c r="E47" s="68"/>
      <c r="F47" s="69"/>
      <c r="G47" s="68"/>
      <c r="H47" s="69"/>
      <c r="K47" s="70" t="s">
        <v>216</v>
      </c>
      <c r="L47" s="90">
        <f>$L$4*L34*$L$6</f>
        <v>2909.5343767736622</v>
      </c>
      <c r="M47" s="75">
        <f>$L$4*(L34+M33)*$L$6</f>
        <v>3735.5261061865135</v>
      </c>
      <c r="N47" s="74">
        <f>$L$4*N34*$L$6</f>
        <v>2806.9572799038169</v>
      </c>
      <c r="O47" s="75">
        <f>$L$4*(N34+O33)*$L$6</f>
        <v>3742.8620342432646</v>
      </c>
      <c r="P47" s="74">
        <f>$L$4*P34*$L$6</f>
        <v>3421.1228048579392</v>
      </c>
      <c r="Q47" s="75">
        <f>$L$4*(P34+Q33)*$L$6</f>
        <v>4209.2265400933647</v>
      </c>
      <c r="R47" s="74">
        <f>$L$4*R34*$L$6</f>
        <v>1975.2831763371723</v>
      </c>
      <c r="S47" s="75">
        <f>$L$4*(R34+S33)*$L$6</f>
        <v>2942.1051237085235</v>
      </c>
      <c r="T47" s="74">
        <f>$L$4*T34*$L$6</f>
        <v>2134.0390959836682</v>
      </c>
      <c r="U47" s="75">
        <f>$L$4*(T34+U33)*$L$6</f>
        <v>3119.6772006998681</v>
      </c>
      <c r="V47" s="74">
        <f>$L$4*V34*$L$6</f>
        <v>603.01150679999989</v>
      </c>
      <c r="W47" s="75">
        <f>$L$4*(V34+W33)*$L$6</f>
        <v>1145.5296509999998</v>
      </c>
    </row>
    <row r="48" spans="2:23">
      <c r="B48" s="65"/>
      <c r="C48" s="68"/>
      <c r="D48" s="69"/>
      <c r="E48" s="68"/>
      <c r="F48" s="69"/>
      <c r="G48" s="68"/>
      <c r="H48" s="69"/>
      <c r="K48" s="70" t="s">
        <v>217</v>
      </c>
      <c r="L48" s="74">
        <f>L32/L17/L37</f>
        <v>7908.2856368877783</v>
      </c>
      <c r="M48" s="75">
        <f>L32/L17/L37</f>
        <v>7908.2856368877783</v>
      </c>
      <c r="N48" s="74">
        <f>N32/N17/N37</f>
        <v>7784.8751968968818</v>
      </c>
      <c r="O48" s="75">
        <f>N32/N17/N37</f>
        <v>7784.8751968968818</v>
      </c>
      <c r="P48" s="74">
        <f>P32/P17/P37</f>
        <v>7720.4426874965748</v>
      </c>
      <c r="Q48" s="75">
        <f>P32/P17/P37</f>
        <v>7720.4426874965748</v>
      </c>
      <c r="R48" s="74">
        <f>R32/R17/R37</f>
        <v>6970.3088949788662</v>
      </c>
      <c r="S48" s="75">
        <f>R32/R17/R37</f>
        <v>6970.3088949788662</v>
      </c>
      <c r="T48" s="74">
        <f>T32/T17/T37</f>
        <v>6944.4451229106207</v>
      </c>
      <c r="U48" s="75">
        <f>T32/T17/T37</f>
        <v>6944.4451229106207</v>
      </c>
      <c r="V48" s="74">
        <f>V32/V17/V37</f>
        <v>2888.2787470806429</v>
      </c>
      <c r="W48" s="75">
        <f>V32/V17/V37</f>
        <v>2888.2787470806429</v>
      </c>
    </row>
    <row r="49" spans="2:23">
      <c r="B49" s="65"/>
      <c r="C49" s="68"/>
      <c r="D49" s="69"/>
      <c r="E49" s="68"/>
      <c r="F49" s="69"/>
      <c r="G49" s="68"/>
      <c r="H49" s="69"/>
      <c r="K49" s="70" t="s">
        <v>274</v>
      </c>
      <c r="L49">
        <f>L48/(L34*(1+L6*L4))</f>
        <v>1.4825775498059688</v>
      </c>
      <c r="M49" s="72">
        <f>(M42-M40)/M40</f>
        <v>-2.8267840740851594E-2</v>
      </c>
      <c r="N49">
        <f>N48/(N34*(1+$L$6*$L$4))</f>
        <v>1.5127752717666074</v>
      </c>
      <c r="O49" s="72">
        <f>(O42-O40)/O40</f>
        <v>-4.6605534100627358E-2</v>
      </c>
      <c r="P49">
        <f>P48/(P34*(1+$L$6*$L$4))</f>
        <v>1.2309264522268968</v>
      </c>
      <c r="Q49" s="72">
        <f>(Q42-Q40)/Q40</f>
        <v>-7.6698078994245966E-2</v>
      </c>
      <c r="R49">
        <f>R48/(R34*(1+$L$6*$L$4))</f>
        <v>1.9247805659128892</v>
      </c>
      <c r="S49" s="72">
        <f>(S42-S40)/S40</f>
        <v>-8.6757342015377825E-2</v>
      </c>
      <c r="T49">
        <f>T48/(T34*(1+$L$6*$L$4))</f>
        <v>1.7749811449472319</v>
      </c>
      <c r="U49" s="72">
        <f>(U42-U40)/U40</f>
        <v>-8.6578843625716939E-2</v>
      </c>
      <c r="V49">
        <f>V48/(V34*(1+$L$6*$L$4))</f>
        <v>2.6125948731811102</v>
      </c>
      <c r="W49" s="72">
        <f>(W42-W40)/W40</f>
        <v>-4.2367919651402269E-2</v>
      </c>
    </row>
    <row r="50" spans="2:23">
      <c r="B50" s="65"/>
      <c r="C50" s="68"/>
      <c r="D50" s="69"/>
      <c r="E50" s="68"/>
      <c r="F50" s="69"/>
      <c r="G50" s="68"/>
      <c r="H50" s="69"/>
      <c r="K50" s="70" t="s">
        <v>230</v>
      </c>
      <c r="L50" s="71"/>
      <c r="M50" s="75">
        <f>M25-L25</f>
        <v>61172.943654231407</v>
      </c>
      <c r="N50" s="71"/>
      <c r="O50" s="75">
        <f>O25-N25</f>
        <v>73298.499213522038</v>
      </c>
      <c r="P50" s="71"/>
      <c r="Q50" s="75">
        <f>Q25-P25</f>
        <v>66027.367782771296</v>
      </c>
      <c r="R50" s="71"/>
      <c r="S50" s="75">
        <f>S25-R25</f>
        <v>62544.919786157909</v>
      </c>
      <c r="T50" s="71"/>
      <c r="U50" s="75">
        <f>U25-T25</f>
        <v>62576.744676940725</v>
      </c>
      <c r="V50" s="71"/>
      <c r="W50" s="75">
        <f>W25-V25</f>
        <v>27810</v>
      </c>
    </row>
    <row r="51" spans="2:23">
      <c r="B51" s="65"/>
      <c r="C51" s="68"/>
      <c r="D51" s="69"/>
      <c r="E51" s="68"/>
      <c r="F51" s="69"/>
      <c r="G51" s="68"/>
      <c r="H51" s="69"/>
      <c r="K51" s="70" t="s">
        <v>88</v>
      </c>
      <c r="L51" s="73">
        <f>L26-M26</f>
        <v>108408.69933557126</v>
      </c>
      <c r="M51" s="75"/>
      <c r="N51" s="73">
        <f>N26-O26</f>
        <v>149118.54446221434</v>
      </c>
      <c r="O51" s="75"/>
      <c r="P51" s="73">
        <f>P26-Q26</f>
        <v>186285.27865539002</v>
      </c>
      <c r="Q51" s="75"/>
      <c r="R51" s="73">
        <f>R26-S26</f>
        <v>181643.30918731535</v>
      </c>
      <c r="S51" s="75"/>
      <c r="T51" s="73">
        <f>T26-U26</f>
        <v>185498.7685778194</v>
      </c>
      <c r="U51" s="75"/>
      <c r="V51" s="73">
        <f>V26-W26</f>
        <v>81510</v>
      </c>
      <c r="W51" s="75"/>
    </row>
    <row r="52" spans="2:23">
      <c r="B52" s="65"/>
      <c r="C52" s="68"/>
      <c r="D52" s="69"/>
      <c r="E52" s="68"/>
      <c r="F52" s="69"/>
      <c r="G52" s="68"/>
      <c r="H52" s="69"/>
      <c r="K52" s="70"/>
      <c r="L52" s="73"/>
      <c r="M52" s="75">
        <f>M50+M27</f>
        <v>108408.69933557129</v>
      </c>
      <c r="N52" s="73"/>
      <c r="O52" s="75"/>
      <c r="P52" s="73"/>
      <c r="Q52" s="75"/>
      <c r="R52" s="73"/>
      <c r="S52" s="75"/>
      <c r="T52" s="73"/>
      <c r="U52" s="75"/>
      <c r="V52" s="73"/>
      <c r="W52" s="75"/>
    </row>
    <row r="53" spans="2:23">
      <c r="B53" s="65"/>
      <c r="C53" s="68"/>
      <c r="D53" s="69"/>
      <c r="E53" s="68"/>
      <c r="F53" s="69"/>
      <c r="G53" s="68"/>
      <c r="H53" s="69"/>
      <c r="K53" s="70" t="s">
        <v>225</v>
      </c>
      <c r="L53" s="76">
        <f>L25/L24</f>
        <v>0.16815993581171435</v>
      </c>
      <c r="M53" s="76">
        <f t="shared" ref="M53:W53" si="18">M25/M24</f>
        <v>0.25987738419618528</v>
      </c>
      <c r="N53" s="76">
        <f t="shared" si="18"/>
        <v>0.15326469791384448</v>
      </c>
      <c r="O53" s="76">
        <f t="shared" si="18"/>
        <v>0.2701293164700867</v>
      </c>
      <c r="P53" s="76">
        <f t="shared" si="18"/>
        <v>0.14656716417910448</v>
      </c>
      <c r="Q53" s="76">
        <f t="shared" si="18"/>
        <v>0.26216216216216215</v>
      </c>
      <c r="R53" s="76">
        <f t="shared" si="18"/>
        <v>5.592173017507724E-2</v>
      </c>
      <c r="S53" s="76">
        <f t="shared" si="18"/>
        <v>0.1824587483276349</v>
      </c>
      <c r="T53" s="76">
        <f t="shared" si="18"/>
        <v>5.2394900068917991E-2</v>
      </c>
      <c r="U53" s="76">
        <f t="shared" si="18"/>
        <v>0.17023234761617381</v>
      </c>
      <c r="V53" s="76">
        <f t="shared" si="18"/>
        <v>1.7035594120772091E-2</v>
      </c>
      <c r="W53" s="76">
        <f t="shared" si="18"/>
        <v>7.3248532289628174E-2</v>
      </c>
    </row>
    <row r="54" spans="2:23">
      <c r="B54" s="65"/>
      <c r="C54" s="68"/>
      <c r="D54" s="69"/>
      <c r="E54" s="68"/>
      <c r="F54" s="69"/>
      <c r="G54" s="68"/>
      <c r="H54" s="69"/>
      <c r="K54" s="70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</row>
    <row r="55" spans="2:23">
      <c r="B55" s="65"/>
      <c r="C55" s="68"/>
      <c r="D55" s="69"/>
      <c r="E55" s="68"/>
      <c r="F55" s="69"/>
      <c r="G55" s="68"/>
      <c r="H55" s="69"/>
      <c r="K55" s="70" t="s">
        <v>226</v>
      </c>
      <c r="L55" s="76">
        <f>L34/L32</f>
        <v>1.3553994314620826E-2</v>
      </c>
      <c r="M55" s="76">
        <f t="shared" ref="M55:W55" si="19">M34/M32</f>
        <v>1.4403587212193794E-2</v>
      </c>
      <c r="N55" s="76">
        <f t="shared" si="19"/>
        <v>1.3049215462440684E-2</v>
      </c>
      <c r="O55" s="76">
        <f t="shared" si="19"/>
        <v>1.4410805716323262E-2</v>
      </c>
      <c r="P55" s="76">
        <f t="shared" si="19"/>
        <v>1.5122901557883423E-2</v>
      </c>
      <c r="Q55" s="76">
        <f t="shared" si="19"/>
        <v>1.7635974613687815E-2</v>
      </c>
      <c r="R55" s="76">
        <f t="shared" si="19"/>
        <v>1.1064206732921475E-2</v>
      </c>
      <c r="S55" s="76">
        <f t="shared" si="19"/>
        <v>1.3473588486418157E-2</v>
      </c>
      <c r="T55" s="76">
        <f t="shared" si="19"/>
        <v>1.1234740128928281E-2</v>
      </c>
      <c r="U55" s="76">
        <f t="shared" si="19"/>
        <v>1.3592602891486793E-2</v>
      </c>
      <c r="V55" s="76">
        <f t="shared" si="19"/>
        <v>3.9836601307189539E-3</v>
      </c>
      <c r="W55" s="76">
        <f t="shared" si="19"/>
        <v>4.4022952560019441E-3</v>
      </c>
    </row>
    <row r="56" spans="2:23">
      <c r="B56" s="65"/>
      <c r="C56" s="68"/>
      <c r="D56" s="69"/>
      <c r="E56" s="68"/>
      <c r="F56" s="69"/>
      <c r="G56" s="68"/>
      <c r="H56" s="69"/>
      <c r="K56" s="70" t="s">
        <v>228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</row>
    <row r="57" spans="2:23">
      <c r="B57" s="65"/>
      <c r="C57" s="68"/>
      <c r="D57" s="69"/>
      <c r="E57" s="68"/>
      <c r="F57" s="69"/>
      <c r="G57" s="68"/>
      <c r="H57" s="69"/>
      <c r="K57" s="70" t="s">
        <v>227</v>
      </c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</row>
    <row r="58" spans="2:23">
      <c r="B58" s="13" t="s">
        <v>44</v>
      </c>
      <c r="C58" s="93">
        <v>622050</v>
      </c>
      <c r="D58" s="95">
        <v>543250</v>
      </c>
      <c r="E58" s="93">
        <v>625060</v>
      </c>
      <c r="F58" s="95">
        <v>513610</v>
      </c>
      <c r="G58" s="93">
        <v>628980</v>
      </c>
      <c r="H58" s="95">
        <v>496860</v>
      </c>
      <c r="M58" s="17">
        <f>1-M17/L17</f>
        <v>0.16410256410256407</v>
      </c>
    </row>
    <row r="59" spans="2:23">
      <c r="B59" s="13" t="s">
        <v>45</v>
      </c>
      <c r="C59" s="94"/>
      <c r="D59" s="96"/>
      <c r="E59" s="94"/>
      <c r="F59" s="96"/>
      <c r="G59" s="94"/>
      <c r="H59" s="96"/>
      <c r="M59" s="18">
        <f>L16-M16</f>
        <v>78800</v>
      </c>
      <c r="O59">
        <f>N16-O16</f>
        <v>111450</v>
      </c>
      <c r="Q59">
        <f>P16-Q16</f>
        <v>132120</v>
      </c>
      <c r="R59" t="s">
        <v>62</v>
      </c>
    </row>
    <row r="60" spans="2:23">
      <c r="B60" s="13" t="s">
        <v>46</v>
      </c>
      <c r="C60" s="93">
        <v>466901</v>
      </c>
      <c r="D60" s="95">
        <v>487011</v>
      </c>
      <c r="E60" s="93">
        <v>459958</v>
      </c>
      <c r="F60" s="95">
        <v>484212</v>
      </c>
      <c r="G60" s="93">
        <v>436646</v>
      </c>
      <c r="H60" s="95">
        <v>465264</v>
      </c>
      <c r="M60" s="17">
        <f>M59/L16</f>
        <v>0.12667791978136805</v>
      </c>
      <c r="O60" s="17">
        <f>O59/N16</f>
        <v>0.17830288292323937</v>
      </c>
      <c r="Q60" s="17">
        <f>Q59/P16</f>
        <v>0.21005437374797292</v>
      </c>
      <c r="R60" t="s">
        <v>63</v>
      </c>
      <c r="U60" s="36">
        <f>AVERAGE(S44:U44)</f>
        <v>0.79124021031401115</v>
      </c>
    </row>
    <row r="61" spans="2:23">
      <c r="B61" s="13" t="s">
        <v>47</v>
      </c>
      <c r="C61" s="94"/>
      <c r="D61" s="96"/>
      <c r="E61" s="94"/>
      <c r="F61" s="96"/>
      <c r="G61" s="94"/>
      <c r="H61" s="96"/>
      <c r="U61" s="36">
        <f>AVERAGE(M44:Q44)</f>
        <v>0.42391547344239955</v>
      </c>
    </row>
    <row r="62" spans="2:23">
      <c r="B62" s="10"/>
      <c r="C62" s="118" t="s">
        <v>48</v>
      </c>
      <c r="D62" s="120" t="s">
        <v>48</v>
      </c>
      <c r="E62" s="118" t="s">
        <v>48</v>
      </c>
      <c r="F62" s="120" t="s">
        <v>48</v>
      </c>
      <c r="G62" s="118" t="s">
        <v>48</v>
      </c>
      <c r="H62" s="120" t="s">
        <v>48</v>
      </c>
      <c r="L62">
        <v>1987</v>
      </c>
      <c r="M62">
        <v>2711</v>
      </c>
      <c r="N62">
        <v>1913</v>
      </c>
      <c r="O62">
        <v>2817</v>
      </c>
      <c r="P62">
        <v>2217</v>
      </c>
      <c r="Q62" s="21">
        <v>3181</v>
      </c>
      <c r="R62">
        <v>1622</v>
      </c>
      <c r="S62">
        <v>2942</v>
      </c>
      <c r="T62">
        <v>1647</v>
      </c>
      <c r="U62">
        <v>2913</v>
      </c>
      <c r="V62">
        <v>584</v>
      </c>
      <c r="W62">
        <v>1226</v>
      </c>
    </row>
    <row r="63" spans="2:23">
      <c r="B63" s="10"/>
      <c r="C63" s="119"/>
      <c r="D63" s="121"/>
      <c r="E63" s="119"/>
      <c r="F63" s="121"/>
      <c r="G63" s="119"/>
      <c r="H63" s="121"/>
      <c r="I63" t="s">
        <v>48</v>
      </c>
      <c r="J63" t="s">
        <v>48</v>
      </c>
    </row>
    <row r="64" spans="2:23">
      <c r="B64" s="10"/>
      <c r="C64" s="93">
        <v>1596320</v>
      </c>
      <c r="D64" s="95">
        <v>1665074</v>
      </c>
      <c r="E64" s="93">
        <v>1572582</v>
      </c>
      <c r="F64" s="95">
        <v>1655503</v>
      </c>
      <c r="G64" s="93">
        <v>1492878</v>
      </c>
      <c r="H64" s="95">
        <v>1590722</v>
      </c>
    </row>
    <row r="65" spans="2:16">
      <c r="B65" s="10"/>
      <c r="C65" s="94"/>
      <c r="D65" s="96"/>
      <c r="E65" s="94"/>
      <c r="F65" s="96"/>
      <c r="G65" s="94"/>
      <c r="H65" s="96"/>
      <c r="I65">
        <v>1596320</v>
      </c>
      <c r="J65">
        <v>1665074</v>
      </c>
      <c r="K65" t="s">
        <v>48</v>
      </c>
      <c r="L65" t="s">
        <v>48</v>
      </c>
      <c r="M65" t="s">
        <v>48</v>
      </c>
      <c r="N65" t="s">
        <v>48</v>
      </c>
    </row>
    <row r="66" spans="2:16">
      <c r="B66" s="10"/>
      <c r="C66" s="124">
        <v>0.39</v>
      </c>
      <c r="D66" s="126">
        <v>0.32600000000000001</v>
      </c>
      <c r="E66" s="124">
        <v>0.39700000000000002</v>
      </c>
      <c r="F66" s="126">
        <v>0.31</v>
      </c>
      <c r="G66" s="124">
        <v>0.42099999999999999</v>
      </c>
      <c r="H66" s="126">
        <v>0.312</v>
      </c>
    </row>
    <row r="67" spans="2:16">
      <c r="B67" s="10"/>
      <c r="C67" s="125"/>
      <c r="D67" s="127"/>
      <c r="E67" s="125"/>
      <c r="F67" s="127"/>
      <c r="G67" s="125"/>
      <c r="H67" s="127"/>
      <c r="I67">
        <v>0.39</v>
      </c>
      <c r="J67">
        <v>0.32600000000000001</v>
      </c>
      <c r="K67">
        <v>1572582</v>
      </c>
      <c r="L67">
        <v>1655503</v>
      </c>
      <c r="M67">
        <v>1492878</v>
      </c>
      <c r="N67">
        <v>1590722</v>
      </c>
    </row>
    <row r="68" spans="2:16">
      <c r="B68" s="10"/>
      <c r="C68" s="93">
        <v>8756</v>
      </c>
      <c r="D68" s="95">
        <v>10458</v>
      </c>
      <c r="E68" s="93">
        <v>8585</v>
      </c>
      <c r="F68" s="95">
        <v>10998</v>
      </c>
      <c r="G68" s="93">
        <v>8099</v>
      </c>
      <c r="H68" s="95">
        <v>10924</v>
      </c>
    </row>
    <row r="69" spans="2:16" ht="16.5" thickBot="1">
      <c r="B69" s="11"/>
      <c r="C69" s="122"/>
      <c r="D69" s="123"/>
      <c r="E69" s="122"/>
      <c r="F69" s="123"/>
      <c r="G69" s="122"/>
      <c r="H69" s="123"/>
      <c r="I69">
        <v>8756</v>
      </c>
      <c r="J69">
        <v>10458</v>
      </c>
      <c r="K69">
        <v>0.39700000000000002</v>
      </c>
      <c r="L69">
        <v>0.31</v>
      </c>
      <c r="M69">
        <v>0.42099999999999999</v>
      </c>
      <c r="N69">
        <v>0.312</v>
      </c>
    </row>
    <row r="70" spans="2:16" ht="33" customHeight="1">
      <c r="B70" s="108" t="s">
        <v>49</v>
      </c>
      <c r="C70" s="129">
        <v>7.6</v>
      </c>
      <c r="D70" s="130">
        <v>10.7</v>
      </c>
      <c r="E70" s="129">
        <v>7</v>
      </c>
      <c r="F70" s="130">
        <v>11.1</v>
      </c>
      <c r="G70" s="129">
        <v>6.6</v>
      </c>
      <c r="H70" s="130">
        <v>11.3</v>
      </c>
    </row>
    <row r="71" spans="2:16">
      <c r="B71" s="128"/>
      <c r="C71" s="119"/>
      <c r="D71" s="121"/>
      <c r="E71" s="119"/>
      <c r="F71" s="121"/>
      <c r="G71" s="119"/>
      <c r="H71" s="121"/>
      <c r="K71">
        <v>8585</v>
      </c>
      <c r="L71">
        <v>10998</v>
      </c>
      <c r="M71">
        <v>8099</v>
      </c>
      <c r="N71">
        <v>10924</v>
      </c>
    </row>
    <row r="72" spans="2:16">
      <c r="B72" s="128"/>
      <c r="C72" s="118">
        <v>1.6</v>
      </c>
      <c r="D72" s="120">
        <v>2</v>
      </c>
      <c r="E72" s="118">
        <v>1.4</v>
      </c>
      <c r="F72" s="120">
        <v>2.1</v>
      </c>
      <c r="G72" s="118">
        <v>1.2</v>
      </c>
      <c r="H72" s="120">
        <v>2</v>
      </c>
    </row>
    <row r="73" spans="2:16">
      <c r="B73" s="128"/>
      <c r="C73" s="119"/>
      <c r="D73" s="121"/>
      <c r="E73" s="119"/>
      <c r="F73" s="121"/>
      <c r="G73" s="119"/>
      <c r="H73" s="121"/>
    </row>
    <row r="74" spans="2:16">
      <c r="B74" s="128"/>
      <c r="C74" s="118">
        <v>6</v>
      </c>
      <c r="D74" s="120">
        <v>8.6999999999999993</v>
      </c>
      <c r="E74" s="118">
        <v>5.5</v>
      </c>
      <c r="F74" s="120">
        <v>9</v>
      </c>
      <c r="G74" s="118">
        <v>5.3</v>
      </c>
      <c r="H74" s="120">
        <v>9.3000000000000007</v>
      </c>
    </row>
    <row r="75" spans="2:16" ht="16.5" thickBot="1">
      <c r="B75" s="109"/>
      <c r="C75" s="131"/>
      <c r="D75" s="132"/>
      <c r="E75" s="131"/>
      <c r="F75" s="132"/>
      <c r="G75" s="131"/>
      <c r="H75" s="132"/>
      <c r="L75">
        <v>1300000000</v>
      </c>
      <c r="M75">
        <v>110000</v>
      </c>
      <c r="N75" t="s">
        <v>107</v>
      </c>
      <c r="O75">
        <f>L75/M75</f>
        <v>11818.181818181818</v>
      </c>
    </row>
    <row r="76" spans="2:16" ht="48">
      <c r="B76" s="12" t="s">
        <v>50</v>
      </c>
      <c r="C76" s="129">
        <v>197</v>
      </c>
      <c r="D76" s="130">
        <v>20</v>
      </c>
      <c r="E76" s="129">
        <v>199</v>
      </c>
      <c r="F76" s="130">
        <v>20</v>
      </c>
      <c r="G76" s="129">
        <v>197</v>
      </c>
      <c r="H76" s="130">
        <v>20</v>
      </c>
      <c r="L76">
        <v>6500000000</v>
      </c>
      <c r="M76">
        <v>582000</v>
      </c>
      <c r="O76">
        <f>L76/M76</f>
        <v>11168.384879725087</v>
      </c>
      <c r="P76">
        <f>O76*215/237</f>
        <v>10131.657169370859</v>
      </c>
    </row>
    <row r="77" spans="2:16">
      <c r="B77" s="10"/>
      <c r="C77" s="119"/>
      <c r="D77" s="121"/>
      <c r="E77" s="119"/>
      <c r="F77" s="121"/>
      <c r="G77" s="119"/>
      <c r="H77" s="121"/>
    </row>
    <row r="78" spans="2:16">
      <c r="B78" s="13" t="s">
        <v>51</v>
      </c>
      <c r="C78" s="93">
        <v>1434</v>
      </c>
      <c r="D78" s="120">
        <v>152</v>
      </c>
      <c r="E78" s="93">
        <v>1448</v>
      </c>
      <c r="F78" s="120">
        <v>158</v>
      </c>
      <c r="G78" s="93">
        <v>1361</v>
      </c>
      <c r="H78" s="120">
        <v>161</v>
      </c>
    </row>
    <row r="79" spans="2:16">
      <c r="B79" s="13" t="s">
        <v>52</v>
      </c>
      <c r="C79" s="94"/>
      <c r="D79" s="121"/>
      <c r="E79" s="94"/>
      <c r="F79" s="121"/>
      <c r="G79" s="94"/>
      <c r="H79" s="121"/>
    </row>
    <row r="80" spans="2:16">
      <c r="B80" s="10"/>
      <c r="C80" s="93">
        <v>1723</v>
      </c>
      <c r="D80" s="120">
        <v>206</v>
      </c>
      <c r="E80" s="93">
        <v>1710</v>
      </c>
      <c r="F80" s="120">
        <v>217</v>
      </c>
      <c r="G80" s="93">
        <v>1595</v>
      </c>
      <c r="H80" s="120">
        <v>218</v>
      </c>
    </row>
    <row r="81" spans="2:8">
      <c r="B81" s="10"/>
      <c r="C81" s="94"/>
      <c r="D81" s="121"/>
      <c r="E81" s="94"/>
      <c r="F81" s="121"/>
      <c r="G81" s="94"/>
      <c r="H81" s="121"/>
    </row>
    <row r="82" spans="2:8">
      <c r="B82" s="10"/>
      <c r="C82" s="118">
        <v>1.1999999999999999E-3</v>
      </c>
      <c r="D82" s="120">
        <v>2.2000000000000001E-3</v>
      </c>
      <c r="E82" s="118">
        <v>1.17E-2</v>
      </c>
      <c r="F82" s="120">
        <v>2.2000000000000001E-3</v>
      </c>
      <c r="G82" s="118">
        <v>4.1999999999999997E-3</v>
      </c>
      <c r="H82" s="120">
        <v>2.0999999999999999E-3</v>
      </c>
    </row>
    <row r="83" spans="2:8">
      <c r="B83" s="10"/>
      <c r="C83" s="119"/>
      <c r="D83" s="121"/>
      <c r="E83" s="119"/>
      <c r="F83" s="121"/>
      <c r="G83" s="119"/>
      <c r="H83" s="121"/>
    </row>
    <row r="84" spans="2:8">
      <c r="B84" s="10"/>
      <c r="C84" s="118">
        <v>8.9999999999999993E-3</v>
      </c>
      <c r="D84" s="120">
        <v>1.66E-2</v>
      </c>
      <c r="E84" s="118">
        <v>8.5199999999999998E-2</v>
      </c>
      <c r="F84" s="120">
        <v>1.7299999999999999E-2</v>
      </c>
      <c r="G84" s="118">
        <v>2.9000000000000001E-2</v>
      </c>
      <c r="H84" s="120">
        <v>1.7100000000000001E-2</v>
      </c>
    </row>
    <row r="85" spans="2:8">
      <c r="B85" s="10"/>
      <c r="C85" s="119"/>
      <c r="D85" s="121"/>
      <c r="E85" s="119"/>
      <c r="F85" s="121"/>
      <c r="G85" s="119"/>
      <c r="H85" s="121"/>
    </row>
    <row r="86" spans="2:8">
      <c r="B86" s="10"/>
      <c r="C86" s="118">
        <v>5.8999999999999997E-2</v>
      </c>
      <c r="D86" s="120">
        <v>4.9000000000000002E-2</v>
      </c>
      <c r="E86" s="118">
        <v>0.06</v>
      </c>
      <c r="F86" s="120">
        <v>4.9000000000000002E-2</v>
      </c>
      <c r="G86" s="118">
        <v>5.8999999999999997E-2</v>
      </c>
      <c r="H86" s="120">
        <v>4.9000000000000002E-2</v>
      </c>
    </row>
    <row r="87" spans="2:8">
      <c r="B87" s="10"/>
      <c r="C87" s="119"/>
      <c r="D87" s="121"/>
      <c r="E87" s="119"/>
      <c r="F87" s="121"/>
      <c r="G87" s="119"/>
      <c r="H87" s="121"/>
    </row>
    <row r="88" spans="2:8">
      <c r="B88" s="10"/>
      <c r="C88" s="118">
        <v>0.43</v>
      </c>
      <c r="D88" s="120">
        <v>0.376</v>
      </c>
      <c r="E88" s="118">
        <v>0.434</v>
      </c>
      <c r="F88" s="120">
        <v>0.39600000000000002</v>
      </c>
      <c r="G88" s="118">
        <v>0.40899999999999997</v>
      </c>
      <c r="H88" s="120">
        <v>0.39600000000000002</v>
      </c>
    </row>
    <row r="89" spans="2:8">
      <c r="B89" s="10"/>
      <c r="C89" s="119"/>
      <c r="D89" s="121"/>
      <c r="E89" s="119"/>
      <c r="F89" s="121"/>
      <c r="G89" s="119"/>
      <c r="H89" s="121"/>
    </row>
    <row r="90" spans="2:8">
      <c r="B90" s="10"/>
      <c r="C90" s="118">
        <v>7.1000000000000004E-3</v>
      </c>
      <c r="D90" s="120">
        <v>7.1000000000000004E-3</v>
      </c>
      <c r="E90" s="118">
        <v>7.1000000000000004E-3</v>
      </c>
      <c r="F90" s="120">
        <v>7.1000000000000004E-3</v>
      </c>
      <c r="G90" s="118">
        <v>7.1000000000000004E-3</v>
      </c>
      <c r="H90" s="120">
        <v>7.1000000000000004E-3</v>
      </c>
    </row>
    <row r="91" spans="2:8">
      <c r="B91" s="10"/>
      <c r="C91" s="119"/>
      <c r="D91" s="121"/>
      <c r="E91" s="119"/>
      <c r="F91" s="121"/>
      <c r="G91" s="119"/>
      <c r="H91" s="121"/>
    </row>
    <row r="92" spans="2:8">
      <c r="B92" s="10"/>
      <c r="C92" s="118">
        <v>5.1999999999999998E-2</v>
      </c>
      <c r="D92" s="120">
        <v>5.5E-2</v>
      </c>
      <c r="E92" s="118">
        <v>5.1999999999999998E-2</v>
      </c>
      <c r="F92" s="120">
        <v>5.7000000000000002E-2</v>
      </c>
      <c r="G92" s="118">
        <v>4.9000000000000002E-2</v>
      </c>
      <c r="H92" s="120">
        <v>5.7000000000000002E-2</v>
      </c>
    </row>
    <row r="93" spans="2:8">
      <c r="B93" s="10"/>
      <c r="C93" s="119"/>
      <c r="D93" s="121"/>
      <c r="E93" s="119"/>
      <c r="F93" s="121"/>
      <c r="G93" s="119"/>
      <c r="H93" s="121"/>
    </row>
    <row r="94" spans="2:8">
      <c r="B94" s="10"/>
      <c r="C94" s="118">
        <v>0.57099999999999995</v>
      </c>
      <c r="D94" s="120">
        <v>0.57099999999999995</v>
      </c>
      <c r="E94" s="118">
        <v>0.57099999999999995</v>
      </c>
      <c r="F94" s="120">
        <v>0.57099999999999995</v>
      </c>
      <c r="G94" s="118">
        <v>0.57099999999999995</v>
      </c>
      <c r="H94" s="120">
        <v>0.57099999999999995</v>
      </c>
    </row>
    <row r="95" spans="2:8">
      <c r="B95" s="10"/>
      <c r="C95" s="119"/>
      <c r="D95" s="121"/>
      <c r="E95" s="119"/>
      <c r="F95" s="121"/>
      <c r="G95" s="119"/>
      <c r="H95" s="121"/>
    </row>
    <row r="96" spans="2:8">
      <c r="B96" s="10"/>
      <c r="C96" s="133">
        <v>4.16E-6</v>
      </c>
      <c r="D96" s="135">
        <v>4.42E-6</v>
      </c>
      <c r="E96" s="133">
        <v>4.1500000000000001E-6</v>
      </c>
      <c r="F96" s="135">
        <v>4.5900000000000001E-6</v>
      </c>
      <c r="G96" s="133">
        <v>3.9500000000000003E-6</v>
      </c>
      <c r="H96" s="135">
        <v>4.6099999999999999E-6</v>
      </c>
    </row>
    <row r="97" spans="2:9" ht="16.5" thickBot="1">
      <c r="B97" s="11"/>
      <c r="C97" s="134"/>
      <c r="D97" s="136"/>
      <c r="E97" s="134"/>
      <c r="F97" s="136"/>
      <c r="G97" s="134"/>
      <c r="H97" s="136"/>
    </row>
    <row r="98" spans="2:9">
      <c r="B98" s="137" t="s">
        <v>53</v>
      </c>
      <c r="C98" s="138"/>
      <c r="D98" s="138"/>
      <c r="E98" s="138"/>
      <c r="F98" s="138"/>
      <c r="G98" s="138"/>
      <c r="H98" s="139"/>
    </row>
    <row r="99" spans="2:9" ht="16.5" thickBot="1">
      <c r="B99" s="140"/>
      <c r="C99" s="141"/>
      <c r="D99" s="141"/>
      <c r="E99" s="141"/>
      <c r="F99" s="141"/>
      <c r="G99" s="141"/>
      <c r="H99" s="142"/>
    </row>
    <row r="100" spans="2:9">
      <c r="B100" s="14" t="s">
        <v>54</v>
      </c>
      <c r="C100" s="114">
        <v>1987</v>
      </c>
      <c r="D100" s="115">
        <v>2711</v>
      </c>
      <c r="E100" s="114">
        <v>1913</v>
      </c>
      <c r="F100" s="115">
        <v>2817</v>
      </c>
      <c r="G100" s="114">
        <v>2217</v>
      </c>
      <c r="H100" s="115">
        <v>3181</v>
      </c>
      <c r="I100" s="17">
        <f>(D100-C100)/C100</f>
        <v>0.36436839456467035</v>
      </c>
    </row>
    <row r="101" spans="2:9">
      <c r="B101" s="8"/>
      <c r="C101" s="94"/>
      <c r="D101" s="96"/>
      <c r="E101" s="94"/>
      <c r="F101" s="96"/>
      <c r="G101" s="94"/>
      <c r="H101" s="96"/>
    </row>
    <row r="102" spans="2:9" ht="21">
      <c r="B102" s="15" t="s">
        <v>55</v>
      </c>
      <c r="C102" s="93">
        <v>2447</v>
      </c>
      <c r="D102" s="95">
        <v>3334</v>
      </c>
      <c r="E102" s="93">
        <v>2351</v>
      </c>
      <c r="F102" s="95">
        <v>3466</v>
      </c>
      <c r="G102" s="93">
        <v>2716</v>
      </c>
      <c r="H102" s="95">
        <v>3904</v>
      </c>
      <c r="I102" s="17">
        <f>(D102-C102)/C102</f>
        <v>0.36248467511238253</v>
      </c>
    </row>
    <row r="103" spans="2:9">
      <c r="B103" s="8"/>
      <c r="C103" s="94"/>
      <c r="D103" s="96"/>
      <c r="E103" s="94"/>
      <c r="F103" s="96"/>
      <c r="G103" s="94"/>
      <c r="H103" s="96"/>
    </row>
    <row r="104" spans="2:9" ht="24">
      <c r="B104" s="16" t="s">
        <v>56</v>
      </c>
      <c r="C104" s="93">
        <v>1528</v>
      </c>
      <c r="D104" s="95">
        <v>2032</v>
      </c>
      <c r="E104" s="93">
        <v>1470</v>
      </c>
      <c r="F104" s="95">
        <v>2113</v>
      </c>
      <c r="G104" s="93">
        <v>1695</v>
      </c>
      <c r="H104" s="95">
        <v>2385</v>
      </c>
    </row>
    <row r="105" spans="2:9">
      <c r="B105" s="8"/>
      <c r="C105" s="94"/>
      <c r="D105" s="96"/>
      <c r="E105" s="94"/>
      <c r="F105" s="96"/>
      <c r="G105" s="94"/>
      <c r="H105" s="96"/>
    </row>
    <row r="106" spans="2:9">
      <c r="B106" s="15" t="s">
        <v>57</v>
      </c>
      <c r="C106" s="118">
        <v>144</v>
      </c>
      <c r="D106" s="120">
        <v>191</v>
      </c>
      <c r="E106" s="118">
        <v>138</v>
      </c>
      <c r="F106" s="120">
        <v>199</v>
      </c>
      <c r="G106" s="118">
        <v>156</v>
      </c>
      <c r="H106" s="120">
        <v>221</v>
      </c>
    </row>
    <row r="107" spans="2:9">
      <c r="B107" s="8"/>
      <c r="C107" s="119"/>
      <c r="D107" s="121"/>
      <c r="E107" s="119"/>
      <c r="F107" s="121"/>
      <c r="G107" s="119"/>
      <c r="H107" s="121"/>
    </row>
    <row r="108" spans="2:9">
      <c r="B108" s="16" t="s">
        <v>58</v>
      </c>
      <c r="C108" s="118">
        <v>265</v>
      </c>
      <c r="D108" s="120">
        <v>369</v>
      </c>
      <c r="E108" s="118">
        <v>256</v>
      </c>
      <c r="F108" s="120">
        <v>385</v>
      </c>
      <c r="G108" s="118">
        <v>302</v>
      </c>
      <c r="H108" s="120">
        <v>444</v>
      </c>
    </row>
    <row r="109" spans="2:9">
      <c r="B109" s="8"/>
      <c r="C109" s="119"/>
      <c r="D109" s="121"/>
      <c r="E109" s="119"/>
      <c r="F109" s="121"/>
      <c r="G109" s="119"/>
      <c r="H109" s="121"/>
    </row>
    <row r="110" spans="2:9">
      <c r="B110" s="8"/>
      <c r="C110" s="118">
        <v>50</v>
      </c>
      <c r="D110" s="120">
        <v>119</v>
      </c>
      <c r="E110" s="118">
        <v>50</v>
      </c>
      <c r="F110" s="120">
        <v>120</v>
      </c>
      <c r="G110" s="118">
        <v>63</v>
      </c>
      <c r="H110" s="120">
        <v>131</v>
      </c>
    </row>
    <row r="111" spans="2:9">
      <c r="B111" s="8"/>
      <c r="C111" s="119"/>
      <c r="D111" s="121"/>
      <c r="E111" s="119"/>
      <c r="F111" s="121"/>
      <c r="G111" s="119"/>
      <c r="H111" s="121"/>
    </row>
    <row r="112" spans="2:9">
      <c r="B112" s="8"/>
      <c r="C112" s="118">
        <v>460</v>
      </c>
      <c r="D112" s="120">
        <v>623</v>
      </c>
      <c r="E112" s="118">
        <v>438</v>
      </c>
      <c r="F112" s="120">
        <v>649</v>
      </c>
      <c r="G112" s="118">
        <v>500</v>
      </c>
      <c r="H112" s="120">
        <v>723</v>
      </c>
    </row>
    <row r="113" spans="2:8">
      <c r="B113" s="8"/>
      <c r="C113" s="119"/>
      <c r="D113" s="121"/>
      <c r="E113" s="119"/>
      <c r="F113" s="121"/>
      <c r="G113" s="119"/>
      <c r="H113" s="121"/>
    </row>
    <row r="114" spans="2:8">
      <c r="B114" s="8"/>
      <c r="C114" s="93">
        <v>1521880</v>
      </c>
      <c r="D114" s="95">
        <v>1811411</v>
      </c>
      <c r="E114" s="93">
        <v>1469577</v>
      </c>
      <c r="F114" s="95">
        <v>1780290</v>
      </c>
      <c r="G114" s="93">
        <v>1708524</v>
      </c>
      <c r="H114" s="95">
        <v>1939878</v>
      </c>
    </row>
    <row r="115" spans="2:8">
      <c r="B115" s="8"/>
      <c r="C115" s="94"/>
      <c r="D115" s="96"/>
      <c r="E115" s="94"/>
      <c r="F115" s="96"/>
      <c r="G115" s="94"/>
      <c r="H115" s="96"/>
    </row>
    <row r="116" spans="2:8">
      <c r="B116" s="8"/>
      <c r="C116" s="93">
        <v>2789</v>
      </c>
      <c r="D116" s="95">
        <v>3801</v>
      </c>
      <c r="E116" s="93">
        <v>2680</v>
      </c>
      <c r="F116" s="95">
        <v>3952</v>
      </c>
      <c r="G116" s="93">
        <v>3097</v>
      </c>
      <c r="H116" s="95">
        <v>4451</v>
      </c>
    </row>
    <row r="117" spans="2:8">
      <c r="B117" s="8"/>
      <c r="C117" s="94"/>
      <c r="D117" s="96"/>
      <c r="E117" s="94"/>
      <c r="F117" s="96"/>
      <c r="G117" s="94"/>
      <c r="H117" s="96"/>
    </row>
    <row r="118" spans="2:8">
      <c r="B118" s="8"/>
      <c r="C118" s="118">
        <v>76.3</v>
      </c>
      <c r="D118" s="120">
        <v>105.6</v>
      </c>
      <c r="E118" s="118">
        <v>74</v>
      </c>
      <c r="F118" s="120">
        <v>110.3</v>
      </c>
      <c r="G118" s="118">
        <v>81.3</v>
      </c>
      <c r="H118" s="120">
        <v>119.4</v>
      </c>
    </row>
    <row r="119" spans="2:8">
      <c r="B119" s="8"/>
      <c r="C119" s="119"/>
      <c r="D119" s="121"/>
      <c r="E119" s="119"/>
      <c r="F119" s="121"/>
      <c r="G119" s="119"/>
      <c r="H119" s="121"/>
    </row>
    <row r="120" spans="2:8">
      <c r="B120" s="8"/>
      <c r="C120" s="143">
        <v>0</v>
      </c>
      <c r="D120" s="145">
        <v>5.2</v>
      </c>
      <c r="E120" s="143">
        <v>0</v>
      </c>
      <c r="F120" s="145">
        <v>5.5</v>
      </c>
      <c r="G120" s="143">
        <v>0</v>
      </c>
      <c r="H120" s="145">
        <v>5.6</v>
      </c>
    </row>
    <row r="121" spans="2:8">
      <c r="B121" s="8"/>
      <c r="C121" s="144"/>
      <c r="D121" s="146"/>
      <c r="E121" s="144"/>
      <c r="F121" s="146"/>
      <c r="G121" s="144"/>
      <c r="H121" s="146"/>
    </row>
    <row r="122" spans="2:8">
      <c r="B122" s="8"/>
      <c r="C122" s="143">
        <v>14.3</v>
      </c>
      <c r="D122" s="145">
        <v>17.100000000000001</v>
      </c>
      <c r="E122" s="143">
        <v>14</v>
      </c>
      <c r="F122" s="145">
        <v>18</v>
      </c>
      <c r="G122" s="143">
        <v>13.3</v>
      </c>
      <c r="H122" s="145">
        <v>17.899999999999999</v>
      </c>
    </row>
    <row r="123" spans="2:8">
      <c r="B123" s="8"/>
      <c r="C123" s="144"/>
      <c r="D123" s="146"/>
      <c r="E123" s="144"/>
      <c r="F123" s="146"/>
      <c r="G123" s="144"/>
      <c r="H123" s="146"/>
    </row>
    <row r="124" spans="2:8">
      <c r="B124" s="8"/>
      <c r="C124" s="143">
        <v>7.3</v>
      </c>
      <c r="D124" s="145">
        <v>9.3000000000000007</v>
      </c>
      <c r="E124" s="143">
        <v>7.2</v>
      </c>
      <c r="F124" s="145">
        <v>9.8000000000000007</v>
      </c>
      <c r="G124" s="143">
        <v>7.8</v>
      </c>
      <c r="H124" s="145">
        <v>9.9</v>
      </c>
    </row>
    <row r="125" spans="2:8">
      <c r="B125" s="8"/>
      <c r="C125" s="144"/>
      <c r="D125" s="146"/>
      <c r="E125" s="144"/>
      <c r="F125" s="146"/>
      <c r="G125" s="144"/>
      <c r="H125" s="146"/>
    </row>
    <row r="126" spans="2:8">
      <c r="B126" s="8"/>
      <c r="C126" s="143">
        <v>11.3</v>
      </c>
      <c r="D126" s="145">
        <v>14.8</v>
      </c>
      <c r="E126" s="143">
        <v>11.1</v>
      </c>
      <c r="F126" s="145">
        <v>15.5</v>
      </c>
      <c r="G126" s="143">
        <v>12.1</v>
      </c>
      <c r="H126" s="145">
        <v>16.7</v>
      </c>
    </row>
    <row r="127" spans="2:8">
      <c r="B127" s="8"/>
      <c r="C127" s="144"/>
      <c r="D127" s="146"/>
      <c r="E127" s="144"/>
      <c r="F127" s="146"/>
      <c r="G127" s="144"/>
      <c r="H127" s="146"/>
    </row>
    <row r="128" spans="2:8">
      <c r="B128" s="8"/>
      <c r="C128" s="143">
        <v>43.4</v>
      </c>
      <c r="D128" s="145">
        <v>59.1</v>
      </c>
      <c r="E128" s="143">
        <v>41.7</v>
      </c>
      <c r="F128" s="145">
        <v>61.5</v>
      </c>
      <c r="G128" s="143">
        <v>48.2</v>
      </c>
      <c r="H128" s="145">
        <v>69.2</v>
      </c>
    </row>
    <row r="129" spans="1:8">
      <c r="B129" s="8"/>
      <c r="C129" s="144"/>
      <c r="D129" s="146"/>
      <c r="E129" s="144"/>
      <c r="F129" s="146"/>
      <c r="G129" s="144"/>
      <c r="H129" s="146"/>
    </row>
    <row r="130" spans="1:8">
      <c r="B130" s="8"/>
      <c r="C130" s="118">
        <v>96.7</v>
      </c>
      <c r="D130" s="120">
        <v>133.9</v>
      </c>
      <c r="E130" s="118">
        <v>93.8</v>
      </c>
      <c r="F130" s="120">
        <v>139.9</v>
      </c>
      <c r="G130" s="118">
        <v>103.1</v>
      </c>
      <c r="H130" s="120">
        <v>151.4</v>
      </c>
    </row>
    <row r="131" spans="1:8" ht="16.5" thickBot="1">
      <c r="B131" s="9"/>
      <c r="C131" s="131"/>
      <c r="D131" s="132"/>
      <c r="E131" s="131"/>
      <c r="F131" s="132"/>
      <c r="G131" s="131"/>
      <c r="H131" s="132"/>
    </row>
    <row r="133" spans="1:8">
      <c r="A133" t="s">
        <v>76</v>
      </c>
      <c r="B133" t="s">
        <v>77</v>
      </c>
    </row>
    <row r="134" spans="1:8">
      <c r="B134" s="97"/>
      <c r="C134" s="100" t="s">
        <v>64</v>
      </c>
      <c r="D134" s="101"/>
      <c r="E134" s="101"/>
      <c r="F134" s="102"/>
    </row>
    <row r="135" spans="1:8" ht="16.5" thickBot="1">
      <c r="B135" s="98"/>
      <c r="C135" s="103"/>
      <c r="D135" s="104"/>
      <c r="E135" s="104"/>
      <c r="F135" s="105"/>
    </row>
    <row r="136" spans="1:8">
      <c r="B136" s="98"/>
      <c r="C136" s="106" t="s">
        <v>65</v>
      </c>
      <c r="D136" s="107"/>
      <c r="E136" s="106" t="s">
        <v>66</v>
      </c>
      <c r="F136" s="107"/>
    </row>
    <row r="137" spans="1:8" ht="16.5" thickBot="1">
      <c r="B137" s="99"/>
      <c r="C137" s="103"/>
      <c r="D137" s="105"/>
      <c r="E137" s="103"/>
      <c r="F137" s="105"/>
    </row>
    <row r="138" spans="1:8">
      <c r="B138" s="108" t="s">
        <v>34</v>
      </c>
      <c r="C138" s="116" t="s">
        <v>67</v>
      </c>
      <c r="D138" s="108" t="s">
        <v>68</v>
      </c>
      <c r="E138" s="116" t="s">
        <v>69</v>
      </c>
      <c r="F138" s="108" t="s">
        <v>70</v>
      </c>
    </row>
    <row r="139" spans="1:8" ht="16.5" thickBot="1">
      <c r="B139" s="109"/>
      <c r="C139" s="117"/>
      <c r="D139" s="109"/>
      <c r="E139" s="117"/>
      <c r="F139" s="109"/>
    </row>
    <row r="140" spans="1:8">
      <c r="B140" s="108" t="s">
        <v>40</v>
      </c>
      <c r="C140" s="110">
        <v>0</v>
      </c>
      <c r="D140" s="112">
        <v>0.9</v>
      </c>
      <c r="E140" s="110">
        <v>0</v>
      </c>
      <c r="F140" s="112">
        <v>0.9</v>
      </c>
    </row>
    <row r="141" spans="1:8" ht="16.5" thickBot="1">
      <c r="B141" s="109"/>
      <c r="C141" s="111"/>
      <c r="D141" s="113"/>
      <c r="E141" s="111"/>
      <c r="F141" s="113"/>
    </row>
    <row r="142" spans="1:8">
      <c r="B142" s="12" t="s">
        <v>41</v>
      </c>
      <c r="C142" s="114">
        <v>582600</v>
      </c>
      <c r="D142" s="115">
        <v>672700</v>
      </c>
      <c r="E142" s="114">
        <v>580400</v>
      </c>
      <c r="F142" s="115">
        <v>662800</v>
      </c>
    </row>
    <row r="143" spans="1:8">
      <c r="B143" s="13" t="s">
        <v>42</v>
      </c>
      <c r="C143" s="94"/>
      <c r="D143" s="96"/>
      <c r="E143" s="94"/>
      <c r="F143" s="96"/>
    </row>
    <row r="144" spans="1:8">
      <c r="B144" s="13" t="s">
        <v>43</v>
      </c>
      <c r="C144" s="93">
        <v>32580</v>
      </c>
      <c r="D144" s="95">
        <v>122740</v>
      </c>
      <c r="E144" s="93">
        <v>30410</v>
      </c>
      <c r="F144" s="95">
        <v>112830</v>
      </c>
    </row>
    <row r="145" spans="2:6">
      <c r="B145" s="13" t="s">
        <v>44</v>
      </c>
      <c r="C145" s="94"/>
      <c r="D145" s="96"/>
      <c r="E145" s="94"/>
      <c r="F145" s="96"/>
    </row>
    <row r="146" spans="2:6">
      <c r="B146" s="13" t="s">
        <v>45</v>
      </c>
      <c r="C146" s="93">
        <v>550020</v>
      </c>
      <c r="D146" s="95">
        <v>549960</v>
      </c>
      <c r="E146" s="93">
        <v>549990</v>
      </c>
      <c r="F146" s="95">
        <v>549970</v>
      </c>
    </row>
    <row r="147" spans="2:6">
      <c r="B147" s="13" t="s">
        <v>46</v>
      </c>
      <c r="C147" s="94"/>
      <c r="D147" s="96"/>
      <c r="E147" s="94"/>
      <c r="F147" s="96"/>
    </row>
    <row r="148" spans="2:6">
      <c r="B148" s="13" t="s">
        <v>47</v>
      </c>
      <c r="C148" s="93">
        <v>437378</v>
      </c>
      <c r="D148" s="95">
        <v>614994</v>
      </c>
      <c r="E148" s="93">
        <v>409528</v>
      </c>
      <c r="F148" s="95">
        <v>565820</v>
      </c>
    </row>
    <row r="149" spans="2:6">
      <c r="B149" s="10"/>
      <c r="C149" s="94"/>
      <c r="D149" s="96"/>
      <c r="E149" s="94"/>
      <c r="F149" s="96"/>
    </row>
    <row r="150" spans="2:6">
      <c r="B150" s="10"/>
      <c r="C150" s="118" t="s">
        <v>48</v>
      </c>
      <c r="D150" s="120" t="s">
        <v>48</v>
      </c>
      <c r="E150" s="118" t="s">
        <v>48</v>
      </c>
      <c r="F150" s="120" t="s">
        <v>48</v>
      </c>
    </row>
    <row r="151" spans="2:6">
      <c r="B151" s="10"/>
      <c r="C151" s="119"/>
      <c r="D151" s="121"/>
      <c r="E151" s="119"/>
      <c r="F151" s="121"/>
    </row>
    <row r="152" spans="2:6">
      <c r="B152" s="10"/>
      <c r="C152" s="93">
        <v>1495379</v>
      </c>
      <c r="D152" s="95">
        <v>2102643</v>
      </c>
      <c r="E152" s="93">
        <v>1400162</v>
      </c>
      <c r="F152" s="95">
        <v>1934519</v>
      </c>
    </row>
    <row r="153" spans="2:6">
      <c r="B153" s="10"/>
      <c r="C153" s="94"/>
      <c r="D153" s="96"/>
      <c r="E153" s="94"/>
      <c r="F153" s="96"/>
    </row>
    <row r="154" spans="2:6">
      <c r="B154" s="10"/>
      <c r="C154" s="124">
        <v>0.36799999999999999</v>
      </c>
      <c r="D154" s="126">
        <v>0.26200000000000001</v>
      </c>
      <c r="E154" s="124">
        <v>0.39300000000000002</v>
      </c>
      <c r="F154" s="126">
        <v>0.28399999999999997</v>
      </c>
    </row>
    <row r="155" spans="2:6">
      <c r="B155" s="10"/>
      <c r="C155" s="125"/>
      <c r="D155" s="127"/>
      <c r="E155" s="125"/>
      <c r="F155" s="127"/>
    </row>
    <row r="156" spans="2:6">
      <c r="B156" s="10"/>
      <c r="C156" s="93">
        <v>9277</v>
      </c>
      <c r="D156" s="95">
        <v>13046</v>
      </c>
      <c r="E156" s="93">
        <v>8687</v>
      </c>
      <c r="F156" s="95">
        <v>12002</v>
      </c>
    </row>
    <row r="157" spans="2:6" ht="16.5" thickBot="1">
      <c r="B157" s="11"/>
      <c r="C157" s="122"/>
      <c r="D157" s="123"/>
      <c r="E157" s="122"/>
      <c r="F157" s="123"/>
    </row>
    <row r="158" spans="2:6">
      <c r="B158" s="108" t="s">
        <v>71</v>
      </c>
      <c r="C158" s="129">
        <v>10.7</v>
      </c>
      <c r="D158" s="130">
        <v>20.399999999999999</v>
      </c>
      <c r="E158" s="129">
        <v>9.6999999999999993</v>
      </c>
      <c r="F158" s="130">
        <v>18.3</v>
      </c>
    </row>
    <row r="159" spans="2:6">
      <c r="B159" s="128"/>
      <c r="C159" s="119"/>
      <c r="D159" s="121"/>
      <c r="E159" s="119"/>
      <c r="F159" s="121"/>
    </row>
    <row r="160" spans="2:6">
      <c r="B160" s="128"/>
      <c r="C160" s="118">
        <v>2.2000000000000002</v>
      </c>
      <c r="D160" s="120">
        <v>4.7</v>
      </c>
      <c r="E160" s="118">
        <v>2</v>
      </c>
      <c r="F160" s="120">
        <v>4.3</v>
      </c>
    </row>
    <row r="161" spans="2:6">
      <c r="B161" s="128"/>
      <c r="C161" s="119"/>
      <c r="D161" s="121"/>
      <c r="E161" s="119"/>
      <c r="F161" s="121"/>
    </row>
    <row r="162" spans="2:6">
      <c r="B162" s="128"/>
      <c r="C162" s="118">
        <v>8.5</v>
      </c>
      <c r="D162" s="120">
        <v>15.7</v>
      </c>
      <c r="E162" s="118">
        <v>7.7</v>
      </c>
      <c r="F162" s="120">
        <v>14.1</v>
      </c>
    </row>
    <row r="163" spans="2:6" ht="16.5" thickBot="1">
      <c r="B163" s="109"/>
      <c r="C163" s="131"/>
      <c r="D163" s="132"/>
      <c r="E163" s="131"/>
      <c r="F163" s="132"/>
    </row>
    <row r="164" spans="2:6" ht="48">
      <c r="B164" s="12" t="s">
        <v>72</v>
      </c>
      <c r="C164" s="129">
        <v>204</v>
      </c>
      <c r="D164" s="130">
        <v>20</v>
      </c>
      <c r="E164" s="129">
        <v>204</v>
      </c>
      <c r="F164" s="130">
        <v>20</v>
      </c>
    </row>
    <row r="165" spans="2:6">
      <c r="B165" s="10"/>
      <c r="C165" s="119"/>
      <c r="D165" s="121"/>
      <c r="E165" s="119"/>
      <c r="F165" s="121"/>
    </row>
    <row r="166" spans="2:6">
      <c r="B166" s="13" t="s">
        <v>51</v>
      </c>
      <c r="C166" s="93">
        <v>1783</v>
      </c>
      <c r="D166" s="120">
        <v>217</v>
      </c>
      <c r="E166" s="93">
        <v>1675</v>
      </c>
      <c r="F166" s="120">
        <v>203</v>
      </c>
    </row>
    <row r="167" spans="2:6">
      <c r="B167" s="13" t="s">
        <v>73</v>
      </c>
      <c r="C167" s="94"/>
      <c r="D167" s="121"/>
      <c r="E167" s="94"/>
      <c r="F167" s="121"/>
    </row>
    <row r="168" spans="2:6">
      <c r="B168" s="10"/>
      <c r="C168" s="93">
        <v>1888</v>
      </c>
      <c r="D168" s="120">
        <v>266</v>
      </c>
      <c r="E168" s="93">
        <v>1768</v>
      </c>
      <c r="F168" s="120">
        <v>244</v>
      </c>
    </row>
    <row r="169" spans="2:6">
      <c r="B169" s="10"/>
      <c r="C169" s="94"/>
      <c r="D169" s="121"/>
      <c r="E169" s="94"/>
      <c r="F169" s="121"/>
    </row>
    <row r="170" spans="2:6">
      <c r="B170" s="10"/>
      <c r="C170" s="118">
        <v>8.5800000000000001E-2</v>
      </c>
      <c r="D170" s="120">
        <v>1.6999999999999999E-3</v>
      </c>
      <c r="E170" s="118">
        <v>8.5800000000000001E-2</v>
      </c>
      <c r="F170" s="120">
        <v>1.6000000000000001E-3</v>
      </c>
    </row>
    <row r="171" spans="2:6">
      <c r="B171" s="10"/>
      <c r="C171" s="119"/>
      <c r="D171" s="121"/>
      <c r="E171" s="119"/>
      <c r="F171" s="121"/>
    </row>
    <row r="172" spans="2:6">
      <c r="B172" s="10"/>
      <c r="C172" s="118">
        <v>0.75149999999999995</v>
      </c>
      <c r="D172" s="120">
        <v>1.7600000000000001E-2</v>
      </c>
      <c r="E172" s="118">
        <v>0.70630000000000004</v>
      </c>
      <c r="F172" s="120">
        <v>1.6199999999999999E-2</v>
      </c>
    </row>
    <row r="173" spans="2:6">
      <c r="B173" s="10"/>
      <c r="C173" s="119"/>
      <c r="D173" s="121"/>
      <c r="E173" s="119"/>
      <c r="F173" s="121"/>
    </row>
    <row r="174" spans="2:6">
      <c r="B174" s="10"/>
      <c r="C174" s="118">
        <v>7.0000000000000007E-2</v>
      </c>
      <c r="D174" s="120">
        <v>7.0000000000000007E-2</v>
      </c>
      <c r="E174" s="118">
        <v>7.0000000000000007E-2</v>
      </c>
      <c r="F174" s="120">
        <v>7.0000000000000007E-2</v>
      </c>
    </row>
    <row r="175" spans="2:6">
      <c r="B175" s="10"/>
      <c r="C175" s="119"/>
      <c r="D175" s="121"/>
      <c r="E175" s="119"/>
      <c r="F175" s="121"/>
    </row>
    <row r="176" spans="2:6">
      <c r="B176" s="10"/>
      <c r="C176" s="118">
        <v>0.61299999999999999</v>
      </c>
      <c r="D176" s="120">
        <v>0.747</v>
      </c>
      <c r="E176" s="118">
        <v>0.57599999999999996</v>
      </c>
      <c r="F176" s="120">
        <v>0.69699999999999995</v>
      </c>
    </row>
    <row r="177" spans="2:6">
      <c r="B177" s="10"/>
      <c r="C177" s="119"/>
      <c r="D177" s="121"/>
      <c r="E177" s="119"/>
      <c r="F177" s="121"/>
    </row>
    <row r="178" spans="2:6">
      <c r="B178" s="10"/>
      <c r="C178" s="118">
        <v>1.2999999999999999E-2</v>
      </c>
      <c r="D178" s="120">
        <v>1.2999999999999999E-2</v>
      </c>
      <c r="E178" s="118">
        <v>1.2999999999999999E-2</v>
      </c>
      <c r="F178" s="120">
        <v>1.2999999999999999E-2</v>
      </c>
    </row>
    <row r="179" spans="2:6">
      <c r="B179" s="10"/>
      <c r="C179" s="119"/>
      <c r="D179" s="121"/>
      <c r="E179" s="119"/>
      <c r="F179" s="121"/>
    </row>
    <row r="180" spans="2:6">
      <c r="B180" s="10"/>
      <c r="C180" s="118">
        <v>0.114</v>
      </c>
      <c r="D180" s="120">
        <v>0.13900000000000001</v>
      </c>
      <c r="E180" s="118">
        <v>0.107</v>
      </c>
      <c r="F180" s="120">
        <v>0.129</v>
      </c>
    </row>
    <row r="181" spans="2:6">
      <c r="B181" s="10"/>
      <c r="C181" s="119"/>
      <c r="D181" s="121"/>
      <c r="E181" s="119"/>
      <c r="F181" s="121"/>
    </row>
    <row r="182" spans="2:6">
      <c r="B182" s="10"/>
      <c r="C182" s="118">
        <v>1.143</v>
      </c>
      <c r="D182" s="120">
        <v>1.143</v>
      </c>
      <c r="E182" s="118">
        <v>1.143</v>
      </c>
      <c r="F182" s="120">
        <v>1.143</v>
      </c>
    </row>
    <row r="183" spans="2:6">
      <c r="B183" s="10"/>
      <c r="C183" s="119"/>
      <c r="D183" s="121"/>
      <c r="E183" s="119"/>
      <c r="F183" s="121"/>
    </row>
    <row r="184" spans="2:6">
      <c r="B184" s="10"/>
      <c r="C184" s="133">
        <v>1.0000000000000001E-5</v>
      </c>
      <c r="D184" s="135">
        <v>1.22E-5</v>
      </c>
      <c r="E184" s="133">
        <v>9.4099999999999997E-6</v>
      </c>
      <c r="F184" s="135">
        <v>1.1399999999999999E-5</v>
      </c>
    </row>
    <row r="185" spans="2:6" ht="16.5" thickBot="1">
      <c r="B185" s="11"/>
      <c r="C185" s="134"/>
      <c r="D185" s="136"/>
      <c r="E185" s="134"/>
      <c r="F185" s="136"/>
    </row>
    <row r="186" spans="2:6">
      <c r="B186" s="137" t="s">
        <v>53</v>
      </c>
      <c r="C186" s="138"/>
      <c r="D186" s="138"/>
      <c r="E186" s="138"/>
      <c r="F186" s="139"/>
    </row>
    <row r="187" spans="2:6" ht="16.5" thickBot="1">
      <c r="B187" s="140"/>
      <c r="C187" s="141"/>
      <c r="D187" s="141"/>
      <c r="E187" s="141"/>
      <c r="F187" s="142"/>
    </row>
    <row r="188" spans="2:6">
      <c r="B188" s="14" t="s">
        <v>54</v>
      </c>
      <c r="C188" s="114">
        <v>1622</v>
      </c>
      <c r="D188" s="115">
        <v>2942</v>
      </c>
      <c r="E188" s="114">
        <v>1647</v>
      </c>
      <c r="F188" s="115">
        <v>2913</v>
      </c>
    </row>
    <row r="189" spans="2:6">
      <c r="B189" s="8"/>
      <c r="C189" s="94"/>
      <c r="D189" s="96"/>
      <c r="E189" s="94"/>
      <c r="F189" s="96"/>
    </row>
    <row r="190" spans="2:6" ht="21">
      <c r="B190" s="15" t="s">
        <v>55</v>
      </c>
      <c r="C190" s="93">
        <v>1996</v>
      </c>
      <c r="D190" s="95">
        <v>3610</v>
      </c>
      <c r="E190" s="93">
        <v>2024</v>
      </c>
      <c r="F190" s="95">
        <v>3570</v>
      </c>
    </row>
    <row r="191" spans="2:6">
      <c r="B191" s="8"/>
      <c r="C191" s="94"/>
      <c r="D191" s="96"/>
      <c r="E191" s="94"/>
      <c r="F191" s="96"/>
    </row>
    <row r="192" spans="2:6" ht="24">
      <c r="B192" s="16" t="s">
        <v>74</v>
      </c>
      <c r="C192" s="93">
        <v>1317</v>
      </c>
      <c r="D192" s="95">
        <v>2255</v>
      </c>
      <c r="E192" s="93">
        <v>1345</v>
      </c>
      <c r="F192" s="95">
        <v>2239</v>
      </c>
    </row>
    <row r="193" spans="2:6">
      <c r="B193" s="8"/>
      <c r="C193" s="94"/>
      <c r="D193" s="96"/>
      <c r="E193" s="94"/>
      <c r="F193" s="96"/>
    </row>
    <row r="194" spans="2:6">
      <c r="B194" s="15" t="s">
        <v>57</v>
      </c>
      <c r="C194" s="118">
        <v>124</v>
      </c>
      <c r="D194" s="120">
        <v>213</v>
      </c>
      <c r="E194" s="118">
        <v>127</v>
      </c>
      <c r="F194" s="120">
        <v>211</v>
      </c>
    </row>
    <row r="195" spans="2:6">
      <c r="B195" s="8"/>
      <c r="C195" s="119"/>
      <c r="D195" s="121"/>
      <c r="E195" s="119"/>
      <c r="F195" s="121"/>
    </row>
    <row r="196" spans="2:6">
      <c r="B196" s="16" t="s">
        <v>75</v>
      </c>
      <c r="C196" s="118">
        <v>182</v>
      </c>
      <c r="D196" s="120">
        <v>369</v>
      </c>
      <c r="E196" s="118">
        <v>176</v>
      </c>
      <c r="F196" s="120">
        <v>362</v>
      </c>
    </row>
    <row r="197" spans="2:6">
      <c r="B197" s="8"/>
      <c r="C197" s="119"/>
      <c r="D197" s="121"/>
      <c r="E197" s="119"/>
      <c r="F197" s="121"/>
    </row>
    <row r="198" spans="2:6">
      <c r="B198" s="8"/>
      <c r="C198" s="118">
        <v>0</v>
      </c>
      <c r="D198" s="120">
        <v>105</v>
      </c>
      <c r="E198" s="118">
        <v>0</v>
      </c>
      <c r="F198" s="120">
        <v>100</v>
      </c>
    </row>
    <row r="199" spans="2:6">
      <c r="B199" s="8"/>
      <c r="C199" s="119"/>
      <c r="D199" s="121"/>
      <c r="E199" s="119"/>
      <c r="F199" s="121"/>
    </row>
    <row r="200" spans="2:6">
      <c r="B200" s="8"/>
      <c r="C200" s="118">
        <v>374</v>
      </c>
      <c r="D200" s="120">
        <v>667</v>
      </c>
      <c r="E200" s="118">
        <v>377</v>
      </c>
      <c r="F200" s="120">
        <v>657</v>
      </c>
    </row>
    <row r="201" spans="2:6">
      <c r="B201" s="8"/>
      <c r="C201" s="119"/>
      <c r="D201" s="121"/>
      <c r="E201" s="119"/>
      <c r="F201" s="121"/>
    </row>
    <row r="202" spans="2:6">
      <c r="B202" s="8"/>
      <c r="C202" s="93">
        <v>1098124</v>
      </c>
      <c r="D202" s="95">
        <v>1985432</v>
      </c>
      <c r="E202" s="93">
        <v>1113445</v>
      </c>
      <c r="F202" s="95">
        <v>1963644</v>
      </c>
    </row>
    <row r="203" spans="2:6">
      <c r="B203" s="8"/>
      <c r="C203" s="94"/>
      <c r="D203" s="96"/>
      <c r="E203" s="94"/>
      <c r="F203" s="96"/>
    </row>
    <row r="204" spans="2:6">
      <c r="B204" s="8"/>
      <c r="C204" s="93">
        <v>2264</v>
      </c>
      <c r="D204" s="95">
        <v>4115</v>
      </c>
      <c r="E204" s="93">
        <v>2296</v>
      </c>
      <c r="F204" s="95">
        <v>4070</v>
      </c>
    </row>
    <row r="205" spans="2:6">
      <c r="B205" s="8"/>
      <c r="C205" s="94"/>
      <c r="D205" s="96"/>
      <c r="E205" s="94"/>
      <c r="F205" s="96"/>
    </row>
    <row r="206" spans="2:6">
      <c r="B206" s="8"/>
      <c r="C206" s="118">
        <v>59.4</v>
      </c>
      <c r="D206" s="120">
        <v>109.6</v>
      </c>
      <c r="E206" s="118">
        <v>58.9</v>
      </c>
      <c r="F206" s="120">
        <v>106.5</v>
      </c>
    </row>
    <row r="207" spans="2:6">
      <c r="B207" s="8"/>
      <c r="C207" s="119"/>
      <c r="D207" s="121"/>
      <c r="E207" s="119"/>
      <c r="F207" s="121"/>
    </row>
    <row r="208" spans="2:6">
      <c r="B208" s="8"/>
      <c r="C208" s="143">
        <v>0</v>
      </c>
      <c r="D208" s="145">
        <v>5.8</v>
      </c>
      <c r="E208" s="143">
        <v>0</v>
      </c>
      <c r="F208" s="145">
        <v>5.6</v>
      </c>
    </row>
    <row r="209" spans="1:6">
      <c r="B209" s="8"/>
      <c r="C209" s="144"/>
      <c r="D209" s="146"/>
      <c r="E209" s="144"/>
      <c r="F209" s="146"/>
    </row>
    <row r="210" spans="1:6">
      <c r="B210" s="8"/>
      <c r="C210" s="143">
        <v>15.2</v>
      </c>
      <c r="D210" s="145">
        <v>21.3</v>
      </c>
      <c r="E210" s="143">
        <v>14.2</v>
      </c>
      <c r="F210" s="145">
        <v>19.600000000000001</v>
      </c>
    </row>
    <row r="211" spans="1:6">
      <c r="B211" s="8"/>
      <c r="C211" s="144"/>
      <c r="D211" s="146"/>
      <c r="E211" s="144"/>
      <c r="F211" s="146"/>
    </row>
    <row r="212" spans="1:6">
      <c r="B212" s="8"/>
      <c r="C212" s="143">
        <v>5.0999999999999996</v>
      </c>
      <c r="D212" s="145">
        <v>9.1999999999999993</v>
      </c>
      <c r="E212" s="143">
        <v>5</v>
      </c>
      <c r="F212" s="145">
        <v>8.6999999999999993</v>
      </c>
    </row>
    <row r="213" spans="1:6">
      <c r="B213" s="8"/>
      <c r="C213" s="144"/>
      <c r="D213" s="146"/>
      <c r="E213" s="144"/>
      <c r="F213" s="146"/>
    </row>
    <row r="214" spans="1:6">
      <c r="B214" s="8"/>
      <c r="C214" s="143">
        <v>7.8</v>
      </c>
      <c r="D214" s="145">
        <v>13.1</v>
      </c>
      <c r="E214" s="143">
        <v>8</v>
      </c>
      <c r="F214" s="145">
        <v>13</v>
      </c>
    </row>
    <row r="215" spans="1:6">
      <c r="B215" s="8"/>
      <c r="C215" s="144"/>
      <c r="D215" s="146"/>
      <c r="E215" s="144"/>
      <c r="F215" s="146"/>
    </row>
    <row r="216" spans="1:6">
      <c r="B216" s="8"/>
      <c r="C216" s="143">
        <v>31.2</v>
      </c>
      <c r="D216" s="145">
        <v>60.2</v>
      </c>
      <c r="E216" s="143">
        <v>31.7</v>
      </c>
      <c r="F216" s="145">
        <v>59.6</v>
      </c>
    </row>
    <row r="217" spans="1:6">
      <c r="B217" s="8"/>
      <c r="C217" s="144"/>
      <c r="D217" s="146"/>
      <c r="E217" s="144"/>
      <c r="F217" s="146"/>
    </row>
    <row r="218" spans="1:6">
      <c r="B218" s="8"/>
      <c r="C218" s="118">
        <v>75.3</v>
      </c>
      <c r="D218" s="120">
        <v>139</v>
      </c>
      <c r="E218" s="118">
        <v>74.7</v>
      </c>
      <c r="F218" s="120">
        <v>135.19999999999999</v>
      </c>
    </row>
    <row r="219" spans="1:6" ht="16.5" thickBot="1">
      <c r="B219" s="9"/>
      <c r="C219" s="131"/>
      <c r="D219" s="132"/>
      <c r="E219" s="131"/>
      <c r="F219" s="132"/>
    </row>
    <row r="222" spans="1:6">
      <c r="A222" t="s">
        <v>83</v>
      </c>
      <c r="B222" t="s">
        <v>84</v>
      </c>
    </row>
    <row r="223" spans="1:6">
      <c r="B223" s="97"/>
      <c r="C223" s="100" t="s">
        <v>78</v>
      </c>
      <c r="D223" s="102"/>
    </row>
    <row r="224" spans="1:6" ht="16.5" thickBot="1">
      <c r="B224" s="98"/>
      <c r="C224" s="103"/>
      <c r="D224" s="105"/>
    </row>
    <row r="225" spans="2:4">
      <c r="B225" s="98"/>
      <c r="C225" s="106" t="s">
        <v>79</v>
      </c>
      <c r="D225" s="107"/>
    </row>
    <row r="226" spans="2:4" ht="16.5" thickBot="1">
      <c r="B226" s="99"/>
      <c r="C226" s="103"/>
      <c r="D226" s="105"/>
    </row>
    <row r="227" spans="2:4">
      <c r="B227" s="108" t="s">
        <v>34</v>
      </c>
      <c r="C227" s="116" t="s">
        <v>80</v>
      </c>
      <c r="D227" s="108" t="s">
        <v>81</v>
      </c>
    </row>
    <row r="228" spans="2:4" ht="16.5" thickBot="1">
      <c r="B228" s="109"/>
      <c r="C228" s="117"/>
      <c r="D228" s="109"/>
    </row>
    <row r="229" spans="2:4">
      <c r="B229" s="108" t="s">
        <v>40</v>
      </c>
      <c r="C229" s="110">
        <v>0</v>
      </c>
      <c r="D229" s="112">
        <v>0.9</v>
      </c>
    </row>
    <row r="230" spans="2:4" ht="16.5" thickBot="1">
      <c r="B230" s="109"/>
      <c r="C230" s="111"/>
      <c r="D230" s="113"/>
    </row>
    <row r="231" spans="2:4">
      <c r="B231" s="12" t="s">
        <v>41</v>
      </c>
      <c r="C231" s="114">
        <v>564700</v>
      </c>
      <c r="D231" s="115">
        <v>511000</v>
      </c>
    </row>
    <row r="232" spans="2:4">
      <c r="B232" s="13" t="s">
        <v>42</v>
      </c>
      <c r="C232" s="94"/>
      <c r="D232" s="96"/>
    </row>
    <row r="233" spans="2:4">
      <c r="B233" s="13" t="s">
        <v>43</v>
      </c>
      <c r="C233" s="93">
        <v>9620</v>
      </c>
      <c r="D233" s="95">
        <v>37430</v>
      </c>
    </row>
    <row r="234" spans="2:4">
      <c r="B234" s="13" t="s">
        <v>44</v>
      </c>
      <c r="C234" s="94"/>
      <c r="D234" s="96"/>
    </row>
    <row r="235" spans="2:4">
      <c r="B235" s="13" t="s">
        <v>45</v>
      </c>
      <c r="C235" s="93">
        <v>555080</v>
      </c>
      <c r="D235" s="95">
        <v>473570</v>
      </c>
    </row>
    <row r="236" spans="2:4">
      <c r="B236" s="13" t="s">
        <v>46</v>
      </c>
      <c r="C236" s="94"/>
      <c r="D236" s="96"/>
    </row>
    <row r="237" spans="2:4">
      <c r="B237" s="13" t="s">
        <v>47</v>
      </c>
      <c r="C237" s="118" t="s">
        <v>48</v>
      </c>
      <c r="D237" s="120" t="s">
        <v>48</v>
      </c>
    </row>
    <row r="238" spans="2:4">
      <c r="B238" s="10"/>
      <c r="C238" s="119"/>
      <c r="D238" s="121"/>
    </row>
    <row r="239" spans="2:4">
      <c r="B239" s="10"/>
      <c r="C239" s="93">
        <v>167333</v>
      </c>
      <c r="D239" s="95">
        <v>167333</v>
      </c>
    </row>
    <row r="240" spans="2:4">
      <c r="B240" s="10"/>
      <c r="C240" s="94"/>
      <c r="D240" s="96"/>
    </row>
    <row r="241" spans="2:4">
      <c r="B241" s="10"/>
      <c r="C241" s="93">
        <v>1105812</v>
      </c>
      <c r="D241" s="95">
        <v>1105812</v>
      </c>
    </row>
    <row r="242" spans="2:4">
      <c r="B242" s="10"/>
      <c r="C242" s="94"/>
      <c r="D242" s="96"/>
    </row>
    <row r="243" spans="2:4">
      <c r="B243" s="10"/>
      <c r="C243" s="124">
        <v>0.502</v>
      </c>
      <c r="D243" s="126">
        <v>0.42799999999999999</v>
      </c>
    </row>
    <row r="244" spans="2:4">
      <c r="B244" s="10"/>
      <c r="C244" s="125"/>
      <c r="D244" s="127"/>
    </row>
    <row r="245" spans="2:4">
      <c r="B245" s="10"/>
      <c r="C245" s="93">
        <v>6798</v>
      </c>
      <c r="D245" s="95">
        <v>7968</v>
      </c>
    </row>
    <row r="246" spans="2:4" ht="16.5" thickBot="1">
      <c r="B246" s="11"/>
      <c r="C246" s="122"/>
      <c r="D246" s="123"/>
    </row>
    <row r="247" spans="2:4">
      <c r="B247" s="108" t="s">
        <v>49</v>
      </c>
      <c r="C247" s="129">
        <v>4.3</v>
      </c>
      <c r="D247" s="130">
        <v>8.4</v>
      </c>
    </row>
    <row r="248" spans="2:4">
      <c r="B248" s="128"/>
      <c r="C248" s="119"/>
      <c r="D248" s="121"/>
    </row>
    <row r="249" spans="2:4">
      <c r="B249" s="128"/>
      <c r="C249" s="118">
        <v>1</v>
      </c>
      <c r="D249" s="120">
        <v>2.1</v>
      </c>
    </row>
    <row r="250" spans="2:4">
      <c r="B250" s="128"/>
      <c r="C250" s="119"/>
      <c r="D250" s="121"/>
    </row>
    <row r="251" spans="2:4">
      <c r="B251" s="128"/>
      <c r="C251" s="118">
        <v>3.3</v>
      </c>
      <c r="D251" s="120">
        <v>6.3</v>
      </c>
    </row>
    <row r="252" spans="2:4" ht="16.5" thickBot="1">
      <c r="B252" s="109"/>
      <c r="C252" s="131"/>
      <c r="D252" s="132"/>
    </row>
    <row r="253" spans="2:4" ht="48">
      <c r="B253" s="12" t="s">
        <v>50</v>
      </c>
      <c r="C253" s="129">
        <v>118</v>
      </c>
      <c r="D253" s="130">
        <v>12</v>
      </c>
    </row>
    <row r="254" spans="2:4">
      <c r="B254" s="10"/>
      <c r="C254" s="119"/>
      <c r="D254" s="121"/>
    </row>
    <row r="255" spans="2:4">
      <c r="B255" s="13" t="s">
        <v>51</v>
      </c>
      <c r="C255" s="118">
        <v>790</v>
      </c>
      <c r="D255" s="120">
        <v>87</v>
      </c>
    </row>
    <row r="256" spans="2:4">
      <c r="B256" s="13" t="s">
        <v>52</v>
      </c>
      <c r="C256" s="119"/>
      <c r="D256" s="121"/>
    </row>
    <row r="257" spans="2:4">
      <c r="B257" s="10"/>
      <c r="C257" s="118">
        <v>804</v>
      </c>
      <c r="D257" s="120">
        <v>94</v>
      </c>
    </row>
    <row r="258" spans="2:4">
      <c r="B258" s="10"/>
      <c r="C258" s="119"/>
      <c r="D258" s="121"/>
    </row>
    <row r="259" spans="2:4">
      <c r="B259" s="10"/>
      <c r="C259" s="118" t="s">
        <v>82</v>
      </c>
      <c r="D259" s="120" t="s">
        <v>82</v>
      </c>
    </row>
    <row r="260" spans="2:4">
      <c r="B260" s="10"/>
      <c r="C260" s="119"/>
      <c r="D260" s="121"/>
    </row>
    <row r="261" spans="2:4">
      <c r="B261" s="10"/>
      <c r="C261" s="118" t="s">
        <v>82</v>
      </c>
      <c r="D261" s="120" t="s">
        <v>82</v>
      </c>
    </row>
    <row r="262" spans="2:4">
      <c r="B262" s="10"/>
      <c r="C262" s="119"/>
      <c r="D262" s="121"/>
    </row>
    <row r="263" spans="2:4">
      <c r="B263" s="10"/>
      <c r="C263" s="118">
        <v>8.9999999999999993E-3</v>
      </c>
      <c r="D263" s="120">
        <v>8.0000000000000002E-3</v>
      </c>
    </row>
    <row r="264" spans="2:4">
      <c r="B264" s="10"/>
      <c r="C264" s="119"/>
      <c r="D264" s="149"/>
    </row>
    <row r="265" spans="2:4">
      <c r="B265" s="10"/>
      <c r="C265" s="118">
        <v>0.06</v>
      </c>
      <c r="D265" s="148">
        <v>6.0999999999999999E-2</v>
      </c>
    </row>
    <row r="266" spans="2:4">
      <c r="B266" s="10"/>
      <c r="C266" s="147"/>
      <c r="D266" s="149"/>
    </row>
    <row r="267" spans="2:4">
      <c r="B267" s="10"/>
      <c r="C267" s="150" t="s">
        <v>82</v>
      </c>
      <c r="D267" s="148" t="s">
        <v>82</v>
      </c>
    </row>
    <row r="268" spans="2:4">
      <c r="B268" s="10"/>
      <c r="C268" s="147"/>
      <c r="D268" s="149"/>
    </row>
    <row r="269" spans="2:4">
      <c r="B269" s="10"/>
      <c r="C269" s="150" t="s">
        <v>82</v>
      </c>
      <c r="D269" s="148" t="s">
        <v>82</v>
      </c>
    </row>
    <row r="270" spans="2:4">
      <c r="B270" s="10"/>
      <c r="C270" s="147"/>
      <c r="D270" s="149"/>
    </row>
    <row r="271" spans="2:4">
      <c r="B271" s="10"/>
      <c r="C271" s="150" t="s">
        <v>82</v>
      </c>
      <c r="D271" s="148" t="s">
        <v>82</v>
      </c>
    </row>
    <row r="272" spans="2:4">
      <c r="B272" s="10"/>
      <c r="C272" s="147"/>
      <c r="D272" s="149"/>
    </row>
    <row r="273" spans="2:4">
      <c r="B273" s="10"/>
      <c r="C273" s="150" t="s">
        <v>82</v>
      </c>
      <c r="D273" s="148" t="s">
        <v>82</v>
      </c>
    </row>
    <row r="274" spans="2:4" ht="16.5" thickBot="1">
      <c r="B274" s="11"/>
      <c r="C274" s="131"/>
      <c r="D274" s="132"/>
    </row>
    <row r="275" spans="2:4">
      <c r="B275" s="137" t="s">
        <v>53</v>
      </c>
      <c r="C275" s="138"/>
      <c r="D275" s="139"/>
    </row>
    <row r="276" spans="2:4" ht="16.5" thickBot="1">
      <c r="B276" s="140"/>
      <c r="C276" s="141"/>
      <c r="D276" s="142"/>
    </row>
    <row r="277" spans="2:4">
      <c r="B277" s="14" t="s">
        <v>54</v>
      </c>
      <c r="C277" s="129">
        <v>584</v>
      </c>
      <c r="D277" s="115">
        <v>1226</v>
      </c>
    </row>
    <row r="278" spans="2:4">
      <c r="B278" s="8"/>
      <c r="C278" s="147"/>
      <c r="D278" s="151"/>
    </row>
    <row r="279" spans="2:4" ht="21">
      <c r="B279" s="15" t="s">
        <v>55</v>
      </c>
      <c r="C279" s="150">
        <v>718</v>
      </c>
      <c r="D279" s="167">
        <v>1497</v>
      </c>
    </row>
    <row r="280" spans="2:4">
      <c r="B280" s="8"/>
      <c r="C280" s="147"/>
      <c r="D280" s="151"/>
    </row>
    <row r="281" spans="2:4" ht="24">
      <c r="B281" s="16" t="s">
        <v>56</v>
      </c>
      <c r="C281" s="150">
        <v>482</v>
      </c>
      <c r="D281" s="148">
        <v>926</v>
      </c>
    </row>
    <row r="282" spans="2:4">
      <c r="B282" s="8"/>
      <c r="C282" s="147"/>
      <c r="D282" s="149"/>
    </row>
    <row r="283" spans="2:4">
      <c r="B283" s="15" t="s">
        <v>57</v>
      </c>
      <c r="C283" s="150">
        <v>40</v>
      </c>
      <c r="D283" s="148">
        <v>78</v>
      </c>
    </row>
    <row r="284" spans="2:4">
      <c r="B284" s="8"/>
      <c r="C284" s="147"/>
      <c r="D284" s="149"/>
    </row>
    <row r="285" spans="2:4">
      <c r="B285" s="16" t="s">
        <v>58</v>
      </c>
      <c r="C285" s="150">
        <v>62</v>
      </c>
      <c r="D285" s="148">
        <v>162</v>
      </c>
    </row>
    <row r="286" spans="2:4">
      <c r="B286" s="8"/>
      <c r="C286" s="147"/>
      <c r="D286" s="149"/>
    </row>
    <row r="287" spans="2:4">
      <c r="B287" s="8"/>
      <c r="C287" s="150">
        <v>0</v>
      </c>
      <c r="D287" s="148">
        <v>60</v>
      </c>
    </row>
    <row r="288" spans="2:4">
      <c r="B288" s="8"/>
      <c r="C288" s="147"/>
      <c r="D288" s="149"/>
    </row>
    <row r="289" spans="2:4">
      <c r="B289" s="8"/>
      <c r="C289" s="150">
        <v>133</v>
      </c>
      <c r="D289" s="148">
        <v>271</v>
      </c>
    </row>
    <row r="290" spans="2:4">
      <c r="B290" s="8"/>
      <c r="C290" s="147"/>
      <c r="D290" s="149"/>
    </row>
    <row r="291" spans="2:4">
      <c r="B291" s="8"/>
      <c r="C291" s="165">
        <v>398290</v>
      </c>
      <c r="D291" s="167">
        <v>709039</v>
      </c>
    </row>
    <row r="292" spans="2:4">
      <c r="B292" s="8"/>
      <c r="C292" s="166"/>
      <c r="D292" s="151"/>
    </row>
    <row r="293" spans="2:4">
      <c r="B293" s="8"/>
      <c r="C293" s="150">
        <v>771</v>
      </c>
      <c r="D293" s="167">
        <v>1614</v>
      </c>
    </row>
    <row r="294" spans="2:4">
      <c r="B294" s="8"/>
      <c r="C294" s="147"/>
      <c r="D294" s="151"/>
    </row>
    <row r="295" spans="2:4">
      <c r="B295" s="8"/>
      <c r="C295" s="150">
        <v>58.9</v>
      </c>
      <c r="D295" s="148">
        <v>85.9</v>
      </c>
    </row>
    <row r="296" spans="2:4">
      <c r="B296" s="8"/>
      <c r="C296" s="147"/>
      <c r="D296" s="149"/>
    </row>
    <row r="297" spans="2:4">
      <c r="B297" s="8"/>
      <c r="C297" s="152">
        <v>0</v>
      </c>
      <c r="D297" s="154">
        <v>3.2</v>
      </c>
    </row>
    <row r="298" spans="2:4">
      <c r="B298" s="8"/>
      <c r="C298" s="153"/>
      <c r="D298" s="155"/>
    </row>
    <row r="299" spans="2:4">
      <c r="B299" s="8"/>
      <c r="C299" s="152">
        <v>44.5</v>
      </c>
      <c r="D299" s="154">
        <v>52.2</v>
      </c>
    </row>
    <row r="300" spans="2:4">
      <c r="B300" s="8"/>
      <c r="C300" s="153"/>
      <c r="D300" s="155"/>
    </row>
    <row r="301" spans="2:4">
      <c r="B301" s="8"/>
      <c r="C301" s="152">
        <v>1.3</v>
      </c>
      <c r="D301" s="154">
        <v>2.6</v>
      </c>
    </row>
    <row r="302" spans="2:4">
      <c r="B302" s="8"/>
      <c r="C302" s="153"/>
      <c r="D302" s="155"/>
    </row>
    <row r="303" spans="2:4">
      <c r="B303" s="8"/>
      <c r="C303" s="152">
        <v>3</v>
      </c>
      <c r="D303" s="154">
        <v>5.7</v>
      </c>
    </row>
    <row r="304" spans="2:4">
      <c r="B304" s="8"/>
      <c r="C304" s="153"/>
      <c r="D304" s="155"/>
    </row>
    <row r="305" spans="2:4">
      <c r="B305" s="8"/>
      <c r="C305" s="152">
        <v>10.1</v>
      </c>
      <c r="D305" s="154">
        <v>22.3</v>
      </c>
    </row>
    <row r="306" spans="2:4">
      <c r="B306" s="8"/>
      <c r="C306" s="153"/>
      <c r="D306" s="155"/>
    </row>
    <row r="307" spans="2:4">
      <c r="B307" s="8"/>
      <c r="C307" s="150">
        <v>74.7</v>
      </c>
      <c r="D307" s="148">
        <v>108.9</v>
      </c>
    </row>
    <row r="308" spans="2:4" ht="16.5" thickBot="1">
      <c r="B308" s="9"/>
      <c r="C308" s="131"/>
      <c r="D308" s="132"/>
    </row>
  </sheetData>
  <mergeCells count="512"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</mergeCells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9"/>
  <sheetViews>
    <sheetView workbookViewId="0">
      <selection activeCell="E9" sqref="E9"/>
    </sheetView>
  </sheetViews>
  <sheetFormatPr defaultColWidth="11" defaultRowHeight="15.75"/>
  <cols>
    <col min="2" max="7" width="17.625" customWidth="1"/>
    <col min="8" max="8" width="19.375" customWidth="1"/>
  </cols>
  <sheetData>
    <row r="1" spans="2:9">
      <c r="I1" t="s">
        <v>111</v>
      </c>
    </row>
    <row r="3" spans="2:9">
      <c r="B3" t="s">
        <v>108</v>
      </c>
    </row>
    <row r="5" spans="2:9" ht="16.5" thickBot="1"/>
    <row r="6" spans="2:9" ht="57" customHeight="1">
      <c r="B6" s="42"/>
      <c r="C6" s="168" t="s">
        <v>149</v>
      </c>
      <c r="D6" s="169"/>
      <c r="E6" s="43" t="s">
        <v>145</v>
      </c>
      <c r="F6" s="44" t="s">
        <v>144</v>
      </c>
      <c r="G6" s="45" t="s">
        <v>138</v>
      </c>
    </row>
    <row r="7" spans="2:9" ht="21">
      <c r="B7" s="46" t="s">
        <v>147</v>
      </c>
      <c r="C7" s="47">
        <v>2012</v>
      </c>
      <c r="D7" s="48">
        <v>2016</v>
      </c>
      <c r="E7" s="49">
        <v>2050</v>
      </c>
      <c r="F7" s="47" t="s">
        <v>146</v>
      </c>
      <c r="G7" s="48">
        <v>2016</v>
      </c>
    </row>
    <row r="8" spans="2:9" ht="21">
      <c r="B8" s="50" t="s">
        <v>139</v>
      </c>
      <c r="C8" s="51">
        <v>0</v>
      </c>
      <c r="D8" s="52">
        <v>0.11</v>
      </c>
      <c r="E8" s="53">
        <v>964</v>
      </c>
      <c r="F8" s="54" t="s">
        <v>143</v>
      </c>
      <c r="G8" s="55">
        <f>D8/E8</f>
        <v>1.1410788381742739E-4</v>
      </c>
    </row>
    <row r="9" spans="2:9" ht="21">
      <c r="B9" s="50" t="s">
        <v>109</v>
      </c>
      <c r="C9" s="51">
        <v>370</v>
      </c>
      <c r="D9" s="52">
        <v>670</v>
      </c>
      <c r="E9" s="53">
        <v>8785</v>
      </c>
      <c r="F9" s="54">
        <f>(D9-C9)/C9/4</f>
        <v>0.20270270270270271</v>
      </c>
      <c r="G9" s="55">
        <f>D9/E9</f>
        <v>7.6266363118952754E-2</v>
      </c>
    </row>
    <row r="10" spans="2:9" ht="21.75" thickBot="1">
      <c r="B10" s="50" t="s">
        <v>110</v>
      </c>
      <c r="C10" s="56">
        <v>52</v>
      </c>
      <c r="D10" s="57">
        <v>65</v>
      </c>
      <c r="E10" s="58">
        <v>440</v>
      </c>
      <c r="F10" s="59">
        <f>(D10-C10)/C10/4</f>
        <v>6.25E-2</v>
      </c>
      <c r="G10" s="60">
        <f>D10/E10</f>
        <v>0.14772727272727273</v>
      </c>
    </row>
    <row r="11" spans="2:9" ht="21">
      <c r="C11" s="62" t="s">
        <v>148</v>
      </c>
      <c r="D11" s="61"/>
      <c r="E11" s="61"/>
      <c r="F11" s="61"/>
      <c r="G11" s="61"/>
    </row>
    <row r="17" spans="9:9">
      <c r="I17" t="s">
        <v>112</v>
      </c>
    </row>
    <row r="36" spans="9:9">
      <c r="I36" t="s">
        <v>114</v>
      </c>
    </row>
    <row r="57" spans="8:18">
      <c r="I57" t="s">
        <v>113</v>
      </c>
      <c r="J57" t="s">
        <v>115</v>
      </c>
      <c r="K57" t="s">
        <v>116</v>
      </c>
      <c r="L57" t="s">
        <v>117</v>
      </c>
      <c r="M57" t="s">
        <v>118</v>
      </c>
      <c r="N57" t="s">
        <v>122</v>
      </c>
      <c r="O57" t="s">
        <v>119</v>
      </c>
      <c r="P57" t="s">
        <v>120</v>
      </c>
      <c r="Q57" t="s">
        <v>121</v>
      </c>
    </row>
    <row r="58" spans="8:18">
      <c r="I58">
        <v>349</v>
      </c>
      <c r="J58">
        <v>237</v>
      </c>
      <c r="K58">
        <v>106</v>
      </c>
      <c r="L58">
        <v>88</v>
      </c>
      <c r="M58">
        <v>79</v>
      </c>
      <c r="N58">
        <v>70</v>
      </c>
      <c r="O58">
        <v>28</v>
      </c>
      <c r="P58">
        <v>7</v>
      </c>
      <c r="Q58">
        <f>SUM(I58:P58)</f>
        <v>964</v>
      </c>
      <c r="R58" t="s">
        <v>123</v>
      </c>
    </row>
    <row r="60" spans="8:18">
      <c r="H60" t="s">
        <v>110</v>
      </c>
      <c r="I60">
        <v>25</v>
      </c>
      <c r="J60">
        <v>13</v>
      </c>
      <c r="K60">
        <v>9</v>
      </c>
      <c r="L60">
        <v>0</v>
      </c>
      <c r="M60">
        <v>0</v>
      </c>
      <c r="N60">
        <v>2</v>
      </c>
      <c r="O60">
        <v>2</v>
      </c>
      <c r="P60">
        <v>0</v>
      </c>
      <c r="Q60">
        <f t="shared" ref="Q60:Q62" si="0">SUM(I60:P60)</f>
        <v>51</v>
      </c>
    </row>
    <row r="61" spans="8:18">
      <c r="H61" t="s">
        <v>124</v>
      </c>
      <c r="I61">
        <v>4</v>
      </c>
      <c r="J61">
        <v>115</v>
      </c>
      <c r="K61">
        <v>53</v>
      </c>
      <c r="L61">
        <v>7</v>
      </c>
      <c r="M61">
        <v>60</v>
      </c>
      <c r="N61">
        <v>29</v>
      </c>
      <c r="O61">
        <v>10</v>
      </c>
      <c r="P61">
        <v>7</v>
      </c>
      <c r="Q61">
        <f t="shared" si="0"/>
        <v>285</v>
      </c>
    </row>
    <row r="62" spans="8:18">
      <c r="H62" t="s">
        <v>125</v>
      </c>
      <c r="I62">
        <v>320</v>
      </c>
      <c r="J62">
        <v>109</v>
      </c>
      <c r="K62">
        <v>44</v>
      </c>
      <c r="L62">
        <v>81</v>
      </c>
      <c r="M62">
        <v>19</v>
      </c>
      <c r="N62">
        <v>39</v>
      </c>
      <c r="O62">
        <v>16</v>
      </c>
      <c r="P62">
        <v>0</v>
      </c>
      <c r="Q62">
        <f t="shared" si="0"/>
        <v>628</v>
      </c>
    </row>
    <row r="86" spans="9:14">
      <c r="I86" t="s">
        <v>126</v>
      </c>
    </row>
    <row r="87" spans="9:14">
      <c r="J87" t="s">
        <v>132</v>
      </c>
      <c r="K87" t="s">
        <v>134</v>
      </c>
      <c r="L87" t="s">
        <v>135</v>
      </c>
      <c r="M87" t="s">
        <v>136</v>
      </c>
      <c r="N87" t="s">
        <v>123</v>
      </c>
    </row>
    <row r="88" spans="9:14">
      <c r="I88" t="s">
        <v>127</v>
      </c>
      <c r="J88">
        <v>4822</v>
      </c>
      <c r="K88">
        <f>J88/8760</f>
        <v>0.55045662100456616</v>
      </c>
      <c r="L88">
        <v>0.2</v>
      </c>
      <c r="M88">
        <f>K88/L88</f>
        <v>2.7522831050228307</v>
      </c>
      <c r="N88">
        <f>M88*1000</f>
        <v>2752.2831050228306</v>
      </c>
    </row>
    <row r="89" spans="9:14">
      <c r="I89" t="s">
        <v>128</v>
      </c>
      <c r="J89">
        <v>4215</v>
      </c>
      <c r="K89">
        <f t="shared" ref="K89:K93" si="1">J89/8760</f>
        <v>0.48116438356164382</v>
      </c>
      <c r="L89">
        <v>0.2</v>
      </c>
      <c r="M89">
        <f t="shared" ref="M89:M93" si="2">K89/L89</f>
        <v>2.4058219178082187</v>
      </c>
      <c r="N89">
        <f t="shared" ref="N89:N99" si="3">M89*1000</f>
        <v>2405.8219178082186</v>
      </c>
    </row>
    <row r="90" spans="9:14">
      <c r="I90" t="s">
        <v>129</v>
      </c>
      <c r="J90">
        <v>4760</v>
      </c>
      <c r="K90">
        <f t="shared" si="1"/>
        <v>0.54337899543378998</v>
      </c>
      <c r="L90">
        <v>0.25</v>
      </c>
      <c r="M90">
        <f t="shared" si="2"/>
        <v>2.1735159817351599</v>
      </c>
      <c r="N90">
        <f t="shared" si="3"/>
        <v>2173.51598173516</v>
      </c>
    </row>
    <row r="91" spans="9:14">
      <c r="I91" t="s">
        <v>130</v>
      </c>
      <c r="J91">
        <v>2500</v>
      </c>
      <c r="K91">
        <f t="shared" si="1"/>
        <v>0.28538812785388129</v>
      </c>
      <c r="L91">
        <v>0.3</v>
      </c>
      <c r="M91">
        <f t="shared" si="2"/>
        <v>0.95129375951293771</v>
      </c>
      <c r="N91">
        <f t="shared" si="3"/>
        <v>951.29375951293775</v>
      </c>
    </row>
    <row r="92" spans="9:14">
      <c r="I92" t="s">
        <v>131</v>
      </c>
      <c r="J92">
        <v>1366</v>
      </c>
      <c r="K92">
        <f t="shared" si="1"/>
        <v>0.15593607305936072</v>
      </c>
      <c r="L92">
        <v>0.85</v>
      </c>
      <c r="M92">
        <f t="shared" si="2"/>
        <v>0.18345420359924791</v>
      </c>
      <c r="N92">
        <f t="shared" si="3"/>
        <v>183.4542035992479</v>
      </c>
    </row>
    <row r="93" spans="9:14">
      <c r="I93" t="s">
        <v>133</v>
      </c>
      <c r="J93">
        <v>837</v>
      </c>
      <c r="K93">
        <f t="shared" si="1"/>
        <v>9.5547945205479448E-2</v>
      </c>
      <c r="L93">
        <v>0.3</v>
      </c>
      <c r="M93">
        <f t="shared" si="2"/>
        <v>0.3184931506849315</v>
      </c>
      <c r="N93">
        <f t="shared" si="3"/>
        <v>318.49315068493149</v>
      </c>
    </row>
    <row r="95" spans="9:14">
      <c r="I95" t="s">
        <v>142</v>
      </c>
      <c r="M95">
        <f>SUM(M88:M93)</f>
        <v>8.7848621183633266</v>
      </c>
      <c r="N95">
        <f t="shared" si="3"/>
        <v>8784.8621183633259</v>
      </c>
    </row>
    <row r="97" spans="9:14">
      <c r="I97" t="s">
        <v>137</v>
      </c>
      <c r="J97">
        <f>2889+196</f>
        <v>3085</v>
      </c>
      <c r="K97">
        <f t="shared" ref="K97:K99" si="4">J97/8760</f>
        <v>0.3521689497716895</v>
      </c>
      <c r="L97">
        <v>0.8</v>
      </c>
      <c r="M97">
        <f t="shared" ref="M97" si="5">K97/L97</f>
        <v>0.44021118721461183</v>
      </c>
      <c r="N97">
        <f t="shared" si="3"/>
        <v>440.21118721461181</v>
      </c>
    </row>
    <row r="98" spans="9:14">
      <c r="I98" t="s">
        <v>140</v>
      </c>
      <c r="J98">
        <v>370</v>
      </c>
      <c r="K98">
        <f t="shared" si="4"/>
        <v>4.2237442922374427E-2</v>
      </c>
      <c r="L98">
        <v>0.8</v>
      </c>
      <c r="M98">
        <f t="shared" ref="M98" si="6">K98/L98</f>
        <v>5.279680365296803E-2</v>
      </c>
      <c r="N98">
        <f t="shared" si="3"/>
        <v>52.79680365296803</v>
      </c>
    </row>
    <row r="99" spans="9:14">
      <c r="I99" t="s">
        <v>141</v>
      </c>
      <c r="J99">
        <v>464</v>
      </c>
      <c r="K99">
        <f t="shared" si="4"/>
        <v>5.2968036529680365E-2</v>
      </c>
      <c r="L99">
        <v>0.8</v>
      </c>
      <c r="M99">
        <f t="shared" ref="M99" si="7">K99/L99</f>
        <v>6.6210045662100453E-2</v>
      </c>
      <c r="N99">
        <f t="shared" si="3"/>
        <v>66.210045662100455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"/>
    </sheetView>
  </sheetViews>
  <sheetFormatPr defaultColWidth="11" defaultRowHeight="15.75"/>
  <cols>
    <col min="3" max="3" width="13.625" customWidth="1"/>
  </cols>
  <sheetData>
    <row r="1" spans="1:5">
      <c r="B1" t="s">
        <v>158</v>
      </c>
    </row>
    <row r="2" spans="1:5">
      <c r="B2" t="s">
        <v>150</v>
      </c>
    </row>
    <row r="4" spans="1:5">
      <c r="A4" t="s">
        <v>153</v>
      </c>
      <c r="B4">
        <v>30</v>
      </c>
      <c r="C4" t="s">
        <v>151</v>
      </c>
    </row>
    <row r="5" spans="1:5">
      <c r="B5">
        <f>B4*8760</f>
        <v>262800</v>
      </c>
      <c r="C5" t="s">
        <v>154</v>
      </c>
    </row>
    <row r="6" spans="1:5">
      <c r="B6">
        <v>800000</v>
      </c>
      <c r="C6" t="s">
        <v>152</v>
      </c>
    </row>
    <row r="7" spans="1:5">
      <c r="B7">
        <f>B6/365</f>
        <v>2191.7808219178082</v>
      </c>
      <c r="C7" t="s">
        <v>162</v>
      </c>
    </row>
    <row r="8" spans="1:5">
      <c r="B8">
        <f>B6/B5</f>
        <v>3.0441400304414001</v>
      </c>
      <c r="C8" t="s">
        <v>155</v>
      </c>
      <c r="D8">
        <f>1/B8</f>
        <v>0.32850000000000001</v>
      </c>
      <c r="E8" t="s">
        <v>157</v>
      </c>
    </row>
    <row r="10" spans="1:5">
      <c r="B10">
        <v>3</v>
      </c>
      <c r="C10" t="s">
        <v>156</v>
      </c>
    </row>
    <row r="13" spans="1:5">
      <c r="B13" t="s">
        <v>159</v>
      </c>
      <c r="C13" t="s">
        <v>161</v>
      </c>
    </row>
    <row r="15" spans="1:5">
      <c r="B15">
        <v>5200</v>
      </c>
      <c r="C15" t="s">
        <v>160</v>
      </c>
    </row>
    <row r="17" spans="2:4">
      <c r="B17">
        <v>250</v>
      </c>
      <c r="C17" t="s">
        <v>151</v>
      </c>
      <c r="D17" t="s">
        <v>163</v>
      </c>
    </row>
    <row r="21" spans="2:4">
      <c r="B21" t="s">
        <v>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N29"/>
  <sheetViews>
    <sheetView workbookViewId="0">
      <selection activeCell="F2" sqref="F2"/>
    </sheetView>
  </sheetViews>
  <sheetFormatPr defaultColWidth="11" defaultRowHeight="15.75"/>
  <cols>
    <col min="3" max="3" width="22.375" customWidth="1"/>
    <col min="4" max="4" width="11.5" bestFit="1" customWidth="1"/>
  </cols>
  <sheetData>
    <row r="2" spans="3:16">
      <c r="C2" t="s">
        <v>168</v>
      </c>
      <c r="D2">
        <v>1</v>
      </c>
      <c r="E2" t="s">
        <v>184</v>
      </c>
      <c r="F2">
        <v>35</v>
      </c>
      <c r="G2" t="s">
        <v>154</v>
      </c>
      <c r="H2" t="s">
        <v>194</v>
      </c>
    </row>
    <row r="3" spans="3:16">
      <c r="C3" t="s">
        <v>183</v>
      </c>
      <c r="D3">
        <v>0.8</v>
      </c>
      <c r="E3" t="s">
        <v>165</v>
      </c>
    </row>
    <row r="4" spans="3:16">
      <c r="C4" t="s">
        <v>185</v>
      </c>
      <c r="D4">
        <f>D2*1000*D3</f>
        <v>800</v>
      </c>
      <c r="E4" t="s">
        <v>186</v>
      </c>
    </row>
    <row r="5" spans="3:16">
      <c r="C5" t="s">
        <v>166</v>
      </c>
      <c r="D5">
        <v>1500</v>
      </c>
      <c r="E5">
        <f>D2*D5/365</f>
        <v>4.1095890410958908</v>
      </c>
    </row>
    <row r="6" spans="3:16">
      <c r="C6" t="s">
        <v>167</v>
      </c>
      <c r="D6" s="1">
        <v>0.05</v>
      </c>
    </row>
    <row r="7" spans="3:16">
      <c r="C7" t="s">
        <v>170</v>
      </c>
      <c r="D7" s="63">
        <v>5.0000000000000001E-3</v>
      </c>
    </row>
    <row r="8" spans="3:16">
      <c r="D8" s="63"/>
    </row>
    <row r="9" spans="3:16">
      <c r="C9" t="s">
        <v>182</v>
      </c>
      <c r="D9">
        <v>350</v>
      </c>
      <c r="E9" t="s">
        <v>175</v>
      </c>
    </row>
    <row r="10" spans="3:16">
      <c r="C10" t="s">
        <v>176</v>
      </c>
      <c r="D10" s="1">
        <v>0.5</v>
      </c>
      <c r="H10" t="s">
        <v>193</v>
      </c>
      <c r="I10" t="s">
        <v>171</v>
      </c>
    </row>
    <row r="11" spans="3:16">
      <c r="C11" t="s">
        <v>178</v>
      </c>
      <c r="D11" s="63">
        <v>0.8</v>
      </c>
      <c r="G11" t="s">
        <v>172</v>
      </c>
      <c r="H11" t="s">
        <v>164</v>
      </c>
      <c r="I11" t="s">
        <v>164</v>
      </c>
      <c r="J11" t="s">
        <v>173</v>
      </c>
      <c r="L11" t="s">
        <v>191</v>
      </c>
      <c r="N11" t="s">
        <v>190</v>
      </c>
      <c r="P11" t="s">
        <v>192</v>
      </c>
    </row>
    <row r="12" spans="3:16">
      <c r="G12">
        <v>20</v>
      </c>
      <c r="H12">
        <f>SUM(E22:X22)</f>
        <v>28616.855917614714</v>
      </c>
      <c r="I12">
        <f>SUM(E23:Y23)</f>
        <v>19384.541311864454</v>
      </c>
      <c r="J12">
        <f>$D$4/I12</f>
        <v>4.126999897131195E-2</v>
      </c>
      <c r="K12" t="s">
        <v>175</v>
      </c>
      <c r="L12">
        <f>$D$15+$D$15*(1+$D$6)^-10</f>
        <v>1160.6910385053407</v>
      </c>
      <c r="N12">
        <f>SUM(E29:Y29)</f>
        <v>17446.087180678009</v>
      </c>
      <c r="P12">
        <f>(L12+$D$4)/N12</f>
        <v>0.11238571825302217</v>
      </c>
    </row>
    <row r="13" spans="3:16">
      <c r="C13" t="s">
        <v>181</v>
      </c>
      <c r="D13">
        <f>E5*D10</f>
        <v>2.0547945205479454</v>
      </c>
      <c r="E13" t="s">
        <v>164</v>
      </c>
      <c r="G13">
        <v>25</v>
      </c>
      <c r="H13">
        <f>SUM(E22:AC22)</f>
        <v>35333.927115359598</v>
      </c>
      <c r="I13">
        <f>SUM(E23:AD23)</f>
        <v>21566.741657026334</v>
      </c>
      <c r="J13">
        <f t="shared" ref="J13:J15" si="0">$D$4/I13</f>
        <v>3.7094152316669689E-2</v>
      </c>
      <c r="L13">
        <f>$D$15+$D$15*(1+$D$6)^-10+0.5*$D$15*(1+$D$6)^-20</f>
        <v>1296.2163662507689</v>
      </c>
      <c r="N13">
        <f>SUM(E29:AD29)</f>
        <v>19410.067491323702</v>
      </c>
      <c r="P13">
        <f t="shared" ref="P13:P15" si="1">(L13+$D$4)/N13</f>
        <v>0.10799634608111372</v>
      </c>
    </row>
    <row r="14" spans="3:16">
      <c r="G14">
        <v>30</v>
      </c>
      <c r="H14">
        <f>SUM(E22:AH22)</f>
        <v>41884.742425591154</v>
      </c>
      <c r="I14">
        <f>SUM(E23:AI23)</f>
        <v>23234.232772006104</v>
      </c>
      <c r="J14">
        <f t="shared" si="0"/>
        <v>3.4431952535307495E-2</v>
      </c>
      <c r="L14">
        <f>$D$15+$D$15*(1+$D$6)^-10+$D$15*(1+$D$6)^-20</f>
        <v>1431.7416939961972</v>
      </c>
      <c r="N14">
        <f>SUM(E29:AI29)</f>
        <v>20910.809494805493</v>
      </c>
      <c r="P14">
        <f t="shared" si="1"/>
        <v>0.1067267001093664</v>
      </c>
    </row>
    <row r="15" spans="3:16">
      <c r="C15" t="s">
        <v>174</v>
      </c>
      <c r="D15">
        <f>D13*D9</f>
        <v>719.17808219178085</v>
      </c>
      <c r="G15">
        <v>35</v>
      </c>
      <c r="H15">
        <f>SUM(E22:AL22)</f>
        <v>47008.459184749918</v>
      </c>
      <c r="I15">
        <f>SUM(E23:AM23)</f>
        <v>24280.239701163024</v>
      </c>
      <c r="J15">
        <f t="shared" si="0"/>
        <v>3.2948603878967468E-2</v>
      </c>
      <c r="L15">
        <f>$D$15+$D$15*(1+$D$6)^-10+$D$15*(1+$D$6)^-20+0.5*$D$15*(1+$D$6)^-30</f>
        <v>1514.9424888895708</v>
      </c>
      <c r="N15">
        <f>SUM(E29:AM29)</f>
        <v>21852.215731046726</v>
      </c>
      <c r="P15">
        <f t="shared" si="1"/>
        <v>0.10593628204029655</v>
      </c>
    </row>
    <row r="17" spans="3:40">
      <c r="C17" t="s">
        <v>187</v>
      </c>
      <c r="D17" s="64">
        <v>4000</v>
      </c>
    </row>
    <row r="18" spans="3:40">
      <c r="C18" t="s">
        <v>188</v>
      </c>
      <c r="D18" s="2">
        <f>D17/365</f>
        <v>10.95890410958904</v>
      </c>
    </row>
    <row r="19" spans="3:40">
      <c r="D19" s="63"/>
    </row>
    <row r="20" spans="3:40">
      <c r="D20" s="63"/>
    </row>
    <row r="21" spans="3:40">
      <c r="C21" t="s">
        <v>147</v>
      </c>
      <c r="E21">
        <v>0</v>
      </c>
      <c r="F21">
        <f>E21+1</f>
        <v>1</v>
      </c>
      <c r="G21">
        <f t="shared" ref="G21:AN21" si="2">F21+1</f>
        <v>2</v>
      </c>
      <c r="H21">
        <f t="shared" si="2"/>
        <v>3</v>
      </c>
      <c r="I21">
        <f t="shared" si="2"/>
        <v>4</v>
      </c>
      <c r="J21">
        <f t="shared" si="2"/>
        <v>5</v>
      </c>
      <c r="K21">
        <f t="shared" si="2"/>
        <v>6</v>
      </c>
      <c r="L21">
        <f t="shared" si="2"/>
        <v>7</v>
      </c>
      <c r="M21">
        <f t="shared" si="2"/>
        <v>8</v>
      </c>
      <c r="N21">
        <f t="shared" si="2"/>
        <v>9</v>
      </c>
      <c r="O21">
        <f t="shared" si="2"/>
        <v>10</v>
      </c>
      <c r="P21">
        <f t="shared" si="2"/>
        <v>11</v>
      </c>
      <c r="Q21">
        <f t="shared" si="2"/>
        <v>12</v>
      </c>
      <c r="R21">
        <f t="shared" si="2"/>
        <v>13</v>
      </c>
      <c r="S21">
        <f t="shared" si="2"/>
        <v>14</v>
      </c>
      <c r="T21">
        <f t="shared" si="2"/>
        <v>15</v>
      </c>
      <c r="U21">
        <f t="shared" si="2"/>
        <v>16</v>
      </c>
      <c r="V21">
        <f t="shared" si="2"/>
        <v>17</v>
      </c>
      <c r="W21">
        <f t="shared" si="2"/>
        <v>18</v>
      </c>
      <c r="X21">
        <f t="shared" si="2"/>
        <v>19</v>
      </c>
      <c r="Y21">
        <f t="shared" si="2"/>
        <v>20</v>
      </c>
      <c r="Z21">
        <f t="shared" si="2"/>
        <v>21</v>
      </c>
      <c r="AA21">
        <f t="shared" si="2"/>
        <v>22</v>
      </c>
      <c r="AB21">
        <f t="shared" si="2"/>
        <v>23</v>
      </c>
      <c r="AC21">
        <f t="shared" si="2"/>
        <v>24</v>
      </c>
      <c r="AD21">
        <f t="shared" si="2"/>
        <v>25</v>
      </c>
      <c r="AE21">
        <f t="shared" si="2"/>
        <v>26</v>
      </c>
      <c r="AF21">
        <f t="shared" si="2"/>
        <v>27</v>
      </c>
      <c r="AG21">
        <f t="shared" si="2"/>
        <v>28</v>
      </c>
      <c r="AH21">
        <f t="shared" si="2"/>
        <v>29</v>
      </c>
      <c r="AI21">
        <f t="shared" si="2"/>
        <v>30</v>
      </c>
      <c r="AJ21">
        <f t="shared" si="2"/>
        <v>31</v>
      </c>
      <c r="AK21">
        <f t="shared" si="2"/>
        <v>32</v>
      </c>
      <c r="AL21">
        <f t="shared" si="2"/>
        <v>33</v>
      </c>
      <c r="AM21">
        <f t="shared" si="2"/>
        <v>34</v>
      </c>
      <c r="AN21">
        <f t="shared" si="2"/>
        <v>35</v>
      </c>
    </row>
    <row r="22" spans="3:40">
      <c r="C22" t="s">
        <v>169</v>
      </c>
      <c r="E22">
        <f>D2*D5</f>
        <v>1500</v>
      </c>
      <c r="F22">
        <f>E22*(1-$D$7)</f>
        <v>1492.5</v>
      </c>
      <c r="G22">
        <f t="shared" ref="G22:AN22" si="3">F22*(1-$D$7)</f>
        <v>1485.0374999999999</v>
      </c>
      <c r="H22">
        <f t="shared" si="3"/>
        <v>1477.6123124999999</v>
      </c>
      <c r="I22">
        <f t="shared" si="3"/>
        <v>1470.2242509374998</v>
      </c>
      <c r="J22">
        <f t="shared" si="3"/>
        <v>1462.8731296828123</v>
      </c>
      <c r="K22">
        <f t="shared" si="3"/>
        <v>1455.5587640343983</v>
      </c>
      <c r="L22">
        <f t="shared" si="3"/>
        <v>1448.2809702142263</v>
      </c>
      <c r="M22">
        <f t="shared" si="3"/>
        <v>1441.0395653631551</v>
      </c>
      <c r="N22">
        <f t="shared" si="3"/>
        <v>1433.8343675363394</v>
      </c>
      <c r="O22">
        <f t="shared" si="3"/>
        <v>1426.6651956986577</v>
      </c>
      <c r="P22">
        <f t="shared" si="3"/>
        <v>1419.5318697201644</v>
      </c>
      <c r="Q22">
        <f t="shared" si="3"/>
        <v>1412.4342103715635</v>
      </c>
      <c r="R22">
        <f t="shared" si="3"/>
        <v>1405.3720393197057</v>
      </c>
      <c r="S22">
        <f t="shared" si="3"/>
        <v>1398.3451791231071</v>
      </c>
      <c r="T22">
        <f t="shared" si="3"/>
        <v>1391.3534532274916</v>
      </c>
      <c r="U22">
        <f t="shared" si="3"/>
        <v>1384.3966859613543</v>
      </c>
      <c r="V22">
        <f t="shared" si="3"/>
        <v>1377.4747025315476</v>
      </c>
      <c r="W22">
        <f t="shared" si="3"/>
        <v>1370.5873290188899</v>
      </c>
      <c r="X22">
        <f t="shared" si="3"/>
        <v>1363.7343923737956</v>
      </c>
      <c r="Y22">
        <f t="shared" si="3"/>
        <v>1356.9157204119265</v>
      </c>
      <c r="Z22">
        <f t="shared" si="3"/>
        <v>1350.1311418098669</v>
      </c>
      <c r="AA22">
        <f t="shared" si="3"/>
        <v>1343.3804861008175</v>
      </c>
      <c r="AB22">
        <f t="shared" si="3"/>
        <v>1336.6635836703133</v>
      </c>
      <c r="AC22">
        <f t="shared" si="3"/>
        <v>1329.9802657519617</v>
      </c>
      <c r="AD22">
        <f t="shared" si="3"/>
        <v>1323.3303644232019</v>
      </c>
      <c r="AE22">
        <f t="shared" si="3"/>
        <v>1316.7137126010859</v>
      </c>
      <c r="AF22">
        <f t="shared" si="3"/>
        <v>1310.1301440380805</v>
      </c>
      <c r="AG22">
        <f t="shared" si="3"/>
        <v>1303.5794933178902</v>
      </c>
      <c r="AH22">
        <f t="shared" si="3"/>
        <v>1297.0615958513008</v>
      </c>
      <c r="AI22">
        <f t="shared" si="3"/>
        <v>1290.5762878720443</v>
      </c>
      <c r="AJ22">
        <f t="shared" si="3"/>
        <v>1284.1234064326841</v>
      </c>
      <c r="AK22">
        <f t="shared" si="3"/>
        <v>1277.7027894005207</v>
      </c>
      <c r="AL22">
        <f t="shared" si="3"/>
        <v>1271.3142754535181</v>
      </c>
      <c r="AM22">
        <f t="shared" si="3"/>
        <v>1264.9577040762506</v>
      </c>
      <c r="AN22">
        <f t="shared" si="3"/>
        <v>1258.6329155558694</v>
      </c>
    </row>
    <row r="23" spans="3:40">
      <c r="C23" t="s">
        <v>171</v>
      </c>
      <c r="E23">
        <f>E22</f>
        <v>1500</v>
      </c>
      <c r="F23">
        <f>F22*(1+$D$6)^-F21</f>
        <v>1421.4285714285713</v>
      </c>
      <c r="G23">
        <f t="shared" ref="G23:AN23" si="4">G22*(1+$D$6)^-G21</f>
        <v>1346.972789115646</v>
      </c>
      <c r="H23">
        <f t="shared" si="4"/>
        <v>1276.4170715905409</v>
      </c>
      <c r="I23">
        <f t="shared" si="4"/>
        <v>1209.5571297453221</v>
      </c>
      <c r="J23">
        <f t="shared" si="4"/>
        <v>1146.1993753300908</v>
      </c>
      <c r="K23">
        <f t="shared" si="4"/>
        <v>1086.1603604318479</v>
      </c>
      <c r="L23">
        <f t="shared" si="4"/>
        <v>1029.2662463139891</v>
      </c>
      <c r="M23">
        <f t="shared" si="4"/>
        <v>975.35230007849464</v>
      </c>
      <c r="N23">
        <f t="shared" si="4"/>
        <v>924.26241769343051</v>
      </c>
      <c r="O23">
        <f t="shared" si="4"/>
        <v>875.84867200472706</v>
      </c>
      <c r="P23">
        <f t="shared" si="4"/>
        <v>829.97088442352697</v>
      </c>
      <c r="Q23">
        <f t="shared" si="4"/>
        <v>786.49621904896139</v>
      </c>
      <c r="R23">
        <f t="shared" si="4"/>
        <v>745.29879805115843</v>
      </c>
      <c r="S23">
        <f t="shared" si="4"/>
        <v>706.25933720085982</v>
      </c>
      <c r="T23">
        <f t="shared" si="4"/>
        <v>669.26480049033842</v>
      </c>
      <c r="U23">
        <f t="shared" si="4"/>
        <v>634.20807284560647</v>
      </c>
      <c r="V23">
        <f t="shared" si="4"/>
        <v>600.98764998226511</v>
      </c>
      <c r="W23">
        <f t="shared" si="4"/>
        <v>569.50734450700372</v>
      </c>
      <c r="X23">
        <f t="shared" si="4"/>
        <v>539.67600741377976</v>
      </c>
      <c r="Y23">
        <f t="shared" si="4"/>
        <v>511.40726416829608</v>
      </c>
      <c r="Z23">
        <f t="shared" si="4"/>
        <v>484.61926461662341</v>
      </c>
      <c r="AA23">
        <f t="shared" si="4"/>
        <v>459.23444599384794</v>
      </c>
      <c r="AB23">
        <f t="shared" si="4"/>
        <v>435.17930834655095</v>
      </c>
      <c r="AC23">
        <f t="shared" si="4"/>
        <v>412.38420171887458</v>
      </c>
      <c r="AD23">
        <f t="shared" si="4"/>
        <v>390.78312448598109</v>
      </c>
      <c r="AE23">
        <f t="shared" si="4"/>
        <v>370.31353225100111</v>
      </c>
      <c r="AF23">
        <f t="shared" si="4"/>
        <v>350.91615675213916</v>
      </c>
      <c r="AG23">
        <f t="shared" si="4"/>
        <v>332.53483425559864</v>
      </c>
      <c r="AH23">
        <f t="shared" si="4"/>
        <v>315.11634293744817</v>
      </c>
      <c r="AI23">
        <f t="shared" si="4"/>
        <v>298.61024878358194</v>
      </c>
      <c r="AJ23">
        <f t="shared" si="4"/>
        <v>282.96875956158465</v>
      </c>
      <c r="AK23">
        <f t="shared" si="4"/>
        <v>268.14658644169219</v>
      </c>
      <c r="AL23">
        <f t="shared" si="4"/>
        <v>254.10081286617495</v>
      </c>
      <c r="AM23">
        <f t="shared" si="4"/>
        <v>240.79077028747056</v>
      </c>
      <c r="AN23">
        <f t="shared" si="4"/>
        <v>228.17792041526971</v>
      </c>
    </row>
    <row r="25" spans="3:40">
      <c r="C25" t="s">
        <v>177</v>
      </c>
      <c r="E25">
        <f>E22*$D$10</f>
        <v>750</v>
      </c>
      <c r="F25">
        <f t="shared" ref="F25:AN25" si="5">F22*$D$10</f>
        <v>746.25</v>
      </c>
      <c r="G25">
        <f t="shared" si="5"/>
        <v>742.51874999999995</v>
      </c>
      <c r="H25">
        <f t="shared" si="5"/>
        <v>738.80615624999996</v>
      </c>
      <c r="I25">
        <f t="shared" si="5"/>
        <v>735.11212546874992</v>
      </c>
      <c r="J25">
        <f t="shared" si="5"/>
        <v>731.43656484140615</v>
      </c>
      <c r="K25">
        <f t="shared" si="5"/>
        <v>727.77938201719917</v>
      </c>
      <c r="L25">
        <f t="shared" si="5"/>
        <v>724.14048510711314</v>
      </c>
      <c r="M25">
        <f t="shared" si="5"/>
        <v>720.51978268157757</v>
      </c>
      <c r="N25">
        <f t="shared" si="5"/>
        <v>716.91718376816971</v>
      </c>
      <c r="O25">
        <f t="shared" si="5"/>
        <v>713.33259784932886</v>
      </c>
      <c r="P25">
        <f t="shared" si="5"/>
        <v>709.76593486008221</v>
      </c>
      <c r="Q25">
        <f t="shared" si="5"/>
        <v>706.21710518578175</v>
      </c>
      <c r="R25">
        <f t="shared" si="5"/>
        <v>702.68601965985283</v>
      </c>
      <c r="S25">
        <f t="shared" si="5"/>
        <v>699.17258956155354</v>
      </c>
      <c r="T25">
        <f t="shared" si="5"/>
        <v>695.67672661374581</v>
      </c>
      <c r="U25">
        <f t="shared" si="5"/>
        <v>692.19834298067713</v>
      </c>
      <c r="V25">
        <f t="shared" si="5"/>
        <v>688.73735126577378</v>
      </c>
      <c r="W25">
        <f t="shared" si="5"/>
        <v>685.29366450944497</v>
      </c>
      <c r="X25">
        <f t="shared" si="5"/>
        <v>681.86719618689779</v>
      </c>
      <c r="Y25">
        <f t="shared" si="5"/>
        <v>678.45786020596324</v>
      </c>
      <c r="Z25">
        <f t="shared" si="5"/>
        <v>675.06557090493345</v>
      </c>
      <c r="AA25">
        <f t="shared" si="5"/>
        <v>671.69024305040875</v>
      </c>
      <c r="AB25">
        <f t="shared" si="5"/>
        <v>668.33179183515665</v>
      </c>
      <c r="AC25">
        <f t="shared" si="5"/>
        <v>664.99013287598086</v>
      </c>
      <c r="AD25">
        <f t="shared" si="5"/>
        <v>661.66518221160095</v>
      </c>
      <c r="AE25">
        <f t="shared" si="5"/>
        <v>658.35685630054297</v>
      </c>
      <c r="AF25">
        <f t="shared" si="5"/>
        <v>655.06507201904026</v>
      </c>
      <c r="AG25">
        <f t="shared" si="5"/>
        <v>651.78974665894509</v>
      </c>
      <c r="AH25">
        <f t="shared" si="5"/>
        <v>648.5307979256504</v>
      </c>
      <c r="AI25">
        <f t="shared" si="5"/>
        <v>645.28814393602215</v>
      </c>
      <c r="AJ25">
        <f t="shared" si="5"/>
        <v>642.06170321634204</v>
      </c>
      <c r="AK25">
        <f t="shared" si="5"/>
        <v>638.85139470026036</v>
      </c>
      <c r="AL25">
        <f t="shared" si="5"/>
        <v>635.65713772675906</v>
      </c>
      <c r="AM25">
        <f t="shared" si="5"/>
        <v>632.4788520381253</v>
      </c>
      <c r="AN25">
        <f t="shared" si="5"/>
        <v>629.31645777793472</v>
      </c>
    </row>
    <row r="26" spans="3:40">
      <c r="C26" t="s">
        <v>179</v>
      </c>
      <c r="E26">
        <f>E25*$D$11</f>
        <v>600</v>
      </c>
      <c r="F26">
        <f t="shared" ref="F26:AN26" si="6">F25*$D$11</f>
        <v>597</v>
      </c>
      <c r="G26">
        <f t="shared" si="6"/>
        <v>594.01499999999999</v>
      </c>
      <c r="H26">
        <f t="shared" si="6"/>
        <v>591.04492500000003</v>
      </c>
      <c r="I26">
        <f t="shared" si="6"/>
        <v>588.08970037500001</v>
      </c>
      <c r="J26">
        <f t="shared" si="6"/>
        <v>585.14925187312497</v>
      </c>
      <c r="K26">
        <f t="shared" si="6"/>
        <v>582.22350561375936</v>
      </c>
      <c r="L26">
        <f t="shared" si="6"/>
        <v>579.31238808569049</v>
      </c>
      <c r="M26">
        <f t="shared" si="6"/>
        <v>576.41582614526203</v>
      </c>
      <c r="N26">
        <f t="shared" si="6"/>
        <v>573.53374701453583</v>
      </c>
      <c r="O26">
        <f t="shared" si="6"/>
        <v>570.66607827946314</v>
      </c>
      <c r="P26">
        <f t="shared" si="6"/>
        <v>567.81274788806581</v>
      </c>
      <c r="Q26">
        <f t="shared" si="6"/>
        <v>564.97368414862547</v>
      </c>
      <c r="R26">
        <f t="shared" si="6"/>
        <v>562.14881572788227</v>
      </c>
      <c r="S26">
        <f t="shared" si="6"/>
        <v>559.33807164924281</v>
      </c>
      <c r="T26">
        <f t="shared" si="6"/>
        <v>556.5413812909967</v>
      </c>
      <c r="U26">
        <f t="shared" si="6"/>
        <v>553.75867438454168</v>
      </c>
      <c r="V26">
        <f t="shared" si="6"/>
        <v>550.98988101261909</v>
      </c>
      <c r="W26">
        <f t="shared" si="6"/>
        <v>548.23493160755595</v>
      </c>
      <c r="X26">
        <f t="shared" si="6"/>
        <v>545.49375694951823</v>
      </c>
      <c r="Y26">
        <f t="shared" si="6"/>
        <v>542.76628816477057</v>
      </c>
      <c r="Z26">
        <f t="shared" si="6"/>
        <v>540.05245672394676</v>
      </c>
      <c r="AA26">
        <f t="shared" si="6"/>
        <v>537.35219444032703</v>
      </c>
      <c r="AB26">
        <f t="shared" si="6"/>
        <v>534.66543346812534</v>
      </c>
      <c r="AC26">
        <f t="shared" si="6"/>
        <v>531.99210630078471</v>
      </c>
      <c r="AD26">
        <f t="shared" si="6"/>
        <v>529.33214576928083</v>
      </c>
      <c r="AE26">
        <f t="shared" si="6"/>
        <v>526.6854850404344</v>
      </c>
      <c r="AF26">
        <f t="shared" si="6"/>
        <v>524.05205761523223</v>
      </c>
      <c r="AG26">
        <f t="shared" si="6"/>
        <v>521.43179732715612</v>
      </c>
      <c r="AH26">
        <f t="shared" si="6"/>
        <v>518.82463834052032</v>
      </c>
      <c r="AI26">
        <f t="shared" si="6"/>
        <v>516.23051514881774</v>
      </c>
      <c r="AJ26">
        <f t="shared" si="6"/>
        <v>513.64936257307363</v>
      </c>
      <c r="AK26">
        <f t="shared" si="6"/>
        <v>511.08111576020832</v>
      </c>
      <c r="AL26">
        <f t="shared" si="6"/>
        <v>508.52571018140725</v>
      </c>
      <c r="AM26">
        <f t="shared" si="6"/>
        <v>505.98308163050024</v>
      </c>
      <c r="AN26">
        <f t="shared" si="6"/>
        <v>503.45316622234782</v>
      </c>
    </row>
    <row r="28" spans="3:40">
      <c r="C28" t="s">
        <v>180</v>
      </c>
      <c r="E28">
        <f>E22-E25+E26</f>
        <v>1350</v>
      </c>
      <c r="F28">
        <f t="shared" ref="F28:AN28" si="7">F22-F25+F26</f>
        <v>1343.25</v>
      </c>
      <c r="G28">
        <f t="shared" si="7"/>
        <v>1336.5337500000001</v>
      </c>
      <c r="H28">
        <f t="shared" si="7"/>
        <v>1329.8510812499999</v>
      </c>
      <c r="I28">
        <f t="shared" si="7"/>
        <v>1323.2018258437499</v>
      </c>
      <c r="J28">
        <f t="shared" si="7"/>
        <v>1316.5858167145311</v>
      </c>
      <c r="K28">
        <f t="shared" si="7"/>
        <v>1310.0028876309584</v>
      </c>
      <c r="L28">
        <f t="shared" si="7"/>
        <v>1303.4528731928035</v>
      </c>
      <c r="M28">
        <f t="shared" si="7"/>
        <v>1296.9356088268396</v>
      </c>
      <c r="N28">
        <f t="shared" si="7"/>
        <v>1290.4509307827057</v>
      </c>
      <c r="O28">
        <f t="shared" si="7"/>
        <v>1283.9986761287919</v>
      </c>
      <c r="P28">
        <f t="shared" si="7"/>
        <v>1277.5786827481479</v>
      </c>
      <c r="Q28">
        <f t="shared" si="7"/>
        <v>1271.1907893344073</v>
      </c>
      <c r="R28">
        <f t="shared" si="7"/>
        <v>1264.834835387735</v>
      </c>
      <c r="S28">
        <f t="shared" si="7"/>
        <v>1258.5106612107963</v>
      </c>
      <c r="T28">
        <f t="shared" si="7"/>
        <v>1252.2181079047425</v>
      </c>
      <c r="U28">
        <f t="shared" si="7"/>
        <v>1245.9570173652187</v>
      </c>
      <c r="V28">
        <f t="shared" si="7"/>
        <v>1239.7272322783929</v>
      </c>
      <c r="W28">
        <f t="shared" si="7"/>
        <v>1233.5285961170009</v>
      </c>
      <c r="X28">
        <f t="shared" si="7"/>
        <v>1227.3609531364159</v>
      </c>
      <c r="Y28">
        <f t="shared" si="7"/>
        <v>1221.2241483707339</v>
      </c>
      <c r="Z28">
        <f t="shared" si="7"/>
        <v>1215.1180276288801</v>
      </c>
      <c r="AA28">
        <f t="shared" si="7"/>
        <v>1209.0424374907357</v>
      </c>
      <c r="AB28">
        <f t="shared" si="7"/>
        <v>1202.997225303282</v>
      </c>
      <c r="AC28">
        <f t="shared" si="7"/>
        <v>1196.9822391767657</v>
      </c>
      <c r="AD28">
        <f t="shared" si="7"/>
        <v>1190.9973279808819</v>
      </c>
      <c r="AE28">
        <f t="shared" si="7"/>
        <v>1185.0423413409774</v>
      </c>
      <c r="AF28">
        <f t="shared" si="7"/>
        <v>1179.1171296342725</v>
      </c>
      <c r="AG28">
        <f t="shared" si="7"/>
        <v>1173.2215439861011</v>
      </c>
      <c r="AH28">
        <f t="shared" si="7"/>
        <v>1167.3554362661707</v>
      </c>
      <c r="AI28">
        <f t="shared" si="7"/>
        <v>1161.5186590848398</v>
      </c>
      <c r="AJ28">
        <f t="shared" si="7"/>
        <v>1155.7110657894157</v>
      </c>
      <c r="AK28">
        <f t="shared" si="7"/>
        <v>1149.9325104604686</v>
      </c>
      <c r="AL28">
        <f t="shared" si="7"/>
        <v>1144.1828479081664</v>
      </c>
      <c r="AM28">
        <f t="shared" si="7"/>
        <v>1138.4619336686255</v>
      </c>
      <c r="AN28">
        <f t="shared" si="7"/>
        <v>1132.7696240002824</v>
      </c>
    </row>
    <row r="29" spans="3:40">
      <c r="C29" t="s">
        <v>189</v>
      </c>
      <c r="E29">
        <f>E28</f>
        <v>1350</v>
      </c>
      <c r="F29">
        <f>F28*(1+$D$6)^-F21</f>
        <v>1279.2857142857142</v>
      </c>
      <c r="G29">
        <f t="shared" ref="G29:AN29" si="8">G28*(1+$D$6)^-G21</f>
        <v>1212.2755102040817</v>
      </c>
      <c r="H29">
        <f t="shared" si="8"/>
        <v>1148.7753644314867</v>
      </c>
      <c r="I29">
        <f t="shared" si="8"/>
        <v>1088.6014167707899</v>
      </c>
      <c r="J29">
        <f t="shared" si="8"/>
        <v>1031.5794377970817</v>
      </c>
      <c r="K29">
        <f t="shared" si="8"/>
        <v>977.5443243886632</v>
      </c>
      <c r="L29">
        <f t="shared" si="8"/>
        <v>926.33962168259018</v>
      </c>
      <c r="M29">
        <f t="shared" si="8"/>
        <v>877.81707007064517</v>
      </c>
      <c r="N29">
        <f t="shared" si="8"/>
        <v>831.83617592408757</v>
      </c>
      <c r="O29">
        <f t="shared" si="8"/>
        <v>788.26380480425428</v>
      </c>
      <c r="P29">
        <f t="shared" si="8"/>
        <v>746.97379598117425</v>
      </c>
      <c r="Q29">
        <f t="shared" si="8"/>
        <v>707.8465971440653</v>
      </c>
      <c r="R29">
        <f t="shared" si="8"/>
        <v>670.76891824604252</v>
      </c>
      <c r="S29">
        <f t="shared" si="8"/>
        <v>635.63340348077384</v>
      </c>
      <c r="T29">
        <f t="shared" si="8"/>
        <v>602.33832044130463</v>
      </c>
      <c r="U29">
        <f t="shared" si="8"/>
        <v>570.78726556104584</v>
      </c>
      <c r="V29">
        <f t="shared" si="8"/>
        <v>540.88888498403867</v>
      </c>
      <c r="W29">
        <f t="shared" si="8"/>
        <v>512.55661005630338</v>
      </c>
      <c r="X29">
        <f t="shared" si="8"/>
        <v>485.70840667240174</v>
      </c>
      <c r="Y29">
        <f t="shared" si="8"/>
        <v>460.2665377514665</v>
      </c>
      <c r="Z29">
        <f t="shared" si="8"/>
        <v>436.15733815496105</v>
      </c>
      <c r="AA29">
        <f t="shared" si="8"/>
        <v>413.31100139446312</v>
      </c>
      <c r="AB29">
        <f t="shared" si="8"/>
        <v>391.66137751189586</v>
      </c>
      <c r="AC29">
        <f t="shared" si="8"/>
        <v>371.14578154698717</v>
      </c>
      <c r="AD29">
        <f t="shared" si="8"/>
        <v>351.70481203738302</v>
      </c>
      <c r="AE29">
        <f t="shared" si="8"/>
        <v>333.28217902590103</v>
      </c>
      <c r="AF29">
        <f t="shared" si="8"/>
        <v>315.82454107692524</v>
      </c>
      <c r="AG29">
        <f t="shared" si="8"/>
        <v>299.28135083003878</v>
      </c>
      <c r="AH29">
        <f t="shared" si="8"/>
        <v>283.60470864370336</v>
      </c>
      <c r="AI29">
        <f t="shared" si="8"/>
        <v>268.74922390522369</v>
      </c>
      <c r="AJ29">
        <f t="shared" si="8"/>
        <v>254.67188360542619</v>
      </c>
      <c r="AK29">
        <f t="shared" si="8"/>
        <v>241.33192779752295</v>
      </c>
      <c r="AL29">
        <f t="shared" si="8"/>
        <v>228.69073157955748</v>
      </c>
      <c r="AM29">
        <f t="shared" si="8"/>
        <v>216.71169325872353</v>
      </c>
      <c r="AN29">
        <f t="shared" si="8"/>
        <v>205.36012837374273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9"/>
  <sheetViews>
    <sheetView workbookViewId="0">
      <selection activeCell="K9" sqref="K9"/>
    </sheetView>
  </sheetViews>
  <sheetFormatPr defaultColWidth="11" defaultRowHeight="15.75"/>
  <sheetData>
    <row r="2" spans="6:12">
      <c r="F2" t="s">
        <v>195</v>
      </c>
    </row>
    <row r="4" spans="6:12">
      <c r="F4" t="s">
        <v>196</v>
      </c>
      <c r="H4" t="s">
        <v>201</v>
      </c>
      <c r="I4" t="s">
        <v>202</v>
      </c>
      <c r="J4" t="s">
        <v>203</v>
      </c>
      <c r="K4" t="s">
        <v>132</v>
      </c>
      <c r="L4" t="s">
        <v>204</v>
      </c>
    </row>
    <row r="5" spans="6:12">
      <c r="F5" t="s">
        <v>127</v>
      </c>
      <c r="G5">
        <v>68</v>
      </c>
      <c r="H5">
        <f>G5/$G$9</f>
        <v>0.18681318681318682</v>
      </c>
      <c r="I5">
        <f>H5*$I$9</f>
        <v>4.2032967032967035</v>
      </c>
      <c r="J5">
        <v>0.18</v>
      </c>
      <c r="K5">
        <f>I5*J5*8760</f>
        <v>6627.7582417582416</v>
      </c>
    </row>
    <row r="6" spans="6:12">
      <c r="F6" t="s">
        <v>197</v>
      </c>
      <c r="G6">
        <v>144</v>
      </c>
      <c r="H6">
        <f t="shared" ref="H6:H8" si="0">G6/$G$9</f>
        <v>0.39560439560439559</v>
      </c>
      <c r="I6">
        <f>H6*$I$9</f>
        <v>8.9010989010989015</v>
      </c>
      <c r="J6">
        <v>0.18</v>
      </c>
      <c r="K6">
        <f t="shared" ref="K6:K8" si="1">I6*J6*8760</f>
        <v>14035.252747252747</v>
      </c>
    </row>
    <row r="7" spans="6:12">
      <c r="F7" t="s">
        <v>198</v>
      </c>
      <c r="G7">
        <v>132</v>
      </c>
      <c r="H7">
        <f t="shared" si="0"/>
        <v>0.36263736263736263</v>
      </c>
      <c r="I7">
        <f>H7*$I$9</f>
        <v>8.1593406593406588</v>
      </c>
      <c r="J7">
        <v>0.35</v>
      </c>
      <c r="K7">
        <f t="shared" si="1"/>
        <v>25016.538461538457</v>
      </c>
    </row>
    <row r="8" spans="6:12">
      <c r="F8" t="s">
        <v>199</v>
      </c>
      <c r="G8">
        <v>20</v>
      </c>
      <c r="H8">
        <f t="shared" si="0"/>
        <v>5.4945054945054944E-2</v>
      </c>
      <c r="I8">
        <f>H8*$I$9</f>
        <v>1.2362637362637363</v>
      </c>
      <c r="J8">
        <v>0.7</v>
      </c>
      <c r="K8">
        <f t="shared" si="1"/>
        <v>7580.7692307692314</v>
      </c>
    </row>
    <row r="9" spans="6:12">
      <c r="F9" t="s">
        <v>200</v>
      </c>
      <c r="G9">
        <f>SUM(G5:G8)</f>
        <v>364</v>
      </c>
      <c r="I9">
        <v>22.5</v>
      </c>
      <c r="K9">
        <f>SUM(K5:K8)</f>
        <v>53260.318681318677</v>
      </c>
      <c r="L9">
        <f>K5+K6+K7</f>
        <v>45679.549450549443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B3" sqref="B3"/>
    </sheetView>
  </sheetViews>
  <sheetFormatPr defaultColWidth="11" defaultRowHeight="15.75"/>
  <cols>
    <col min="1" max="1" width="18.125" customWidth="1"/>
    <col min="11" max="11" width="14.625" customWidth="1"/>
    <col min="12" max="12" width="15.375" customWidth="1"/>
    <col min="13" max="13" width="14.875" customWidth="1"/>
    <col min="16" max="17" width="16.5" customWidth="1"/>
    <col min="18" max="18" width="11.375" bestFit="1" customWidth="1"/>
    <col min="20" max="20" width="12" customWidth="1"/>
    <col min="23" max="23" width="11.125" bestFit="1" customWidth="1"/>
    <col min="28" max="28" width="14.125" customWidth="1"/>
  </cols>
  <sheetData>
    <row r="1" spans="1:30">
      <c r="E1" t="s">
        <v>254</v>
      </c>
      <c r="F1" t="s">
        <v>258</v>
      </c>
      <c r="J1" t="s">
        <v>236</v>
      </c>
      <c r="L1" t="s">
        <v>239</v>
      </c>
      <c r="R1" t="s">
        <v>247</v>
      </c>
    </row>
    <row r="2" spans="1:30">
      <c r="B2" t="s">
        <v>188</v>
      </c>
      <c r="C2" t="s">
        <v>245</v>
      </c>
      <c r="D2" t="s">
        <v>251</v>
      </c>
      <c r="E2" t="s">
        <v>255</v>
      </c>
      <c r="F2" t="s">
        <v>256</v>
      </c>
      <c r="G2" t="s">
        <v>259</v>
      </c>
      <c r="H2" t="s">
        <v>266</v>
      </c>
      <c r="J2" t="s">
        <v>235</v>
      </c>
      <c r="K2" t="s">
        <v>237</v>
      </c>
      <c r="L2" t="s">
        <v>238</v>
      </c>
      <c r="M2" t="s">
        <v>240</v>
      </c>
      <c r="N2" t="s">
        <v>242</v>
      </c>
      <c r="O2" t="s">
        <v>241</v>
      </c>
      <c r="P2" t="s">
        <v>243</v>
      </c>
      <c r="Q2" t="s">
        <v>272</v>
      </c>
      <c r="R2" t="s">
        <v>270</v>
      </c>
      <c r="S2" t="s">
        <v>246</v>
      </c>
      <c r="T2" t="s">
        <v>248</v>
      </c>
      <c r="U2" t="s">
        <v>249</v>
      </c>
      <c r="V2" t="s">
        <v>250</v>
      </c>
      <c r="W2" t="s">
        <v>252</v>
      </c>
      <c r="X2" t="s">
        <v>253</v>
      </c>
      <c r="Y2" t="s">
        <v>265</v>
      </c>
      <c r="Z2" t="s">
        <v>267</v>
      </c>
      <c r="AA2" t="s">
        <v>271</v>
      </c>
      <c r="AB2" t="s">
        <v>243</v>
      </c>
      <c r="AC2" t="s">
        <v>260</v>
      </c>
      <c r="AD2" t="s">
        <v>261</v>
      </c>
    </row>
    <row r="3" spans="1:30">
      <c r="A3" t="s">
        <v>269</v>
      </c>
      <c r="B3">
        <v>30</v>
      </c>
      <c r="C3" s="1">
        <v>0.85</v>
      </c>
      <c r="D3">
        <v>80</v>
      </c>
      <c r="E3">
        <v>2000</v>
      </c>
      <c r="F3">
        <v>1.5</v>
      </c>
      <c r="G3" s="1">
        <v>0.02</v>
      </c>
      <c r="H3" s="1"/>
      <c r="J3">
        <v>1000</v>
      </c>
      <c r="K3" s="1">
        <v>0.4</v>
      </c>
      <c r="L3">
        <f>K3*J3</f>
        <v>400</v>
      </c>
      <c r="M3" s="1">
        <v>0.1</v>
      </c>
      <c r="N3">
        <f>M3*L3</f>
        <v>40</v>
      </c>
      <c r="O3">
        <f>L3-N3</f>
        <v>360</v>
      </c>
      <c r="P3" s="17">
        <f>O3/J3</f>
        <v>0.36</v>
      </c>
      <c r="Q3" s="17"/>
      <c r="R3" s="87">
        <f>J3*B3*C3*8760/1000</f>
        <v>223380</v>
      </c>
      <c r="S3" s="64">
        <f>L3*B3*C3*8760/1000</f>
        <v>89352</v>
      </c>
      <c r="T3" s="87">
        <f t="shared" ref="T3:T8" si="0">O3*B3*C3*8760/1000</f>
        <v>80416.800000000003</v>
      </c>
      <c r="U3">
        <f>N3*B3*C3*8760/1000</f>
        <v>8935.2000000000007</v>
      </c>
      <c r="V3">
        <f>J3*C3*B3*8760/1000/D3</f>
        <v>2792.25</v>
      </c>
      <c r="W3">
        <f>L3*E3/1000*F3</f>
        <v>1200</v>
      </c>
      <c r="X3">
        <f t="shared" ref="X3:X8" si="1">W3*G3*B3</f>
        <v>720</v>
      </c>
      <c r="AB3" s="17">
        <f>T3/R3</f>
        <v>0.36</v>
      </c>
      <c r="AC3" s="88">
        <f>S3/SUM(U3:X3)</f>
        <v>6.5471571612279211</v>
      </c>
      <c r="AD3" s="88">
        <f>T3/SUM(V3:X3)</f>
        <v>17.065478274709534</v>
      </c>
    </row>
    <row r="4" spans="1:30">
      <c r="A4" t="s">
        <v>262</v>
      </c>
      <c r="B4">
        <v>30</v>
      </c>
      <c r="C4" s="1">
        <v>0.85</v>
      </c>
      <c r="D4">
        <v>80</v>
      </c>
      <c r="E4">
        <v>2000</v>
      </c>
      <c r="F4">
        <v>1.5</v>
      </c>
      <c r="G4" s="1">
        <v>0.02</v>
      </c>
      <c r="H4" s="1"/>
      <c r="J4">
        <v>1000</v>
      </c>
      <c r="K4" s="1">
        <v>0.5</v>
      </c>
      <c r="L4">
        <f t="shared" ref="L4:L8" si="2">K4*J4</f>
        <v>500</v>
      </c>
      <c r="M4" s="1">
        <v>0.15</v>
      </c>
      <c r="N4">
        <f t="shared" ref="N4:N8" si="3">M4*L4</f>
        <v>75</v>
      </c>
      <c r="O4">
        <f t="shared" ref="O4:O8" si="4">L4-N4</f>
        <v>425</v>
      </c>
      <c r="P4" s="17">
        <f t="shared" ref="P4:P8" si="5">O4/J4</f>
        <v>0.42499999999999999</v>
      </c>
      <c r="Q4" s="17"/>
      <c r="R4" s="87">
        <f t="shared" ref="R4:R8" si="6">J4*B4*C4*8760/1000</f>
        <v>223380</v>
      </c>
      <c r="S4" s="64">
        <f t="shared" ref="S4:S8" si="7">L4*B4*C4*8760/1000</f>
        <v>111690</v>
      </c>
      <c r="T4" s="87">
        <f t="shared" si="0"/>
        <v>94936.5</v>
      </c>
      <c r="U4">
        <f t="shared" ref="U4:U8" si="8">N4*B4*C4*8760/1000</f>
        <v>16753.5</v>
      </c>
      <c r="V4">
        <f t="shared" ref="V4:V8" si="9">J4*C4*B4*8760/1000/D4</f>
        <v>2792.25</v>
      </c>
      <c r="W4">
        <f t="shared" ref="W4:W8" si="10">L4*E4/1000*F4</f>
        <v>1500</v>
      </c>
      <c r="X4">
        <f t="shared" si="1"/>
        <v>900</v>
      </c>
      <c r="AB4" s="17">
        <f t="shared" ref="AB4:AB8" si="11">T4/R4</f>
        <v>0.42499999999999999</v>
      </c>
      <c r="AC4" s="88">
        <f>S4/SUM(U4:X4)</f>
        <v>5.089368100885137</v>
      </c>
      <c r="AD4" s="88">
        <f>T4/SUM(V4:X4)</f>
        <v>18.284269825220282</v>
      </c>
    </row>
    <row r="5" spans="1:30">
      <c r="A5" t="s">
        <v>263</v>
      </c>
      <c r="B5">
        <v>30</v>
      </c>
      <c r="C5" s="1">
        <v>0.45</v>
      </c>
      <c r="D5">
        <v>80</v>
      </c>
      <c r="E5">
        <v>2000</v>
      </c>
      <c r="F5">
        <v>1.5</v>
      </c>
      <c r="G5" s="1">
        <v>0.02</v>
      </c>
      <c r="H5" s="1"/>
      <c r="J5">
        <v>1000</v>
      </c>
      <c r="K5" s="1">
        <v>0.4</v>
      </c>
      <c r="L5">
        <f t="shared" si="2"/>
        <v>400</v>
      </c>
      <c r="M5" s="1">
        <v>0.1</v>
      </c>
      <c r="N5">
        <f t="shared" si="3"/>
        <v>40</v>
      </c>
      <c r="O5">
        <f t="shared" si="4"/>
        <v>360</v>
      </c>
      <c r="P5" s="17">
        <f t="shared" si="5"/>
        <v>0.36</v>
      </c>
      <c r="Q5" s="17"/>
      <c r="R5" s="87">
        <f>J5*B5*C5*8760/1000</f>
        <v>118260</v>
      </c>
      <c r="S5" s="64">
        <f t="shared" si="7"/>
        <v>47304</v>
      </c>
      <c r="T5" s="87">
        <f t="shared" si="0"/>
        <v>42573.599999999999</v>
      </c>
      <c r="U5">
        <f t="shared" si="8"/>
        <v>4730.3999999999996</v>
      </c>
      <c r="V5">
        <f t="shared" si="9"/>
        <v>1478.25</v>
      </c>
      <c r="W5">
        <f t="shared" si="10"/>
        <v>1200</v>
      </c>
      <c r="X5">
        <f t="shared" si="1"/>
        <v>720</v>
      </c>
      <c r="AB5" s="17">
        <f t="shared" si="11"/>
        <v>0.36</v>
      </c>
      <c r="AC5" s="88">
        <f>S5/SUM(U5:X5)</f>
        <v>5.8194165082762819</v>
      </c>
      <c r="AD5" s="88">
        <f>T5/SUM(V5:X5)</f>
        <v>12.528095343191348</v>
      </c>
    </row>
    <row r="6" spans="1:30">
      <c r="A6" t="s">
        <v>264</v>
      </c>
      <c r="B6">
        <v>30</v>
      </c>
      <c r="C6" s="1">
        <v>0.85</v>
      </c>
      <c r="D6">
        <v>80</v>
      </c>
      <c r="E6">
        <v>2000</v>
      </c>
      <c r="F6">
        <v>1.5</v>
      </c>
      <c r="G6" s="1">
        <v>0.02</v>
      </c>
      <c r="H6" s="1">
        <v>0.5</v>
      </c>
      <c r="J6">
        <v>1000</v>
      </c>
      <c r="K6" s="1">
        <v>0.35</v>
      </c>
      <c r="L6">
        <f t="shared" si="2"/>
        <v>350</v>
      </c>
      <c r="M6" s="1">
        <v>0.1</v>
      </c>
      <c r="N6">
        <f t="shared" si="3"/>
        <v>35</v>
      </c>
      <c r="O6">
        <f t="shared" si="4"/>
        <v>315</v>
      </c>
      <c r="P6" s="17">
        <f t="shared" si="5"/>
        <v>0.315</v>
      </c>
      <c r="Q6" s="17">
        <v>0.05</v>
      </c>
      <c r="R6" s="87">
        <f t="shared" si="6"/>
        <v>223380</v>
      </c>
      <c r="S6" s="64">
        <f t="shared" si="7"/>
        <v>78183</v>
      </c>
      <c r="T6" s="87">
        <f t="shared" si="0"/>
        <v>70364.7</v>
      </c>
      <c r="U6">
        <f t="shared" si="8"/>
        <v>7818.3</v>
      </c>
      <c r="V6">
        <f t="shared" si="9"/>
        <v>2792.25</v>
      </c>
      <c r="W6">
        <f t="shared" si="10"/>
        <v>1050</v>
      </c>
      <c r="X6">
        <f t="shared" si="1"/>
        <v>630</v>
      </c>
      <c r="Y6">
        <f>W6*H6</f>
        <v>525</v>
      </c>
      <c r="Z6">
        <f>W6*G6*B6*H6</f>
        <v>315</v>
      </c>
      <c r="AB6" s="17">
        <f t="shared" si="11"/>
        <v>0.315</v>
      </c>
      <c r="AC6" s="88">
        <f>S6/SUM(U6:Z6)</f>
        <v>5.9542821892456903</v>
      </c>
      <c r="AD6" s="88">
        <f>T6/SUM(V6:Z6)</f>
        <v>13.24574332909784</v>
      </c>
    </row>
    <row r="7" spans="1:30">
      <c r="A7" t="s">
        <v>268</v>
      </c>
      <c r="B7">
        <v>30</v>
      </c>
      <c r="C7" s="1">
        <v>0.85</v>
      </c>
      <c r="D7">
        <v>80</v>
      </c>
      <c r="E7">
        <v>2000</v>
      </c>
      <c r="F7">
        <v>1.5</v>
      </c>
      <c r="G7" s="1">
        <v>0.01</v>
      </c>
      <c r="H7" s="1"/>
      <c r="J7">
        <v>1000</v>
      </c>
      <c r="K7" s="1">
        <v>0.5</v>
      </c>
      <c r="L7">
        <f t="shared" si="2"/>
        <v>500</v>
      </c>
      <c r="M7" s="1">
        <v>0.05</v>
      </c>
      <c r="N7">
        <f t="shared" si="3"/>
        <v>25</v>
      </c>
      <c r="O7">
        <f t="shared" si="4"/>
        <v>475</v>
      </c>
      <c r="P7" s="17">
        <f t="shared" si="5"/>
        <v>0.47499999999999998</v>
      </c>
      <c r="Q7" s="17"/>
      <c r="R7" s="87">
        <f t="shared" si="6"/>
        <v>223380</v>
      </c>
      <c r="S7" s="64">
        <f t="shared" si="7"/>
        <v>111690</v>
      </c>
      <c r="T7" s="87">
        <f t="shared" si="0"/>
        <v>106105.5</v>
      </c>
      <c r="U7">
        <f t="shared" si="8"/>
        <v>5584.5</v>
      </c>
      <c r="V7">
        <f t="shared" si="9"/>
        <v>2792.25</v>
      </c>
      <c r="W7">
        <f t="shared" si="10"/>
        <v>1500</v>
      </c>
      <c r="X7">
        <f t="shared" si="1"/>
        <v>450</v>
      </c>
      <c r="AB7" s="17">
        <f t="shared" si="11"/>
        <v>0.47499999999999998</v>
      </c>
      <c r="AC7" s="88">
        <f>S7/SUM(U7:X7)</f>
        <v>10.815600261456895</v>
      </c>
      <c r="AD7" s="88">
        <f>T7/SUM(V7:X7)</f>
        <v>22.37450577257631</v>
      </c>
    </row>
    <row r="8" spans="1:30">
      <c r="B8">
        <v>30</v>
      </c>
      <c r="C8" s="1">
        <v>0.85</v>
      </c>
      <c r="D8">
        <v>80</v>
      </c>
      <c r="E8">
        <v>2000</v>
      </c>
      <c r="F8">
        <v>1.5</v>
      </c>
      <c r="G8" s="1">
        <v>0.02</v>
      </c>
      <c r="H8" s="1"/>
      <c r="J8">
        <v>1000</v>
      </c>
      <c r="K8" s="1">
        <v>0.4</v>
      </c>
      <c r="L8">
        <f t="shared" si="2"/>
        <v>400</v>
      </c>
      <c r="M8" s="1">
        <v>0.1</v>
      </c>
      <c r="N8">
        <f t="shared" si="3"/>
        <v>40</v>
      </c>
      <c r="O8">
        <f t="shared" si="4"/>
        <v>360</v>
      </c>
      <c r="P8" s="17">
        <f t="shared" si="5"/>
        <v>0.36</v>
      </c>
      <c r="Q8" s="17"/>
      <c r="R8" s="87">
        <f t="shared" si="6"/>
        <v>223380</v>
      </c>
      <c r="S8" s="64">
        <f t="shared" si="7"/>
        <v>89352</v>
      </c>
      <c r="T8" s="87">
        <f t="shared" si="0"/>
        <v>80416.800000000003</v>
      </c>
      <c r="U8">
        <f t="shared" si="8"/>
        <v>8935.2000000000007</v>
      </c>
      <c r="V8">
        <f t="shared" si="9"/>
        <v>2792.25</v>
      </c>
      <c r="W8">
        <f t="shared" si="10"/>
        <v>1200</v>
      </c>
      <c r="X8">
        <f t="shared" si="1"/>
        <v>720</v>
      </c>
      <c r="AB8" s="17">
        <f t="shared" si="11"/>
        <v>0.36</v>
      </c>
      <c r="AC8" s="88">
        <f>S8/SUM(U8:X8)</f>
        <v>6.5471571612279211</v>
      </c>
      <c r="AD8" s="88">
        <f>T8/SUM(V8:X8)</f>
        <v>17.065478274709534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CTLcalc</vt:lpstr>
      <vt:lpstr>COAL and NG calcs</vt:lpstr>
      <vt:lpstr>Projections</vt:lpstr>
      <vt:lpstr>MasdarCCS</vt:lpstr>
      <vt:lpstr>REstorageLCOE</vt:lpstr>
      <vt:lpstr>Storagefraction</vt:lpstr>
      <vt:lpstr>EROIvsEff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Denes</cp:lastModifiedBy>
  <dcterms:created xsi:type="dcterms:W3CDTF">2016-11-06T12:10:35Z</dcterms:created>
  <dcterms:modified xsi:type="dcterms:W3CDTF">2018-02-19T23:14:36Z</dcterms:modified>
</cp:coreProperties>
</file>