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天然橡胶(RU)" sheetId="1" r:id="rId1"/>
  </sheets>
  <calcPr calcId="152511"/>
</workbook>
</file>

<file path=xl/calcChain.xml><?xml version="1.0" encoding="utf-8"?>
<calcChain xmlns="http://schemas.openxmlformats.org/spreadsheetml/2006/main">
  <c r="C42" i="1" l="1"/>
  <c r="H33" i="1" s="1"/>
  <c r="C8" i="1"/>
  <c r="H10" i="1" s="1"/>
  <c r="I10" i="1" s="1"/>
  <c r="H13" i="1"/>
  <c r="H12" i="1"/>
  <c r="H11" i="1"/>
  <c r="H9" i="1"/>
  <c r="H8" i="1"/>
  <c r="H7" i="1"/>
  <c r="H6" i="1"/>
  <c r="H5" i="1"/>
  <c r="H4" i="1"/>
  <c r="I15" i="1"/>
  <c r="I36" i="1"/>
  <c r="I4" i="1"/>
  <c r="I5" i="1"/>
  <c r="I6" i="1"/>
  <c r="I7" i="1"/>
  <c r="I8" i="1"/>
  <c r="I9" i="1"/>
  <c r="I11" i="1"/>
  <c r="G13" i="1"/>
  <c r="H34" i="1"/>
  <c r="G34" i="1"/>
  <c r="H32" i="1"/>
  <c r="I32" i="1" s="1"/>
  <c r="H30" i="1"/>
  <c r="I30" i="1" s="1"/>
  <c r="H29" i="1"/>
  <c r="I29" i="1" s="1"/>
  <c r="H28" i="1"/>
  <c r="I28" i="1" s="1"/>
  <c r="H27" i="1"/>
  <c r="I27" i="1" s="1"/>
  <c r="H26" i="1"/>
  <c r="H25" i="1"/>
  <c r="G25" i="1"/>
  <c r="G26" i="1"/>
  <c r="H31" i="1" l="1"/>
  <c r="I31" i="1" s="1"/>
  <c r="G33" i="1"/>
  <c r="I33" i="1" s="1"/>
  <c r="I13" i="1"/>
  <c r="I34" i="1"/>
  <c r="G12" i="1"/>
  <c r="I26" i="1"/>
  <c r="I25" i="1"/>
  <c r="I35" i="1" l="1"/>
  <c r="I37" i="1" s="1"/>
  <c r="I12" i="1"/>
  <c r="I14" i="1" s="1"/>
  <c r="I16" i="1" s="1"/>
</calcChain>
</file>

<file path=xl/sharedStrings.xml><?xml version="1.0" encoding="utf-8"?>
<sst xmlns="http://schemas.openxmlformats.org/spreadsheetml/2006/main" count="116" uniqueCount="64">
  <si>
    <t>项目</t>
    <phoneticPr fontId="1" type="noConversion"/>
  </si>
  <si>
    <t>数值</t>
    <phoneticPr fontId="1" type="noConversion"/>
  </si>
  <si>
    <t>保证金比例</t>
    <phoneticPr fontId="1" type="noConversion"/>
  </si>
  <si>
    <t>到期期限</t>
    <phoneticPr fontId="1" type="noConversion"/>
  </si>
  <si>
    <t>交割手续费</t>
    <phoneticPr fontId="1" type="noConversion"/>
  </si>
  <si>
    <t>入库费</t>
    <phoneticPr fontId="1" type="noConversion"/>
  </si>
  <si>
    <t>出库费</t>
    <phoneticPr fontId="1" type="noConversion"/>
  </si>
  <si>
    <t>取样检验费</t>
    <phoneticPr fontId="1" type="noConversion"/>
  </si>
  <si>
    <t>仓单打印费</t>
    <phoneticPr fontId="1" type="noConversion"/>
  </si>
  <si>
    <t>仓储费</t>
    <phoneticPr fontId="1" type="noConversion"/>
  </si>
  <si>
    <t>单位</t>
    <phoneticPr fontId="1" type="noConversion"/>
  </si>
  <si>
    <t>过户费</t>
    <phoneticPr fontId="1" type="noConversion"/>
  </si>
  <si>
    <t>资金成本</t>
    <phoneticPr fontId="1" type="noConversion"/>
  </si>
  <si>
    <t>增值税</t>
    <phoneticPr fontId="1" type="noConversion"/>
  </si>
  <si>
    <t>交易手续费</t>
    <phoneticPr fontId="1" type="noConversion"/>
  </si>
  <si>
    <t>交割手续费</t>
    <phoneticPr fontId="1" type="noConversion"/>
  </si>
  <si>
    <t>入库费</t>
    <phoneticPr fontId="1" type="noConversion"/>
  </si>
  <si>
    <t>出库费</t>
    <phoneticPr fontId="1" type="noConversion"/>
  </si>
  <si>
    <t>取样检验费</t>
    <phoneticPr fontId="1" type="noConversion"/>
  </si>
  <si>
    <t>仓单打印费</t>
    <phoneticPr fontId="1" type="noConversion"/>
  </si>
  <si>
    <t>仓储费</t>
    <phoneticPr fontId="1" type="noConversion"/>
  </si>
  <si>
    <t>过户费</t>
    <phoneticPr fontId="1" type="noConversion"/>
  </si>
  <si>
    <t>资金成本</t>
    <phoneticPr fontId="1" type="noConversion"/>
  </si>
  <si>
    <t>合计</t>
    <phoneticPr fontId="1" type="noConversion"/>
  </si>
  <si>
    <t>跨期套利持仓成本测算表</t>
    <phoneticPr fontId="1" type="noConversion"/>
  </si>
  <si>
    <t>RU1901</t>
    <phoneticPr fontId="1" type="noConversion"/>
  </si>
  <si>
    <t>RU1905</t>
    <phoneticPr fontId="1" type="noConversion"/>
  </si>
  <si>
    <t>%</t>
    <phoneticPr fontId="1" type="noConversion"/>
  </si>
  <si>
    <t>%</t>
    <phoneticPr fontId="1" type="noConversion"/>
  </si>
  <si>
    <t>交易手续费率(单边)</t>
    <phoneticPr fontId="1" type="noConversion"/>
  </si>
  <si>
    <t>元/吨</t>
    <phoneticPr fontId="1" type="noConversion"/>
  </si>
  <si>
    <t>元/吨</t>
    <phoneticPr fontId="1" type="noConversion"/>
  </si>
  <si>
    <t>元/吨</t>
    <phoneticPr fontId="1" type="noConversion"/>
  </si>
  <si>
    <t>元/张仓单</t>
    <phoneticPr fontId="1" type="noConversion"/>
  </si>
  <si>
    <t>仓单货物量</t>
    <phoneticPr fontId="1" type="noConversion"/>
  </si>
  <si>
    <t>元/(吨*天)</t>
    <phoneticPr fontId="1" type="noConversion"/>
  </si>
  <si>
    <t>交易单位</t>
    <phoneticPr fontId="1" type="noConversion"/>
  </si>
  <si>
    <t>吨/手</t>
    <phoneticPr fontId="1" type="noConversion"/>
  </si>
  <si>
    <t>增值税率</t>
    <phoneticPr fontId="1" type="noConversion"/>
  </si>
  <si>
    <t>吨/张仓单</t>
    <phoneticPr fontId="1" type="noConversion"/>
  </si>
  <si>
    <t>跨期期限</t>
    <phoneticPr fontId="1" type="noConversion"/>
  </si>
  <si>
    <t>天</t>
    <phoneticPr fontId="1" type="noConversion"/>
  </si>
  <si>
    <t>%/360天</t>
    <phoneticPr fontId="1" type="noConversion"/>
  </si>
  <si>
    <t>合计持仓成本</t>
    <phoneticPr fontId="1" type="noConversion"/>
  </si>
  <si>
    <t>交割日期</t>
    <phoneticPr fontId="1" type="noConversion"/>
  </si>
  <si>
    <t>现货</t>
    <phoneticPr fontId="1" type="noConversion"/>
  </si>
  <si>
    <t>期货</t>
    <phoneticPr fontId="1" type="noConversion"/>
  </si>
  <si>
    <t>天</t>
    <phoneticPr fontId="1" type="noConversion"/>
  </si>
  <si>
    <t>RU1909</t>
    <phoneticPr fontId="1" type="noConversion"/>
  </si>
  <si>
    <t>日期</t>
    <phoneticPr fontId="1" type="noConversion"/>
  </si>
  <si>
    <t>现货</t>
    <phoneticPr fontId="1" type="noConversion"/>
  </si>
  <si>
    <t>跨期套利基础数据表</t>
    <phoneticPr fontId="1" type="noConversion"/>
  </si>
  <si>
    <t>RU1909</t>
    <phoneticPr fontId="1" type="noConversion"/>
  </si>
  <si>
    <t>价差</t>
    <phoneticPr fontId="1" type="noConversion"/>
  </si>
  <si>
    <t>基差</t>
    <phoneticPr fontId="1" type="noConversion"/>
  </si>
  <si>
    <t>套利机会</t>
    <phoneticPr fontId="1" type="noConversion"/>
  </si>
  <si>
    <t>交易日期</t>
    <phoneticPr fontId="1" type="noConversion"/>
  </si>
  <si>
    <t>日期</t>
    <phoneticPr fontId="1" type="noConversion"/>
  </si>
  <si>
    <t>近月交割日</t>
    <phoneticPr fontId="1" type="noConversion"/>
  </si>
  <si>
    <t>远月交割日</t>
    <phoneticPr fontId="1" type="noConversion"/>
  </si>
  <si>
    <t>期现套利基础数据表</t>
    <phoneticPr fontId="1" type="noConversion"/>
  </si>
  <si>
    <t>期现套利持仓成本测算表</t>
    <phoneticPr fontId="1" type="noConversion"/>
  </si>
  <si>
    <t>套利机会</t>
    <phoneticPr fontId="1" type="noConversion"/>
  </si>
  <si>
    <t>RU1911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</si>
</sst>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657225</xdr:colOff>
      <xdr:row>1</xdr:row>
      <xdr:rowOff>161925</xdr:rowOff>
    </xdr:from>
    <xdr:ext cx="7204102" cy="5112000"/>
    <xdr:sp macro="" textlink="">
      <xdr:nvSpPr>
        <xdr:cNvPr id="2" name="文本框 1"/>
        <xdr:cNvSpPr txBox="1"/>
      </xdr:nvSpPr>
      <xdr:spPr>
        <a:xfrm>
          <a:off x="9725025" y="333375"/>
          <a:ext cx="7204102" cy="51120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交易手续费：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沪胶交易是双边收费，开仓收一次，平仓再收一次。注意：交易所对跨期套利只是存在保证金的优惠，即只收单边保证金，然而对手续费并不优惠，所以买入的合约和卖出的合约在开仓和平仓的时候都要交手续费。理论上每个合约开仓价和平仓价是不同的，所以交易手续费是不同的。然而平仓价无法确定，所以这里只是利用开仓价的计算结果乘以 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得到近似的手续费，和实际手续费会有一点差别。</a:t>
          </a:r>
          <a:endParaRPr lang="en-US" altLang="zh-CN" sz="11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交割手续费：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交易所规定交割手续费是双方分别缴纳，所以对于跨期套利，近月合约接货缴纳一次，远月合约出货又要缴纳一次。</a:t>
          </a:r>
        </a:p>
        <a:p>
          <a:endParaRPr lang="en-US" altLang="zh-CN" sz="11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入</a:t>
          </a:r>
          <a:r>
            <a:rPr lang="en-US" altLang="zh-C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CN" alt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出库费：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根据上期所的规定，卖空的合约由于需要备货交割，因此需要入库和出库。</a:t>
          </a:r>
          <a:endParaRPr lang="en-US" altLang="zh-CN" sz="1100" b="1"/>
        </a:p>
        <a:p>
          <a:endParaRPr lang="en-US" altLang="zh-CN" sz="1100" b="1"/>
        </a:p>
        <a:p>
          <a:r>
            <a:rPr lang="zh-CN" altLang="en-US" sz="1100" b="1"/>
            <a:t>过户费：</a:t>
          </a:r>
          <a:r>
            <a:rPr lang="zh-CN" altLang="en-US" sz="1100" b="0"/>
            <a:t>货物在交割之后，所有权进行转移，需要办理过户手续。</a:t>
          </a:r>
          <a:endParaRPr lang="en-US" altLang="zh-CN" sz="1100" b="0"/>
        </a:p>
        <a:p>
          <a:endParaRPr lang="en-US" altLang="zh-CN" sz="1100" b="1"/>
        </a:p>
        <a:p>
          <a:r>
            <a:rPr lang="zh-CN" altLang="en-US" sz="1100" b="1"/>
            <a:t>仓储费：</a:t>
          </a:r>
          <a:r>
            <a:rPr lang="zh-CN" altLang="en-US" sz="1100" b="0"/>
            <a:t>准备交割的货物放在交易所制定仓库，需要交纳一定的仓储费用。</a:t>
          </a:r>
          <a:endParaRPr lang="en-US" altLang="zh-CN" sz="1100" b="0"/>
        </a:p>
        <a:p>
          <a:endParaRPr lang="en-US" altLang="zh-CN" sz="1100" b="0"/>
        </a:p>
        <a:p>
          <a:r>
            <a:rPr lang="zh-CN" altLang="en-US" sz="1100" b="1"/>
            <a:t>取样检验费：</a:t>
          </a:r>
          <a:r>
            <a:rPr lang="zh-CN" altLang="en-US" sz="1100" b="0"/>
            <a:t>并不是所有货物都符合交割标准，所以交易所需要对卖方提供的货物进行取样检验。</a:t>
          </a:r>
          <a:endParaRPr lang="en-US" altLang="zh-CN" sz="1100" b="0"/>
        </a:p>
        <a:p>
          <a:endParaRPr lang="en-US" altLang="zh-CN" sz="1100" b="1"/>
        </a:p>
        <a:p>
          <a:r>
            <a:rPr lang="zh-CN" altLang="en-US" sz="1100" b="1"/>
            <a:t>增值税：</a:t>
          </a:r>
          <a:r>
            <a:rPr lang="zh-CN" altLang="en-US" sz="1100"/>
            <a:t>交割的过程本质上就是一笔现货交易，所以涉及到增值税的问题。进口烟片胶的增值税是 </a:t>
          </a:r>
          <a:r>
            <a:rPr lang="en-US" altLang="zh-CN" sz="1100"/>
            <a:t>17%</a:t>
          </a:r>
          <a:r>
            <a:rPr lang="zh-CN" altLang="en-US" sz="1100"/>
            <a:t>，国产全乳胶的增值税是 </a:t>
          </a:r>
          <a:r>
            <a:rPr lang="en-US" altLang="zh-CN" sz="1100"/>
            <a:t>13%</a:t>
          </a:r>
          <a:r>
            <a:rPr lang="zh-CN" altLang="en-US" sz="1100"/>
            <a:t>，目前上期所交割的全是国产全乳胶，所以增值税按照 </a:t>
          </a:r>
          <a:r>
            <a:rPr lang="en-US" altLang="zh-CN" sz="1100"/>
            <a:t>13% </a:t>
          </a:r>
          <a:r>
            <a:rPr lang="zh-CN" altLang="en-US" sz="1100"/>
            <a:t>进行计算。由于近月合约是交割接货，有一部分进项税可以抵扣，所以最终缴纳的增值税是卖货交割的销项税减去买货交割的进项税：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增值税 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CN" alt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卖出交割结算价 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买入交割结算价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altLang="zh-CN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 13% / (1+13%)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。注意：严格来说增值税是最终两次交割的结算价进行计算，但这两个价格事先是无法确定的，所以</a:t>
          </a:r>
          <a:r>
            <a:rPr lang="zh-CN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这里使用的是期货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当天</a:t>
          </a:r>
          <a:r>
            <a:rPr lang="zh-CN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价格来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近似</a:t>
          </a:r>
          <a:r>
            <a:rPr lang="zh-CN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计算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资金成本：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如果做跨期套利，上期所自动形成标准化合约，交单边保证金即可，以价格高的合约为准。交易所最低收取 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9%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的保证金，期货公司会加一定的比例。</a:t>
          </a:r>
          <a:endParaRPr lang="en-US" altLang="zh-CN" sz="11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升贴水问题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。由于不同地区的运输成本是不一样的，所以沪胶在交割的时候存在一定的升贴水设置。例如海南贴水 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210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吨，云南贴水 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480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吨，最终交割买入的价格就是交割结算价减去贴水的幅度。卖出也是同样的道理。</a:t>
          </a:r>
          <a:endParaRPr lang="en-US" altLang="zh-C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仓单有效期：</a:t>
          </a:r>
          <a:r>
            <a:rPr lang="zh-CN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有时候交割接的货无法进行转抛，这导致价差可能远远超过持仓成本，例如沪胶的 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09-01 </a:t>
          </a:r>
          <a:r>
            <a:rPr lang="zh-CN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套利，基本上价差都非常大，远超过持仓成本，这是因为 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09 </a:t>
          </a:r>
          <a:r>
            <a:rPr lang="zh-CN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合约交割得到的沪胶，最多只能在 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 </a:t>
          </a:r>
          <a:r>
            <a:rPr lang="zh-CN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合约进行转抛，无法跨年到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01 </a:t>
          </a:r>
          <a:r>
            <a:rPr lang="zh-CN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合约进行转抛。</a:t>
          </a:r>
          <a:endParaRPr lang="zh-CN" altLang="zh-CN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tabSelected="1" topLeftCell="B1" workbookViewId="0">
      <selection activeCell="M35" sqref="M35"/>
    </sheetView>
  </sheetViews>
  <sheetFormatPr defaultRowHeight="13.5" x14ac:dyDescent="0.15"/>
  <cols>
    <col min="2" max="2" width="19.375" bestFit="1" customWidth="1"/>
    <col min="3" max="3" width="11.625" bestFit="1" customWidth="1"/>
    <col min="4" max="4" width="11.25" bestFit="1" customWidth="1"/>
    <col min="6" max="6" width="23.5" bestFit="1" customWidth="1"/>
    <col min="7" max="7" width="12.875" bestFit="1" customWidth="1"/>
    <col min="8" max="8" width="9.5" bestFit="1" customWidth="1"/>
    <col min="9" max="9" width="12.875" bestFit="1" customWidth="1"/>
  </cols>
  <sheetData>
    <row r="2" spans="2:9" ht="14.25" thickBot="1" x14ac:dyDescent="0.2">
      <c r="B2" s="10" t="s">
        <v>60</v>
      </c>
      <c r="C2" s="10"/>
      <c r="D2" s="10"/>
      <c r="F2" s="4" t="s">
        <v>61</v>
      </c>
      <c r="G2" s="4"/>
      <c r="H2" s="4"/>
      <c r="I2" s="4"/>
    </row>
    <row r="3" spans="2:9" ht="15" thickTop="1" thickBot="1" x14ac:dyDescent="0.2">
      <c r="B3" s="7" t="s">
        <v>0</v>
      </c>
      <c r="C3" s="7" t="s">
        <v>1</v>
      </c>
      <c r="D3" s="7" t="s">
        <v>10</v>
      </c>
      <c r="F3" s="7" t="s">
        <v>0</v>
      </c>
      <c r="G3" s="7" t="s">
        <v>45</v>
      </c>
      <c r="H3" s="7" t="s">
        <v>46</v>
      </c>
      <c r="I3" s="7" t="s">
        <v>23</v>
      </c>
    </row>
    <row r="4" spans="2:9" x14ac:dyDescent="0.15">
      <c r="B4" s="5" t="s">
        <v>50</v>
      </c>
      <c r="C4" s="5">
        <v>12020</v>
      </c>
      <c r="D4" s="5" t="s">
        <v>30</v>
      </c>
      <c r="F4" s="1" t="s">
        <v>14</v>
      </c>
      <c r="G4" s="6">
        <v>0</v>
      </c>
      <c r="H4" s="6">
        <f>C5*C9*C11/100</f>
        <v>0.56114999999999993</v>
      </c>
      <c r="I4" s="6">
        <f>G4+H4</f>
        <v>0.56114999999999993</v>
      </c>
    </row>
    <row r="5" spans="2:9" x14ac:dyDescent="0.15">
      <c r="B5" s="1" t="s">
        <v>48</v>
      </c>
      <c r="C5" s="1">
        <v>12470</v>
      </c>
      <c r="D5" s="1" t="s">
        <v>32</v>
      </c>
      <c r="F5" s="1" t="s">
        <v>15</v>
      </c>
      <c r="G5" s="6">
        <v>0</v>
      </c>
      <c r="H5" s="6">
        <f>C12*C9</f>
        <v>4</v>
      </c>
      <c r="I5" s="6">
        <f>G5+H5</f>
        <v>4</v>
      </c>
    </row>
    <row r="6" spans="2:9" x14ac:dyDescent="0.15">
      <c r="B6" s="1" t="s">
        <v>44</v>
      </c>
      <c r="C6" s="2">
        <v>43725</v>
      </c>
      <c r="D6" s="1" t="s">
        <v>49</v>
      </c>
      <c r="F6" s="1" t="s">
        <v>16</v>
      </c>
      <c r="G6" s="6">
        <v>0</v>
      </c>
      <c r="H6" s="6">
        <f>C13*C9</f>
        <v>30</v>
      </c>
      <c r="I6" s="6">
        <f>G6+H6</f>
        <v>30</v>
      </c>
    </row>
    <row r="7" spans="2:9" x14ac:dyDescent="0.15">
      <c r="B7" s="1" t="s">
        <v>56</v>
      </c>
      <c r="C7" s="2">
        <v>43627</v>
      </c>
      <c r="D7" s="1" t="s">
        <v>57</v>
      </c>
      <c r="F7" s="1" t="s">
        <v>17</v>
      </c>
      <c r="G7" s="6">
        <v>0</v>
      </c>
      <c r="H7" s="6">
        <f>C14*C9</f>
        <v>30</v>
      </c>
      <c r="I7" s="6">
        <f>G7+H7</f>
        <v>30</v>
      </c>
    </row>
    <row r="8" spans="2:9" x14ac:dyDescent="0.15">
      <c r="B8" s="1" t="s">
        <v>3</v>
      </c>
      <c r="C8" s="3">
        <f>_xlfn.DAYS(C6, C7)</f>
        <v>98</v>
      </c>
      <c r="D8" s="1" t="s">
        <v>47</v>
      </c>
      <c r="F8" s="1" t="s">
        <v>18</v>
      </c>
      <c r="G8" s="6">
        <v>0</v>
      </c>
      <c r="H8" s="6">
        <f>C15*C9</f>
        <v>6</v>
      </c>
      <c r="I8" s="6">
        <f>G8+H8</f>
        <v>6</v>
      </c>
    </row>
    <row r="9" spans="2:9" x14ac:dyDescent="0.15">
      <c r="B9" s="1" t="s">
        <v>36</v>
      </c>
      <c r="C9" s="1">
        <v>1</v>
      </c>
      <c r="D9" s="1" t="s">
        <v>37</v>
      </c>
      <c r="F9" s="1" t="s">
        <v>19</v>
      </c>
      <c r="G9" s="6">
        <v>0</v>
      </c>
      <c r="H9" s="6">
        <f>C9/C17*C16</f>
        <v>10</v>
      </c>
      <c r="I9" s="6">
        <f>G9+H9</f>
        <v>10</v>
      </c>
    </row>
    <row r="10" spans="2:9" x14ac:dyDescent="0.15">
      <c r="B10" s="1" t="s">
        <v>2</v>
      </c>
      <c r="C10" s="1">
        <v>9</v>
      </c>
      <c r="D10" s="1" t="s">
        <v>27</v>
      </c>
      <c r="F10" s="1" t="s">
        <v>20</v>
      </c>
      <c r="G10" s="6">
        <v>0</v>
      </c>
      <c r="H10" s="6">
        <f>C18*C9*C8</f>
        <v>127.4</v>
      </c>
      <c r="I10" s="6">
        <f>G10+H10</f>
        <v>127.4</v>
      </c>
    </row>
    <row r="11" spans="2:9" x14ac:dyDescent="0.15">
      <c r="B11" s="1" t="s">
        <v>29</v>
      </c>
      <c r="C11" s="1">
        <v>4.4999999999999997E-3</v>
      </c>
      <c r="D11" s="1" t="s">
        <v>28</v>
      </c>
      <c r="F11" s="1" t="s">
        <v>21</v>
      </c>
      <c r="G11" s="6">
        <v>0</v>
      </c>
      <c r="H11" s="6">
        <f>C19*C9*1</f>
        <v>1</v>
      </c>
      <c r="I11" s="6">
        <f>G11+H11</f>
        <v>1</v>
      </c>
    </row>
    <row r="12" spans="2:9" x14ac:dyDescent="0.15">
      <c r="B12" s="1" t="s">
        <v>4</v>
      </c>
      <c r="C12" s="1">
        <v>4</v>
      </c>
      <c r="D12" s="1" t="s">
        <v>30</v>
      </c>
      <c r="F12" s="1" t="s">
        <v>22</v>
      </c>
      <c r="G12" s="6">
        <f>C4*C9*C20/100*C8/360</f>
        <v>196.32666666666668</v>
      </c>
      <c r="H12" s="6">
        <f>C5*C9*C10/100*C20/100*C8/360</f>
        <v>18.3309</v>
      </c>
      <c r="I12" s="6">
        <f>MAX(G12:H12)</f>
        <v>196.32666666666668</v>
      </c>
    </row>
    <row r="13" spans="2:9" ht="14.25" thickBot="1" x14ac:dyDescent="0.2">
      <c r="B13" s="1" t="s">
        <v>5</v>
      </c>
      <c r="C13" s="1">
        <v>30</v>
      </c>
      <c r="D13" s="1" t="s">
        <v>31</v>
      </c>
      <c r="F13" s="1" t="s">
        <v>13</v>
      </c>
      <c r="G13" s="6">
        <f>C4*C9*C21/100/(1+C21/100)</f>
        <v>1382.8318584070796</v>
      </c>
      <c r="H13" s="6">
        <f>C5*C9*C21/100/(1+C21/100)</f>
        <v>1434.6017699115046</v>
      </c>
      <c r="I13" s="6">
        <f>H13-G13</f>
        <v>51.769911504424954</v>
      </c>
    </row>
    <row r="14" spans="2:9" x14ac:dyDescent="0.15">
      <c r="B14" s="1" t="s">
        <v>6</v>
      </c>
      <c r="C14" s="1">
        <v>30</v>
      </c>
      <c r="D14" s="1" t="s">
        <v>31</v>
      </c>
      <c r="F14" s="5" t="s">
        <v>43</v>
      </c>
      <c r="G14" s="5"/>
      <c r="H14" s="5"/>
      <c r="I14" s="8">
        <f>SUM(I4:I13)</f>
        <v>457.05772817109164</v>
      </c>
    </row>
    <row r="15" spans="2:9" x14ac:dyDescent="0.15">
      <c r="B15" s="1" t="s">
        <v>7</v>
      </c>
      <c r="C15" s="1">
        <v>6</v>
      </c>
      <c r="D15" s="1" t="s">
        <v>32</v>
      </c>
      <c r="F15" s="1" t="s">
        <v>54</v>
      </c>
      <c r="G15" s="1"/>
      <c r="H15" s="1"/>
      <c r="I15" s="6">
        <f>C4-C5</f>
        <v>-450</v>
      </c>
    </row>
    <row r="16" spans="2:9" ht="14.25" thickBot="1" x14ac:dyDescent="0.2">
      <c r="B16" s="1" t="s">
        <v>8</v>
      </c>
      <c r="C16" s="1">
        <v>100</v>
      </c>
      <c r="D16" s="1" t="s">
        <v>33</v>
      </c>
      <c r="F16" s="9" t="s">
        <v>55</v>
      </c>
      <c r="G16" s="9"/>
      <c r="H16" s="9"/>
      <c r="I16" s="9" t="b">
        <f>(-I15&gt;I14)</f>
        <v>0</v>
      </c>
    </row>
    <row r="17" spans="2:9" ht="14.25" thickTop="1" x14ac:dyDescent="0.15">
      <c r="B17" s="1" t="s">
        <v>34</v>
      </c>
      <c r="C17" s="1">
        <v>10</v>
      </c>
      <c r="D17" s="1" t="s">
        <v>39</v>
      </c>
    </row>
    <row r="18" spans="2:9" x14ac:dyDescent="0.15">
      <c r="B18" s="1" t="s">
        <v>9</v>
      </c>
      <c r="C18" s="1">
        <v>1.3</v>
      </c>
      <c r="D18" s="1" t="s">
        <v>35</v>
      </c>
    </row>
    <row r="19" spans="2:9" x14ac:dyDescent="0.15">
      <c r="B19" s="1" t="s">
        <v>11</v>
      </c>
      <c r="C19" s="1">
        <v>1</v>
      </c>
      <c r="D19" s="1" t="s">
        <v>31</v>
      </c>
    </row>
    <row r="20" spans="2:9" x14ac:dyDescent="0.15">
      <c r="B20" s="1" t="s">
        <v>12</v>
      </c>
      <c r="C20" s="1">
        <v>6</v>
      </c>
      <c r="D20" s="1" t="s">
        <v>42</v>
      </c>
    </row>
    <row r="21" spans="2:9" ht="14.25" thickBot="1" x14ac:dyDescent="0.2">
      <c r="B21" s="9" t="s">
        <v>38</v>
      </c>
      <c r="C21" s="9">
        <v>13</v>
      </c>
      <c r="D21" s="9" t="s">
        <v>27</v>
      </c>
    </row>
    <row r="22" spans="2:9" ht="14.25" thickTop="1" x14ac:dyDescent="0.15"/>
    <row r="23" spans="2:9" ht="14.25" thickBot="1" x14ac:dyDescent="0.2">
      <c r="B23" s="10" t="s">
        <v>51</v>
      </c>
      <c r="C23" s="10"/>
      <c r="D23" s="10"/>
      <c r="F23" s="4" t="s">
        <v>24</v>
      </c>
      <c r="G23" s="4"/>
      <c r="H23" s="4"/>
      <c r="I23" s="4"/>
    </row>
    <row r="24" spans="2:9" ht="15" thickTop="1" thickBot="1" x14ac:dyDescent="0.2">
      <c r="B24" s="7" t="s">
        <v>0</v>
      </c>
      <c r="C24" s="7" t="s">
        <v>1</v>
      </c>
      <c r="D24" s="7" t="s">
        <v>10</v>
      </c>
      <c r="F24" s="7" t="s">
        <v>0</v>
      </c>
      <c r="G24" s="7" t="s">
        <v>25</v>
      </c>
      <c r="H24" s="7" t="s">
        <v>26</v>
      </c>
      <c r="I24" s="7" t="s">
        <v>23</v>
      </c>
    </row>
    <row r="25" spans="2:9" x14ac:dyDescent="0.15">
      <c r="B25" s="1" t="s">
        <v>52</v>
      </c>
      <c r="C25" s="1">
        <v>12190</v>
      </c>
      <c r="D25" s="1" t="s">
        <v>32</v>
      </c>
      <c r="F25" s="1" t="s">
        <v>14</v>
      </c>
      <c r="G25" s="6">
        <f>C25*C27*C29/100*2</f>
        <v>1.0971</v>
      </c>
      <c r="H25" s="6">
        <f>C26*C27*C29/100*2</f>
        <v>1.1083499999999999</v>
      </c>
      <c r="I25" s="6">
        <f>G25+H25</f>
        <v>2.2054499999999999</v>
      </c>
    </row>
    <row r="26" spans="2:9" x14ac:dyDescent="0.15">
      <c r="B26" s="1" t="s">
        <v>63</v>
      </c>
      <c r="C26" s="1">
        <v>12315</v>
      </c>
      <c r="D26" s="1" t="s">
        <v>31</v>
      </c>
      <c r="F26" s="1" t="s">
        <v>15</v>
      </c>
      <c r="G26" s="6">
        <f>C30*C27</f>
        <v>4</v>
      </c>
      <c r="H26" s="6">
        <f>C30*C27</f>
        <v>4</v>
      </c>
      <c r="I26" s="6">
        <f>G26+H26</f>
        <v>8</v>
      </c>
    </row>
    <row r="27" spans="2:9" x14ac:dyDescent="0.15">
      <c r="B27" s="1" t="s">
        <v>36</v>
      </c>
      <c r="C27" s="1">
        <v>1</v>
      </c>
      <c r="D27" s="1" t="s">
        <v>37</v>
      </c>
      <c r="F27" s="1" t="s">
        <v>16</v>
      </c>
      <c r="G27" s="6">
        <v>0</v>
      </c>
      <c r="H27" s="6">
        <f>C31*C27</f>
        <v>30</v>
      </c>
      <c r="I27" s="6">
        <f>G27+H27</f>
        <v>30</v>
      </c>
    </row>
    <row r="28" spans="2:9" x14ac:dyDescent="0.15">
      <c r="B28" s="1" t="s">
        <v>2</v>
      </c>
      <c r="C28" s="1">
        <v>9</v>
      </c>
      <c r="D28" s="1" t="s">
        <v>27</v>
      </c>
      <c r="F28" s="1" t="s">
        <v>17</v>
      </c>
      <c r="G28" s="6">
        <v>0</v>
      </c>
      <c r="H28" s="6">
        <f>C32*C27</f>
        <v>30</v>
      </c>
      <c r="I28" s="6">
        <f>G28+H28</f>
        <v>30</v>
      </c>
    </row>
    <row r="29" spans="2:9" x14ac:dyDescent="0.15">
      <c r="B29" s="1" t="s">
        <v>29</v>
      </c>
      <c r="C29" s="1">
        <v>4.4999999999999997E-3</v>
      </c>
      <c r="D29" s="1" t="s">
        <v>28</v>
      </c>
      <c r="F29" s="1" t="s">
        <v>18</v>
      </c>
      <c r="G29" s="6">
        <v>0</v>
      </c>
      <c r="H29" s="6">
        <f>C33*C27</f>
        <v>6</v>
      </c>
      <c r="I29" s="6">
        <f t="shared" ref="I29:I32" si="0">G29+H29</f>
        <v>6</v>
      </c>
    </row>
    <row r="30" spans="2:9" x14ac:dyDescent="0.15">
      <c r="B30" s="1" t="s">
        <v>4</v>
      </c>
      <c r="C30" s="1">
        <v>4</v>
      </c>
      <c r="D30" s="1" t="s">
        <v>30</v>
      </c>
      <c r="F30" s="1" t="s">
        <v>19</v>
      </c>
      <c r="G30" s="6">
        <v>0</v>
      </c>
      <c r="H30" s="6">
        <f>C27/C35*C34</f>
        <v>10</v>
      </c>
      <c r="I30" s="6">
        <f t="shared" si="0"/>
        <v>10</v>
      </c>
    </row>
    <row r="31" spans="2:9" x14ac:dyDescent="0.15">
      <c r="B31" s="1" t="s">
        <v>5</v>
      </c>
      <c r="C31" s="1">
        <v>30</v>
      </c>
      <c r="D31" s="1" t="s">
        <v>31</v>
      </c>
      <c r="F31" s="1" t="s">
        <v>20</v>
      </c>
      <c r="G31" s="6">
        <v>0</v>
      </c>
      <c r="H31" s="6">
        <f>C36*C27*C42</f>
        <v>80.600000000000009</v>
      </c>
      <c r="I31" s="6">
        <f t="shared" si="0"/>
        <v>80.600000000000009</v>
      </c>
    </row>
    <row r="32" spans="2:9" x14ac:dyDescent="0.15">
      <c r="B32" s="1" t="s">
        <v>6</v>
      </c>
      <c r="C32" s="1">
        <v>30</v>
      </c>
      <c r="D32" s="1" t="s">
        <v>31</v>
      </c>
      <c r="F32" s="1" t="s">
        <v>21</v>
      </c>
      <c r="G32" s="6">
        <v>0</v>
      </c>
      <c r="H32" s="6">
        <f>C37*C27*1</f>
        <v>1</v>
      </c>
      <c r="I32" s="6">
        <f t="shared" si="0"/>
        <v>1</v>
      </c>
    </row>
    <row r="33" spans="2:9" x14ac:dyDescent="0.15">
      <c r="B33" s="1" t="s">
        <v>7</v>
      </c>
      <c r="C33" s="1">
        <v>6</v>
      </c>
      <c r="D33" s="1" t="s">
        <v>32</v>
      </c>
      <c r="F33" s="1" t="s">
        <v>22</v>
      </c>
      <c r="G33" s="6">
        <f>C25*C27*C28/100*C38/100*C42/360</f>
        <v>11.336699999999999</v>
      </c>
      <c r="H33" s="6">
        <f>C26*C27*C28/100*C38/100*C42/360</f>
        <v>11.452949999999998</v>
      </c>
      <c r="I33" s="6">
        <f>MAX(G33:H33)</f>
        <v>11.452949999999998</v>
      </c>
    </row>
    <row r="34" spans="2:9" ht="14.25" thickBot="1" x14ac:dyDescent="0.2">
      <c r="B34" s="1" t="s">
        <v>8</v>
      </c>
      <c r="C34" s="1">
        <v>100</v>
      </c>
      <c r="D34" s="1" t="s">
        <v>33</v>
      </c>
      <c r="F34" s="1" t="s">
        <v>13</v>
      </c>
      <c r="G34" s="6">
        <f>C25*C27*C39/100/(1+C39/100)</f>
        <v>1402.3893805309735</v>
      </c>
      <c r="H34" s="6">
        <f>C26*C27*C39/100/(1+C39/100)</f>
        <v>1416.769911504425</v>
      </c>
      <c r="I34" s="6">
        <f>H34-G34</f>
        <v>14.380530973451414</v>
      </c>
    </row>
    <row r="35" spans="2:9" x14ac:dyDescent="0.15">
      <c r="B35" s="1" t="s">
        <v>34</v>
      </c>
      <c r="C35" s="1">
        <v>10</v>
      </c>
      <c r="D35" s="1" t="s">
        <v>39</v>
      </c>
      <c r="F35" s="5" t="s">
        <v>43</v>
      </c>
      <c r="G35" s="5"/>
      <c r="H35" s="5"/>
      <c r="I35" s="8">
        <f>SUM(I25:I34)</f>
        <v>193.63893097345141</v>
      </c>
    </row>
    <row r="36" spans="2:9" x14ac:dyDescent="0.15">
      <c r="B36" s="1" t="s">
        <v>9</v>
      </c>
      <c r="C36" s="1">
        <v>1.3</v>
      </c>
      <c r="D36" s="1" t="s">
        <v>35</v>
      </c>
      <c r="F36" s="1" t="s">
        <v>53</v>
      </c>
      <c r="G36" s="1"/>
      <c r="H36" s="1"/>
      <c r="I36" s="6">
        <f>C25-C26</f>
        <v>-125</v>
      </c>
    </row>
    <row r="37" spans="2:9" ht="14.25" thickBot="1" x14ac:dyDescent="0.2">
      <c r="B37" s="1" t="s">
        <v>11</v>
      </c>
      <c r="C37" s="1">
        <v>1</v>
      </c>
      <c r="D37" s="1" t="s">
        <v>31</v>
      </c>
      <c r="F37" s="9" t="s">
        <v>62</v>
      </c>
      <c r="G37" s="9"/>
      <c r="H37" s="9"/>
      <c r="I37" s="9" t="b">
        <f>(-I36&gt;I35)</f>
        <v>0</v>
      </c>
    </row>
    <row r="38" spans="2:9" ht="14.25" thickTop="1" x14ac:dyDescent="0.15">
      <c r="B38" s="1" t="s">
        <v>12</v>
      </c>
      <c r="C38" s="1">
        <v>6</v>
      </c>
      <c r="D38" s="1" t="s">
        <v>42</v>
      </c>
    </row>
    <row r="39" spans="2:9" x14ac:dyDescent="0.15">
      <c r="B39" s="1" t="s">
        <v>38</v>
      </c>
      <c r="C39" s="1">
        <v>13</v>
      </c>
      <c r="D39" s="1" t="s">
        <v>27</v>
      </c>
    </row>
    <row r="40" spans="2:9" x14ac:dyDescent="0.15">
      <c r="B40" s="1" t="s">
        <v>58</v>
      </c>
      <c r="C40" s="2">
        <v>43725</v>
      </c>
      <c r="D40" s="1" t="s">
        <v>49</v>
      </c>
    </row>
    <row r="41" spans="2:9" x14ac:dyDescent="0.15">
      <c r="B41" s="1" t="s">
        <v>59</v>
      </c>
      <c r="C41" s="2">
        <v>43787</v>
      </c>
      <c r="D41" s="1" t="s">
        <v>57</v>
      </c>
    </row>
    <row r="42" spans="2:9" ht="14.25" thickBot="1" x14ac:dyDescent="0.2">
      <c r="B42" s="9" t="s">
        <v>40</v>
      </c>
      <c r="C42" s="9">
        <f>_xlfn.DAYS(C41, C40)</f>
        <v>62</v>
      </c>
      <c r="D42" s="9" t="s">
        <v>41</v>
      </c>
    </row>
    <row r="43" spans="2:9" ht="14.25" thickTop="1" x14ac:dyDescent="0.15"/>
  </sheetData>
  <mergeCells count="4">
    <mergeCell ref="B2:D2"/>
    <mergeCell ref="F2:I2"/>
    <mergeCell ref="F23:I23"/>
    <mergeCell ref="B23:D2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天然橡胶(RU)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2019-06-12T09:46:22Z</dcterms:modified>
</cp:coreProperties>
</file>