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lla/WORK_MLLA/2012_PhD_UNIVERSITY_OF_YORK/Chapter_3/Model Parameters/Anchovy &amp; Sardine/"/>
    </mc:Choice>
  </mc:AlternateContent>
  <xr:revisionPtr revIDLastSave="0" documentId="13_ncr:1_{81228E36-67E7-2741-8F23-7217B7AA49DF}" xr6:coauthVersionLast="36" xr6:coauthVersionMax="36" xr10:uidLastSave="{00000000-0000-0000-0000-000000000000}"/>
  <bookViews>
    <workbookView xWindow="3260" yWindow="460" windowWidth="35140" windowHeight="20100" tabRatio="721" activeTab="1" xr2:uid="{00000000-000D-0000-FFFF-FFFF00000000}"/>
  </bookViews>
  <sheets>
    <sheet name="sardine diet composition" sheetId="4" r:id="rId1"/>
    <sheet name="anchovy diet composition" sheetId="2" r:id="rId2"/>
    <sheet name="sampling details" sheetId="1" r:id="rId3"/>
    <sheet name="Diet item and measures" sheetId="3" r:id="rId4"/>
    <sheet name="Resumen" sheetId="7" r:id="rId5"/>
  </sheets>
  <calcPr calcId="162913"/>
</workbook>
</file>

<file path=xl/calcChain.xml><?xml version="1.0" encoding="utf-8"?>
<calcChain xmlns="http://schemas.openxmlformats.org/spreadsheetml/2006/main">
  <c r="C163" i="2" l="1"/>
  <c r="P73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11" i="2"/>
  <c r="P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3" i="2"/>
  <c r="P92" i="2"/>
  <c r="P91" i="2"/>
  <c r="P88" i="2"/>
  <c r="P87" i="2"/>
  <c r="P86" i="2"/>
  <c r="P85" i="2"/>
  <c r="P84" i="2"/>
  <c r="P83" i="2"/>
  <c r="P82" i="2"/>
  <c r="P81" i="2"/>
  <c r="P80" i="2"/>
  <c r="P76" i="2"/>
  <c r="P70" i="2"/>
  <c r="P69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11" i="2"/>
  <c r="N11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3" i="2"/>
  <c r="R92" i="2"/>
  <c r="R91" i="2"/>
  <c r="R88" i="2"/>
  <c r="R87" i="2"/>
  <c r="R86" i="2"/>
  <c r="R85" i="2"/>
  <c r="R84" i="2"/>
  <c r="R83" i="2"/>
  <c r="R82" i="2"/>
  <c r="R81" i="2"/>
  <c r="R80" i="2"/>
  <c r="R76" i="2"/>
  <c r="R73" i="2"/>
  <c r="R70" i="2"/>
  <c r="R69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H160" i="2" l="1"/>
  <c r="H162" i="2"/>
  <c r="C6" i="2"/>
  <c r="H135" i="2"/>
  <c r="H132" i="2"/>
  <c r="H121" i="2"/>
  <c r="H120" i="2"/>
  <c r="H117" i="2"/>
  <c r="H115" i="2"/>
  <c r="H113" i="2"/>
  <c r="H106" i="2"/>
  <c r="H105" i="2"/>
  <c r="H102" i="2"/>
  <c r="H101" i="2"/>
  <c r="H97" i="2"/>
  <c r="I85" i="4"/>
  <c r="H2" i="4"/>
  <c r="I83" i="4"/>
  <c r="I74" i="4"/>
  <c r="I73" i="4"/>
  <c r="I70" i="4"/>
  <c r="I68" i="4"/>
  <c r="I62" i="4"/>
  <c r="I61" i="4"/>
  <c r="I58" i="4"/>
  <c r="I57" i="4"/>
  <c r="I53" i="4"/>
  <c r="H1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4" i="4"/>
  <c r="G95" i="4"/>
  <c r="G96" i="4"/>
  <c r="G97" i="4"/>
  <c r="G98" i="4"/>
  <c r="G99" i="4"/>
  <c r="G100" i="4"/>
  <c r="G101" i="4"/>
  <c r="G102" i="4"/>
  <c r="G53" i="4"/>
  <c r="G12" i="4"/>
  <c r="I12" i="4"/>
  <c r="G13" i="4"/>
  <c r="I13" i="4"/>
  <c r="G14" i="4"/>
  <c r="I14" i="4"/>
  <c r="G15" i="4"/>
  <c r="I15" i="4"/>
  <c r="G16" i="4"/>
  <c r="I16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G26" i="4"/>
  <c r="I26" i="4"/>
  <c r="G27" i="4"/>
  <c r="I27" i="4"/>
  <c r="G28" i="4"/>
  <c r="I28" i="4"/>
  <c r="G29" i="4"/>
  <c r="I29" i="4"/>
  <c r="G30" i="4"/>
  <c r="I30" i="4"/>
  <c r="G31" i="4"/>
  <c r="I31" i="4"/>
  <c r="G32" i="4"/>
  <c r="I32" i="4"/>
  <c r="G33" i="4"/>
  <c r="I33" i="4"/>
  <c r="G34" i="4"/>
  <c r="I34" i="4"/>
  <c r="G35" i="4"/>
  <c r="I35" i="4"/>
  <c r="G36" i="4"/>
  <c r="I36" i="4"/>
  <c r="G37" i="4"/>
  <c r="I37" i="4"/>
  <c r="G38" i="4"/>
  <c r="I38" i="4"/>
  <c r="G39" i="4"/>
  <c r="I39" i="4"/>
  <c r="G40" i="4"/>
  <c r="I40" i="4"/>
  <c r="G41" i="4"/>
  <c r="I41" i="4"/>
  <c r="G42" i="4"/>
  <c r="I42" i="4"/>
  <c r="G43" i="4"/>
  <c r="I43" i="4"/>
  <c r="G44" i="4"/>
  <c r="I44" i="4"/>
  <c r="G45" i="4"/>
  <c r="I45" i="4"/>
  <c r="G46" i="4"/>
  <c r="I46" i="4"/>
  <c r="G47" i="4"/>
  <c r="I47" i="4"/>
  <c r="G48" i="4"/>
  <c r="I48" i="4"/>
  <c r="G49" i="4"/>
  <c r="I49" i="4"/>
  <c r="G50" i="4"/>
  <c r="I50" i="4"/>
  <c r="G51" i="4"/>
  <c r="I51" i="4"/>
  <c r="G11" i="4"/>
  <c r="I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1" i="4"/>
  <c r="D6" i="4"/>
  <c r="E34" i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9" i="2"/>
  <c r="J70" i="2"/>
  <c r="J73" i="2"/>
  <c r="J76" i="2"/>
  <c r="J80" i="2"/>
  <c r="J81" i="2"/>
  <c r="J82" i="2"/>
  <c r="J83" i="2"/>
  <c r="J84" i="2"/>
  <c r="J85" i="2"/>
  <c r="J86" i="2"/>
  <c r="J87" i="2"/>
  <c r="J88" i="2"/>
  <c r="J91" i="2"/>
  <c r="J92" i="2"/>
  <c r="J93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1" i="2"/>
  <c r="H93" i="2"/>
  <c r="H92" i="2"/>
  <c r="H91" i="2"/>
  <c r="H88" i="2"/>
  <c r="H87" i="2"/>
  <c r="H86" i="2"/>
  <c r="H85" i="2"/>
  <c r="H84" i="2"/>
  <c r="H83" i="2"/>
  <c r="H82" i="2"/>
  <c r="H81" i="2"/>
  <c r="H80" i="2"/>
  <c r="H76" i="2"/>
  <c r="H73" i="2"/>
  <c r="H70" i="2"/>
  <c r="H69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23" i="2"/>
  <c r="H24" i="2"/>
  <c r="H25" i="2"/>
  <c r="H26" i="2"/>
  <c r="H27" i="2"/>
  <c r="H28" i="2"/>
  <c r="H29" i="2"/>
  <c r="H30" i="2"/>
  <c r="H22" i="2"/>
  <c r="H21" i="2"/>
  <c r="H12" i="2"/>
  <c r="H13" i="2"/>
  <c r="H14" i="2"/>
  <c r="H15" i="2"/>
  <c r="H16" i="2"/>
  <c r="H17" i="2"/>
  <c r="H18" i="2"/>
  <c r="H19" i="2"/>
  <c r="H20" i="2"/>
  <c r="H11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3" i="2"/>
  <c r="D92" i="2"/>
  <c r="D91" i="2"/>
  <c r="D88" i="2"/>
  <c r="D87" i="2"/>
  <c r="D86" i="2"/>
  <c r="D85" i="2"/>
  <c r="D84" i="2"/>
  <c r="D83" i="2"/>
  <c r="D82" i="2"/>
  <c r="D81" i="2"/>
  <c r="D80" i="2"/>
  <c r="D76" i="2"/>
  <c r="D73" i="2"/>
  <c r="D70" i="2"/>
  <c r="D69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11" i="2"/>
  <c r="F29" i="1"/>
  <c r="F30" i="1"/>
  <c r="F31" i="1"/>
  <c r="F32" i="1"/>
  <c r="F33" i="1"/>
  <c r="F28" i="1"/>
  <c r="F3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26" i="1"/>
  <c r="H1" i="1"/>
  <c r="G1" i="1"/>
  <c r="F1" i="1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D2" i="4"/>
  <c r="F89" i="4"/>
  <c r="P89" i="4"/>
  <c r="F97" i="4"/>
  <c r="P97" i="4"/>
  <c r="F102" i="4"/>
  <c r="P102" i="4"/>
  <c r="F94" i="4"/>
  <c r="P94" i="4"/>
  <c r="F86" i="4"/>
  <c r="P86" i="4"/>
  <c r="F78" i="4"/>
  <c r="P78" i="4"/>
  <c r="F70" i="4"/>
  <c r="P70" i="4"/>
  <c r="F62" i="4"/>
  <c r="P62" i="4"/>
  <c r="F26" i="1"/>
  <c r="F100" i="4"/>
  <c r="P100" i="4"/>
  <c r="F11" i="4"/>
  <c r="F101" i="4"/>
  <c r="P101" i="4"/>
  <c r="F99" i="4"/>
  <c r="P99" i="4"/>
  <c r="F95" i="4"/>
  <c r="P95" i="4"/>
  <c r="F93" i="4"/>
  <c r="P93" i="4"/>
  <c r="F91" i="4"/>
  <c r="P91" i="4"/>
  <c r="F87" i="4"/>
  <c r="P87" i="4"/>
  <c r="F85" i="4"/>
  <c r="P85" i="4"/>
  <c r="F83" i="4"/>
  <c r="P83" i="4"/>
  <c r="F81" i="4"/>
  <c r="P81" i="4"/>
  <c r="F79" i="4"/>
  <c r="P79" i="4"/>
  <c r="F77" i="4"/>
  <c r="P77" i="4"/>
  <c r="F75" i="4"/>
  <c r="P75" i="4"/>
  <c r="F73" i="4"/>
  <c r="P73" i="4"/>
  <c r="F71" i="4"/>
  <c r="P71" i="4"/>
  <c r="F69" i="4"/>
  <c r="P69" i="4"/>
  <c r="F67" i="4"/>
  <c r="P67" i="4"/>
  <c r="F65" i="4"/>
  <c r="P65" i="4"/>
  <c r="F63" i="4"/>
  <c r="P63" i="4"/>
  <c r="F61" i="4"/>
  <c r="P61" i="4"/>
  <c r="F59" i="4"/>
  <c r="P59" i="4"/>
  <c r="F57" i="4"/>
  <c r="P57" i="4"/>
  <c r="F55" i="4"/>
  <c r="P55" i="4"/>
  <c r="F53" i="4"/>
  <c r="F50" i="4"/>
  <c r="P50" i="4"/>
  <c r="F48" i="4"/>
  <c r="F46" i="4"/>
  <c r="P46" i="4"/>
  <c r="F44" i="4"/>
  <c r="F42" i="4"/>
  <c r="P42" i="4"/>
  <c r="T42" i="4"/>
  <c r="F40" i="4"/>
  <c r="F38" i="4"/>
  <c r="P38" i="4"/>
  <c r="T38" i="4"/>
  <c r="F36" i="4"/>
  <c r="F34" i="4"/>
  <c r="P34" i="4"/>
  <c r="T34" i="4"/>
  <c r="F32" i="4"/>
  <c r="F30" i="4"/>
  <c r="P30" i="4"/>
  <c r="T30" i="4"/>
  <c r="F28" i="4"/>
  <c r="F26" i="4"/>
  <c r="P26" i="4"/>
  <c r="T26" i="4"/>
  <c r="F24" i="4"/>
  <c r="F22" i="4"/>
  <c r="P22" i="4"/>
  <c r="T22" i="4"/>
  <c r="F20" i="4"/>
  <c r="F18" i="4"/>
  <c r="P18" i="4"/>
  <c r="T18" i="4"/>
  <c r="F16" i="4"/>
  <c r="F14" i="4"/>
  <c r="P14" i="4"/>
  <c r="T14" i="4"/>
  <c r="F12" i="4"/>
  <c r="M136" i="2"/>
  <c r="M138" i="2"/>
  <c r="M140" i="2"/>
  <c r="M142" i="2"/>
  <c r="O142" i="2" s="1"/>
  <c r="M144" i="2"/>
  <c r="M146" i="2"/>
  <c r="M148" i="2"/>
  <c r="M150" i="2"/>
  <c r="M152" i="2"/>
  <c r="M154" i="2"/>
  <c r="M156" i="2"/>
  <c r="M158" i="2"/>
  <c r="M160" i="2"/>
  <c r="O160" i="2" s="1"/>
  <c r="M162" i="2"/>
  <c r="M137" i="2"/>
  <c r="M139" i="2"/>
  <c r="M141" i="2"/>
  <c r="M143" i="2"/>
  <c r="M145" i="2"/>
  <c r="M147" i="2"/>
  <c r="M149" i="2"/>
  <c r="O149" i="2" s="1"/>
  <c r="M151" i="2"/>
  <c r="M153" i="2"/>
  <c r="M155" i="2"/>
  <c r="M157" i="2"/>
  <c r="M159" i="2"/>
  <c r="M161" i="2"/>
  <c r="F54" i="4"/>
  <c r="P54" i="4"/>
  <c r="F51" i="4"/>
  <c r="F49" i="4"/>
  <c r="P49" i="4"/>
  <c r="F47" i="4"/>
  <c r="P47" i="4"/>
  <c r="F45" i="4"/>
  <c r="P45" i="4"/>
  <c r="F43" i="4"/>
  <c r="F41" i="4"/>
  <c r="P41" i="4"/>
  <c r="T41" i="4"/>
  <c r="F39" i="4"/>
  <c r="P39" i="4"/>
  <c r="F37" i="4"/>
  <c r="P37" i="4"/>
  <c r="T37" i="4"/>
  <c r="F35" i="4"/>
  <c r="F33" i="4"/>
  <c r="P33" i="4"/>
  <c r="T33" i="4"/>
  <c r="F31" i="4"/>
  <c r="P31" i="4"/>
  <c r="T31" i="4"/>
  <c r="F29" i="4"/>
  <c r="P29" i="4"/>
  <c r="T29" i="4"/>
  <c r="F27" i="4"/>
  <c r="F25" i="4"/>
  <c r="P25" i="4"/>
  <c r="T25" i="4"/>
  <c r="F23" i="4"/>
  <c r="P23" i="4"/>
  <c r="T23" i="4"/>
  <c r="F21" i="4"/>
  <c r="P21" i="4"/>
  <c r="T21" i="4"/>
  <c r="F19" i="4"/>
  <c r="F17" i="4"/>
  <c r="P17" i="4"/>
  <c r="T17" i="4"/>
  <c r="F15" i="4"/>
  <c r="P15" i="4"/>
  <c r="T15" i="4"/>
  <c r="F13" i="4"/>
  <c r="P13" i="4"/>
  <c r="T13" i="4"/>
  <c r="G1" i="2"/>
  <c r="M119" i="2"/>
  <c r="Q119" i="2" s="1"/>
  <c r="M133" i="2"/>
  <c r="M131" i="2"/>
  <c r="M129" i="2"/>
  <c r="M127" i="2"/>
  <c r="M123" i="2"/>
  <c r="M99" i="2"/>
  <c r="O99" i="2" s="1"/>
  <c r="M101" i="2"/>
  <c r="Q101" i="2" s="1"/>
  <c r="M103" i="2"/>
  <c r="M105" i="2"/>
  <c r="M107" i="2"/>
  <c r="M109" i="2"/>
  <c r="M111" i="2"/>
  <c r="M113" i="2"/>
  <c r="M115" i="2"/>
  <c r="Q115" i="2" s="1"/>
  <c r="M98" i="2"/>
  <c r="O98" i="2" s="1"/>
  <c r="M100" i="2"/>
  <c r="M102" i="2"/>
  <c r="M104" i="2"/>
  <c r="M106" i="2"/>
  <c r="M108" i="2"/>
  <c r="M110" i="2"/>
  <c r="M112" i="2"/>
  <c r="O112" i="2" s="1"/>
  <c r="M114" i="2"/>
  <c r="Q114" i="2" s="1"/>
  <c r="M116" i="2"/>
  <c r="M118" i="2"/>
  <c r="M120" i="2"/>
  <c r="M122" i="2"/>
  <c r="M124" i="2"/>
  <c r="M126" i="2"/>
  <c r="M128" i="2"/>
  <c r="Q128" i="2" s="1"/>
  <c r="M132" i="2"/>
  <c r="O132" i="2" s="1"/>
  <c r="M130" i="2"/>
  <c r="M125" i="2"/>
  <c r="M121" i="2"/>
  <c r="M117" i="2"/>
  <c r="O51" i="4"/>
  <c r="O49" i="4"/>
  <c r="O47" i="4"/>
  <c r="O45" i="4"/>
  <c r="O43" i="4"/>
  <c r="S43" i="4"/>
  <c r="O41" i="4"/>
  <c r="S41" i="4"/>
  <c r="O39" i="4"/>
  <c r="S39" i="4"/>
  <c r="O37" i="4"/>
  <c r="S37" i="4"/>
  <c r="O35" i="4"/>
  <c r="S35" i="4"/>
  <c r="O33" i="4"/>
  <c r="S33" i="4"/>
  <c r="O31" i="4"/>
  <c r="S31" i="4"/>
  <c r="O29" i="4"/>
  <c r="S29" i="4"/>
  <c r="O27" i="4"/>
  <c r="S27" i="4"/>
  <c r="O25" i="4"/>
  <c r="S25" i="4"/>
  <c r="O23" i="4"/>
  <c r="S23" i="4"/>
  <c r="O21" i="4"/>
  <c r="S21" i="4"/>
  <c r="O19" i="4"/>
  <c r="S19" i="4"/>
  <c r="O17" i="4"/>
  <c r="S17" i="4"/>
  <c r="O15" i="4"/>
  <c r="S15" i="4"/>
  <c r="O13" i="4"/>
  <c r="S13" i="4"/>
  <c r="O53" i="4"/>
  <c r="P51" i="4"/>
  <c r="P43" i="4"/>
  <c r="T43" i="4"/>
  <c r="P35" i="4"/>
  <c r="T35" i="4"/>
  <c r="P27" i="4"/>
  <c r="T27" i="4"/>
  <c r="P19" i="4"/>
  <c r="T19" i="4"/>
  <c r="P53" i="4"/>
  <c r="O50" i="4"/>
  <c r="O48" i="4"/>
  <c r="O46" i="4"/>
  <c r="O44" i="4"/>
  <c r="O42" i="4"/>
  <c r="S42" i="4"/>
  <c r="O40" i="4"/>
  <c r="O38" i="4"/>
  <c r="S38" i="4"/>
  <c r="O36" i="4"/>
  <c r="O34" i="4"/>
  <c r="S34" i="4"/>
  <c r="O32" i="4"/>
  <c r="O30" i="4"/>
  <c r="S30" i="4"/>
  <c r="O28" i="4"/>
  <c r="O26" i="4"/>
  <c r="S26" i="4"/>
  <c r="O24" i="4"/>
  <c r="O22" i="4"/>
  <c r="S22" i="4"/>
  <c r="O20" i="4"/>
  <c r="O18" i="4"/>
  <c r="S18" i="4"/>
  <c r="O16" i="4"/>
  <c r="O14" i="4"/>
  <c r="S14" i="4"/>
  <c r="O12" i="4"/>
  <c r="P48" i="4"/>
  <c r="P44" i="4"/>
  <c r="T44" i="4"/>
  <c r="P40" i="4"/>
  <c r="T40" i="4"/>
  <c r="P36" i="4"/>
  <c r="T36" i="4"/>
  <c r="P32" i="4"/>
  <c r="T32" i="4"/>
  <c r="P28" i="4"/>
  <c r="T28" i="4"/>
  <c r="P24" i="4"/>
  <c r="T24" i="4"/>
  <c r="P20" i="4"/>
  <c r="T20" i="4"/>
  <c r="P16" i="4"/>
  <c r="T16" i="4"/>
  <c r="P12" i="4"/>
  <c r="T12" i="4"/>
  <c r="Q35" i="4"/>
  <c r="L7" i="4"/>
  <c r="O11" i="4"/>
  <c r="Q13" i="4"/>
  <c r="Q15" i="4"/>
  <c r="Q17" i="4"/>
  <c r="Q19" i="4"/>
  <c r="Q21" i="4"/>
  <c r="Q23" i="4"/>
  <c r="Q25" i="4"/>
  <c r="Q27" i="4"/>
  <c r="Q29" i="4"/>
  <c r="Q31" i="4"/>
  <c r="Q33" i="4"/>
  <c r="Q43" i="4"/>
  <c r="Q41" i="4"/>
  <c r="Q39" i="4"/>
  <c r="Q37" i="4"/>
  <c r="Q14" i="4"/>
  <c r="Q18" i="4"/>
  <c r="Q22" i="4"/>
  <c r="Q26" i="4"/>
  <c r="Q30" i="4"/>
  <c r="Q34" i="4"/>
  <c r="R37" i="4"/>
  <c r="Q38" i="4"/>
  <c r="R41" i="4"/>
  <c r="Q42" i="4"/>
  <c r="R43" i="4"/>
  <c r="M48" i="2"/>
  <c r="O48" i="2" s="1"/>
  <c r="M46" i="2"/>
  <c r="O46" i="2" s="1"/>
  <c r="M44" i="2"/>
  <c r="O44" i="2" s="1"/>
  <c r="M42" i="2"/>
  <c r="O42" i="2" s="1"/>
  <c r="M40" i="2"/>
  <c r="O40" i="2" s="1"/>
  <c r="M38" i="2"/>
  <c r="O38" i="2" s="1"/>
  <c r="M36" i="2"/>
  <c r="O36" i="2" s="1"/>
  <c r="M34" i="2"/>
  <c r="O34" i="2" s="1"/>
  <c r="M32" i="2"/>
  <c r="O32" i="2" s="1"/>
  <c r="M30" i="2"/>
  <c r="O30" i="2" s="1"/>
  <c r="M28" i="2"/>
  <c r="O28" i="2" s="1"/>
  <c r="M26" i="2"/>
  <c r="O26" i="2" s="1"/>
  <c r="M24" i="2"/>
  <c r="O24" i="2" s="1"/>
  <c r="M22" i="2"/>
  <c r="O22" i="2" s="1"/>
  <c r="M20" i="2"/>
  <c r="O20" i="2" s="1"/>
  <c r="M18" i="2"/>
  <c r="O18" i="2" s="1"/>
  <c r="M16" i="2"/>
  <c r="O16" i="2" s="1"/>
  <c r="M14" i="2"/>
  <c r="O14" i="2" s="1"/>
  <c r="M12" i="2"/>
  <c r="O12" i="2" s="1"/>
  <c r="M52" i="2"/>
  <c r="O52" i="2" s="1"/>
  <c r="M54" i="2"/>
  <c r="O54" i="2" s="1"/>
  <c r="M56" i="2"/>
  <c r="O56" i="2" s="1"/>
  <c r="M58" i="2"/>
  <c r="O58" i="2" s="1"/>
  <c r="M60" i="2"/>
  <c r="O60" i="2" s="1"/>
  <c r="M62" i="2"/>
  <c r="O62" i="2" s="1"/>
  <c r="M64" i="2"/>
  <c r="O64" i="2" s="1"/>
  <c r="M66" i="2"/>
  <c r="O66" i="2" s="1"/>
  <c r="M70" i="2"/>
  <c r="O70" i="2" s="1"/>
  <c r="M76" i="2"/>
  <c r="O76" i="2" s="1"/>
  <c r="M81" i="2"/>
  <c r="O81" i="2" s="1"/>
  <c r="M83" i="2"/>
  <c r="O83" i="2" s="1"/>
  <c r="M85" i="2"/>
  <c r="O85" i="2" s="1"/>
  <c r="M87" i="2"/>
  <c r="O87" i="2" s="1"/>
  <c r="M91" i="2"/>
  <c r="O91" i="2" s="1"/>
  <c r="M93" i="2"/>
  <c r="O93" i="2" s="1"/>
  <c r="M135" i="2"/>
  <c r="M11" i="2"/>
  <c r="O11" i="2" s="1"/>
  <c r="M47" i="2"/>
  <c r="O47" i="2" s="1"/>
  <c r="M45" i="2"/>
  <c r="O45" i="2" s="1"/>
  <c r="M43" i="2"/>
  <c r="O43" i="2" s="1"/>
  <c r="M41" i="2"/>
  <c r="O41" i="2" s="1"/>
  <c r="M39" i="2"/>
  <c r="O39" i="2" s="1"/>
  <c r="M37" i="2"/>
  <c r="O37" i="2" s="1"/>
  <c r="M35" i="2"/>
  <c r="O35" i="2" s="1"/>
  <c r="M33" i="2"/>
  <c r="O33" i="2" s="1"/>
  <c r="M31" i="2"/>
  <c r="O31" i="2" s="1"/>
  <c r="M29" i="2"/>
  <c r="O29" i="2" s="1"/>
  <c r="M27" i="2"/>
  <c r="O27" i="2" s="1"/>
  <c r="M25" i="2"/>
  <c r="O25" i="2" s="1"/>
  <c r="M23" i="2"/>
  <c r="O23" i="2" s="1"/>
  <c r="M21" i="2"/>
  <c r="O21" i="2" s="1"/>
  <c r="M19" i="2"/>
  <c r="O19" i="2" s="1"/>
  <c r="M17" i="2"/>
  <c r="O17" i="2" s="1"/>
  <c r="M15" i="2"/>
  <c r="O15" i="2" s="1"/>
  <c r="M13" i="2"/>
  <c r="O13" i="2" s="1"/>
  <c r="M51" i="2"/>
  <c r="O51" i="2" s="1"/>
  <c r="M53" i="2"/>
  <c r="O53" i="2" s="1"/>
  <c r="M55" i="2"/>
  <c r="O55" i="2" s="1"/>
  <c r="M57" i="2"/>
  <c r="O57" i="2" s="1"/>
  <c r="M59" i="2"/>
  <c r="O59" i="2" s="1"/>
  <c r="M61" i="2"/>
  <c r="O61" i="2" s="1"/>
  <c r="M63" i="2"/>
  <c r="O63" i="2" s="1"/>
  <c r="M65" i="2"/>
  <c r="O65" i="2" s="1"/>
  <c r="M69" i="2"/>
  <c r="O69" i="2" s="1"/>
  <c r="M73" i="2"/>
  <c r="O73" i="2" s="1"/>
  <c r="M80" i="2"/>
  <c r="O80" i="2" s="1"/>
  <c r="M82" i="2"/>
  <c r="O82" i="2" s="1"/>
  <c r="M84" i="2"/>
  <c r="O84" i="2" s="1"/>
  <c r="M86" i="2"/>
  <c r="O86" i="2" s="1"/>
  <c r="M88" i="2"/>
  <c r="O88" i="2" s="1"/>
  <c r="M92" i="2"/>
  <c r="O92" i="2" s="1"/>
  <c r="M97" i="2"/>
  <c r="C2" i="2"/>
  <c r="J7" i="2"/>
  <c r="T39" i="4"/>
  <c r="R39" i="4"/>
  <c r="F58" i="4"/>
  <c r="P58" i="4"/>
  <c r="T58" i="4"/>
  <c r="F66" i="4"/>
  <c r="P66" i="4"/>
  <c r="F74" i="4"/>
  <c r="P74" i="4"/>
  <c r="T74" i="4"/>
  <c r="F82" i="4"/>
  <c r="P82" i="4"/>
  <c r="F90" i="4"/>
  <c r="P90" i="4"/>
  <c r="T90" i="4"/>
  <c r="F98" i="4"/>
  <c r="P98" i="4"/>
  <c r="O135" i="2"/>
  <c r="E11" i="2"/>
  <c r="E41" i="2"/>
  <c r="K41" i="2"/>
  <c r="E46" i="2"/>
  <c r="E42" i="2"/>
  <c r="E38" i="2"/>
  <c r="E34" i="2"/>
  <c r="E30" i="2"/>
  <c r="E26" i="2"/>
  <c r="E22" i="2"/>
  <c r="E18" i="2"/>
  <c r="E14" i="2"/>
  <c r="E52" i="2"/>
  <c r="E56" i="2"/>
  <c r="E60" i="2"/>
  <c r="E64" i="2"/>
  <c r="E70" i="2"/>
  <c r="E81" i="2"/>
  <c r="E85" i="2"/>
  <c r="E91" i="2"/>
  <c r="E98" i="2"/>
  <c r="E102" i="2"/>
  <c r="E106" i="2"/>
  <c r="E110" i="2"/>
  <c r="E114" i="2"/>
  <c r="E118" i="2"/>
  <c r="E122" i="2"/>
  <c r="E126" i="2"/>
  <c r="E130" i="2"/>
  <c r="E135" i="2"/>
  <c r="E139" i="2"/>
  <c r="E143" i="2"/>
  <c r="E147" i="2"/>
  <c r="E151" i="2"/>
  <c r="E155" i="2"/>
  <c r="E159" i="2"/>
  <c r="E43" i="2"/>
  <c r="K43" i="2"/>
  <c r="E35" i="2"/>
  <c r="E31" i="2"/>
  <c r="E27" i="2"/>
  <c r="E23" i="2"/>
  <c r="E19" i="2"/>
  <c r="E15" i="2"/>
  <c r="E51" i="2"/>
  <c r="E55" i="2"/>
  <c r="E59" i="2"/>
  <c r="E63" i="2"/>
  <c r="E69" i="2"/>
  <c r="E80" i="2"/>
  <c r="E84" i="2"/>
  <c r="E88" i="2"/>
  <c r="E97" i="2"/>
  <c r="E101" i="2"/>
  <c r="E105" i="2"/>
  <c r="E109" i="2"/>
  <c r="E113" i="2"/>
  <c r="E117" i="2"/>
  <c r="E121" i="2"/>
  <c r="E125" i="2"/>
  <c r="E129" i="2"/>
  <c r="E133" i="2"/>
  <c r="E138" i="2"/>
  <c r="E142" i="2"/>
  <c r="E146" i="2"/>
  <c r="E150" i="2"/>
  <c r="E154" i="2"/>
  <c r="E158" i="2"/>
  <c r="E162" i="2"/>
  <c r="E45" i="2"/>
  <c r="E37" i="2"/>
  <c r="E48" i="2"/>
  <c r="E44" i="2"/>
  <c r="E40" i="2"/>
  <c r="E36" i="2"/>
  <c r="E32" i="2"/>
  <c r="E28" i="2"/>
  <c r="E24" i="2"/>
  <c r="E20" i="2"/>
  <c r="E16" i="2"/>
  <c r="E12" i="2"/>
  <c r="E54" i="2"/>
  <c r="E58" i="2"/>
  <c r="E62" i="2"/>
  <c r="E66" i="2"/>
  <c r="E76" i="2"/>
  <c r="E83" i="2"/>
  <c r="E87" i="2"/>
  <c r="E93" i="2"/>
  <c r="E100" i="2"/>
  <c r="E104" i="2"/>
  <c r="E108" i="2"/>
  <c r="E112" i="2"/>
  <c r="E116" i="2"/>
  <c r="E120" i="2"/>
  <c r="E124" i="2"/>
  <c r="E128" i="2"/>
  <c r="E132" i="2"/>
  <c r="E137" i="2"/>
  <c r="E141" i="2"/>
  <c r="E145" i="2"/>
  <c r="E149" i="2"/>
  <c r="E153" i="2"/>
  <c r="E157" i="2"/>
  <c r="E161" i="2"/>
  <c r="E47" i="2"/>
  <c r="E39" i="2"/>
  <c r="E33" i="2"/>
  <c r="K33" i="2"/>
  <c r="E29" i="2"/>
  <c r="E25" i="2"/>
  <c r="K25" i="2"/>
  <c r="E21" i="2"/>
  <c r="E17" i="2"/>
  <c r="K17" i="2"/>
  <c r="E13" i="2"/>
  <c r="E53" i="2"/>
  <c r="K53" i="2"/>
  <c r="E57" i="2"/>
  <c r="E61" i="2"/>
  <c r="K61" i="2"/>
  <c r="E65" i="2"/>
  <c r="E73" i="2"/>
  <c r="K73" i="2"/>
  <c r="E82" i="2"/>
  <c r="E86" i="2"/>
  <c r="K86" i="2"/>
  <c r="E92" i="2"/>
  <c r="E99" i="2"/>
  <c r="K99" i="2"/>
  <c r="E103" i="2"/>
  <c r="E107" i="2"/>
  <c r="K107" i="2"/>
  <c r="E111" i="2"/>
  <c r="E115" i="2"/>
  <c r="K115" i="2"/>
  <c r="E119" i="2"/>
  <c r="E123" i="2"/>
  <c r="K123" i="2"/>
  <c r="E127" i="2"/>
  <c r="E131" i="2"/>
  <c r="K131" i="2"/>
  <c r="E136" i="2"/>
  <c r="E140" i="2"/>
  <c r="E144" i="2"/>
  <c r="E148" i="2"/>
  <c r="E152" i="2"/>
  <c r="E156" i="2"/>
  <c r="E160" i="2"/>
  <c r="R54" i="4"/>
  <c r="T54" i="4"/>
  <c r="R57" i="4"/>
  <c r="T57" i="4"/>
  <c r="R61" i="4"/>
  <c r="T61" i="4"/>
  <c r="R65" i="4"/>
  <c r="T65" i="4"/>
  <c r="R69" i="4"/>
  <c r="T69" i="4"/>
  <c r="R73" i="4"/>
  <c r="T73" i="4"/>
  <c r="R77" i="4"/>
  <c r="T77" i="4"/>
  <c r="R81" i="4"/>
  <c r="T81" i="4"/>
  <c r="R85" i="4"/>
  <c r="T85" i="4"/>
  <c r="R100" i="4"/>
  <c r="T100" i="4"/>
  <c r="R66" i="4"/>
  <c r="T66" i="4"/>
  <c r="R74" i="4"/>
  <c r="R82" i="4"/>
  <c r="T82" i="4"/>
  <c r="R98" i="4"/>
  <c r="T98" i="4"/>
  <c r="S12" i="4"/>
  <c r="Q12" i="4"/>
  <c r="S16" i="4"/>
  <c r="Q16" i="4"/>
  <c r="S20" i="4"/>
  <c r="Q20" i="4"/>
  <c r="S24" i="4"/>
  <c r="Q24" i="4"/>
  <c r="S28" i="4"/>
  <c r="Q28" i="4"/>
  <c r="S32" i="4"/>
  <c r="Q32" i="4"/>
  <c r="S36" i="4"/>
  <c r="Q36" i="4"/>
  <c r="S40" i="4"/>
  <c r="Q40" i="4"/>
  <c r="S44" i="4"/>
  <c r="Q44" i="4"/>
  <c r="R55" i="4"/>
  <c r="T55" i="4"/>
  <c r="R59" i="4"/>
  <c r="T59" i="4"/>
  <c r="R63" i="4"/>
  <c r="T63" i="4"/>
  <c r="R67" i="4"/>
  <c r="T67" i="4"/>
  <c r="R71" i="4"/>
  <c r="T71" i="4"/>
  <c r="R75" i="4"/>
  <c r="T75" i="4"/>
  <c r="R79" i="4"/>
  <c r="T79" i="4"/>
  <c r="R83" i="4"/>
  <c r="T83" i="4"/>
  <c r="R87" i="4"/>
  <c r="T87" i="4"/>
  <c r="R91" i="4"/>
  <c r="T91" i="4"/>
  <c r="R95" i="4"/>
  <c r="T95" i="4"/>
  <c r="R99" i="4"/>
  <c r="T99" i="4"/>
  <c r="R62" i="4"/>
  <c r="T62" i="4"/>
  <c r="R70" i="4"/>
  <c r="T70" i="4"/>
  <c r="R78" i="4"/>
  <c r="T78" i="4"/>
  <c r="R86" i="4"/>
  <c r="T86" i="4"/>
  <c r="R94" i="4"/>
  <c r="T94" i="4"/>
  <c r="R102" i="4"/>
  <c r="T102" i="4"/>
  <c r="O6" i="4"/>
  <c r="O5" i="4"/>
  <c r="O121" i="2"/>
  <c r="O130" i="2"/>
  <c r="O124" i="2"/>
  <c r="O120" i="2"/>
  <c r="O116" i="2"/>
  <c r="O108" i="2"/>
  <c r="O104" i="2"/>
  <c r="O100" i="2"/>
  <c r="O111" i="2"/>
  <c r="O107" i="2"/>
  <c r="O103" i="2"/>
  <c r="O127" i="2"/>
  <c r="O131" i="2"/>
  <c r="F56" i="4"/>
  <c r="P56" i="4"/>
  <c r="F60" i="4"/>
  <c r="P60" i="4"/>
  <c r="F64" i="4"/>
  <c r="P64" i="4"/>
  <c r="F68" i="4"/>
  <c r="P68" i="4"/>
  <c r="F72" i="4"/>
  <c r="P72" i="4"/>
  <c r="F76" i="4"/>
  <c r="P76" i="4"/>
  <c r="F80" i="4"/>
  <c r="P80" i="4"/>
  <c r="F84" i="4"/>
  <c r="P84" i="4"/>
  <c r="F88" i="4"/>
  <c r="P88" i="4"/>
  <c r="F92" i="4"/>
  <c r="P92" i="4"/>
  <c r="F96" i="4"/>
  <c r="P96" i="4"/>
  <c r="Q101" i="4"/>
  <c r="S101" i="4"/>
  <c r="Q99" i="4"/>
  <c r="S99" i="4"/>
  <c r="Q97" i="4"/>
  <c r="S97" i="4"/>
  <c r="Q95" i="4"/>
  <c r="S95" i="4"/>
  <c r="Q93" i="4"/>
  <c r="S93" i="4"/>
  <c r="Q91" i="4"/>
  <c r="S91" i="4"/>
  <c r="Q89" i="4"/>
  <c r="S89" i="4"/>
  <c r="Q87" i="4"/>
  <c r="S87" i="4"/>
  <c r="Q85" i="4"/>
  <c r="S85" i="4"/>
  <c r="Q83" i="4"/>
  <c r="S83" i="4"/>
  <c r="Q81" i="4"/>
  <c r="S81" i="4"/>
  <c r="Q79" i="4"/>
  <c r="S79" i="4"/>
  <c r="Q77" i="4"/>
  <c r="S77" i="4"/>
  <c r="Q75" i="4"/>
  <c r="S75" i="4"/>
  <c r="Q73" i="4"/>
  <c r="S73" i="4"/>
  <c r="Q71" i="4"/>
  <c r="S71" i="4"/>
  <c r="Q69" i="4"/>
  <c r="S69" i="4"/>
  <c r="Q67" i="4"/>
  <c r="S67" i="4"/>
  <c r="Q65" i="4"/>
  <c r="S65" i="4"/>
  <c r="Q63" i="4"/>
  <c r="S63" i="4"/>
  <c r="Q61" i="4"/>
  <c r="S61" i="4"/>
  <c r="Q59" i="4"/>
  <c r="S59" i="4"/>
  <c r="Q57" i="4"/>
  <c r="S57" i="4"/>
  <c r="Q55" i="4"/>
  <c r="S55" i="4"/>
  <c r="O117" i="2"/>
  <c r="O125" i="2"/>
  <c r="O126" i="2"/>
  <c r="O122" i="2"/>
  <c r="O118" i="2"/>
  <c r="O114" i="2"/>
  <c r="O110" i="2"/>
  <c r="O106" i="2"/>
  <c r="O102" i="2"/>
  <c r="O113" i="2"/>
  <c r="O109" i="2"/>
  <c r="O105" i="2"/>
  <c r="O101" i="2"/>
  <c r="O123" i="2"/>
  <c r="O129" i="2"/>
  <c r="O133" i="2"/>
  <c r="O161" i="2"/>
  <c r="Q161" i="2"/>
  <c r="O159" i="2"/>
  <c r="Q159" i="2"/>
  <c r="O157" i="2"/>
  <c r="Q157" i="2"/>
  <c r="O155" i="2"/>
  <c r="Q155" i="2"/>
  <c r="O153" i="2"/>
  <c r="Q153" i="2"/>
  <c r="O151" i="2"/>
  <c r="Q151" i="2"/>
  <c r="O145" i="2"/>
  <c r="Q145" i="2"/>
  <c r="O143" i="2"/>
  <c r="Q143" i="2"/>
  <c r="O141" i="2"/>
  <c r="Q141" i="2"/>
  <c r="O139" i="2"/>
  <c r="Q139" i="2"/>
  <c r="O137" i="2"/>
  <c r="Q137" i="2"/>
  <c r="O162" i="2"/>
  <c r="Q162" i="2"/>
  <c r="O158" i="2"/>
  <c r="Q158" i="2"/>
  <c r="O156" i="2"/>
  <c r="Q156" i="2"/>
  <c r="O154" i="2"/>
  <c r="Q154" i="2"/>
  <c r="O152" i="2"/>
  <c r="Q152" i="2"/>
  <c r="O150" i="2"/>
  <c r="Q150" i="2"/>
  <c r="O148" i="2"/>
  <c r="Q148" i="2"/>
  <c r="O146" i="2"/>
  <c r="Q146" i="2"/>
  <c r="Q144" i="2"/>
  <c r="O140" i="2"/>
  <c r="Q140" i="2"/>
  <c r="O138" i="2"/>
  <c r="Q138" i="2"/>
  <c r="O136" i="2"/>
  <c r="Q136" i="2"/>
  <c r="R101" i="4"/>
  <c r="T101" i="4"/>
  <c r="R97" i="4"/>
  <c r="T97" i="4"/>
  <c r="R93" i="4"/>
  <c r="T93" i="4"/>
  <c r="R89" i="4"/>
  <c r="T89" i="4"/>
  <c r="Q102" i="4"/>
  <c r="S102" i="4"/>
  <c r="Q100" i="4"/>
  <c r="S100" i="4"/>
  <c r="Q98" i="4"/>
  <c r="S98" i="4"/>
  <c r="Q96" i="4"/>
  <c r="S96" i="4"/>
  <c r="Q94" i="4"/>
  <c r="S94" i="4"/>
  <c r="Q92" i="4"/>
  <c r="S92" i="4"/>
  <c r="Q90" i="4"/>
  <c r="S90" i="4"/>
  <c r="Q88" i="4"/>
  <c r="S88" i="4"/>
  <c r="Q86" i="4"/>
  <c r="S86" i="4"/>
  <c r="Q84" i="4"/>
  <c r="S84" i="4"/>
  <c r="Q82" i="4"/>
  <c r="S82" i="4"/>
  <c r="Q80" i="4"/>
  <c r="S80" i="4"/>
  <c r="Q78" i="4"/>
  <c r="S78" i="4"/>
  <c r="Q76" i="4"/>
  <c r="S76" i="4"/>
  <c r="Q74" i="4"/>
  <c r="S74" i="4"/>
  <c r="Q72" i="4"/>
  <c r="S72" i="4"/>
  <c r="Q70" i="4"/>
  <c r="S70" i="4"/>
  <c r="Q68" i="4"/>
  <c r="S68" i="4"/>
  <c r="Q66" i="4"/>
  <c r="S66" i="4"/>
  <c r="Q64" i="4"/>
  <c r="S64" i="4"/>
  <c r="Q62" i="4"/>
  <c r="S62" i="4"/>
  <c r="Q60" i="4"/>
  <c r="S60" i="4"/>
  <c r="Q58" i="4"/>
  <c r="S58" i="4"/>
  <c r="Q56" i="4"/>
  <c r="S56" i="4"/>
  <c r="Q54" i="4"/>
  <c r="S54" i="4"/>
  <c r="Q121" i="2"/>
  <c r="Q130" i="2"/>
  <c r="Q126" i="2"/>
  <c r="Q122" i="2"/>
  <c r="Q118" i="2"/>
  <c r="Q110" i="2"/>
  <c r="Q106" i="2"/>
  <c r="Q102" i="2"/>
  <c r="Q113" i="2"/>
  <c r="Q109" i="2"/>
  <c r="Q105" i="2"/>
  <c r="Q123" i="2"/>
  <c r="Q129" i="2"/>
  <c r="Q133" i="2"/>
  <c r="Q117" i="2"/>
  <c r="Q125" i="2"/>
  <c r="Q132" i="2"/>
  <c r="Q124" i="2"/>
  <c r="Q120" i="2"/>
  <c r="Q116" i="2"/>
  <c r="Q108" i="2"/>
  <c r="Q104" i="2"/>
  <c r="Q100" i="2"/>
  <c r="Q111" i="2"/>
  <c r="Q107" i="2"/>
  <c r="Q103" i="2"/>
  <c r="Q127" i="2"/>
  <c r="Q131" i="2"/>
  <c r="K161" i="2"/>
  <c r="R48" i="4"/>
  <c r="T48" i="4"/>
  <c r="Q46" i="4"/>
  <c r="S46" i="4"/>
  <c r="Q50" i="4"/>
  <c r="S50" i="4"/>
  <c r="R45" i="4"/>
  <c r="T45" i="4"/>
  <c r="R49" i="4"/>
  <c r="T49" i="4"/>
  <c r="Q53" i="4"/>
  <c r="S53" i="4"/>
  <c r="Q47" i="4"/>
  <c r="S47" i="4"/>
  <c r="Q51" i="4"/>
  <c r="S51" i="4"/>
  <c r="Q11" i="4"/>
  <c r="S11" i="4"/>
  <c r="R46" i="4"/>
  <c r="T46" i="4"/>
  <c r="R50" i="4"/>
  <c r="T50" i="4"/>
  <c r="Q48" i="4"/>
  <c r="S48" i="4"/>
  <c r="R53" i="4"/>
  <c r="T53" i="4"/>
  <c r="R47" i="4"/>
  <c r="T47" i="4"/>
  <c r="R51" i="4"/>
  <c r="T51" i="4"/>
  <c r="Q45" i="4"/>
  <c r="S45" i="4"/>
  <c r="Q49" i="4"/>
  <c r="S49" i="4"/>
  <c r="Q92" i="2"/>
  <c r="Q86" i="2"/>
  <c r="Q82" i="2"/>
  <c r="Q65" i="2"/>
  <c r="Q61" i="2"/>
  <c r="Q57" i="2"/>
  <c r="Q13" i="2"/>
  <c r="Q17" i="2"/>
  <c r="Q21" i="2"/>
  <c r="Q29" i="2"/>
  <c r="Q33" i="2"/>
  <c r="Q37" i="2"/>
  <c r="Q45" i="2"/>
  <c r="Q11" i="2"/>
  <c r="Q91" i="2"/>
  <c r="Q81" i="2"/>
  <c r="Q70" i="2"/>
  <c r="Q64" i="2"/>
  <c r="Q60" i="2"/>
  <c r="Q56" i="2"/>
  <c r="Q52" i="2"/>
  <c r="Q14" i="2"/>
  <c r="Q22" i="2"/>
  <c r="Q26" i="2"/>
  <c r="Q30" i="2"/>
  <c r="Q34" i="2"/>
  <c r="Q38" i="2"/>
  <c r="Q42" i="2"/>
  <c r="Q46" i="2"/>
  <c r="Q88" i="2"/>
  <c r="Q84" i="2"/>
  <c r="Q80" i="2"/>
  <c r="Q69" i="2"/>
  <c r="Q63" i="2"/>
  <c r="Q59" i="2"/>
  <c r="Q55" i="2"/>
  <c r="Q15" i="2"/>
  <c r="Q19" i="2"/>
  <c r="Q23" i="2"/>
  <c r="Q27" i="2"/>
  <c r="Q31" i="2"/>
  <c r="Q35" i="2"/>
  <c r="Q39" i="2"/>
  <c r="Q47" i="2"/>
  <c r="Q135" i="2"/>
  <c r="Q93" i="2"/>
  <c r="Q87" i="2"/>
  <c r="Q83" i="2"/>
  <c r="Q76" i="2"/>
  <c r="Q66" i="2"/>
  <c r="Q58" i="2"/>
  <c r="Q54" i="2"/>
  <c r="Q12" i="2"/>
  <c r="Q16" i="2"/>
  <c r="Q20" i="2"/>
  <c r="Q24" i="2"/>
  <c r="Q28" i="2"/>
  <c r="Q36" i="2"/>
  <c r="Q40" i="2"/>
  <c r="Q44" i="2"/>
  <c r="Q48" i="2"/>
  <c r="R36" i="4"/>
  <c r="R34" i="4"/>
  <c r="R32" i="4"/>
  <c r="R30" i="4"/>
  <c r="R28" i="4"/>
  <c r="R26" i="4"/>
  <c r="R24" i="4"/>
  <c r="R22" i="4"/>
  <c r="R20" i="4"/>
  <c r="R18" i="4"/>
  <c r="R16" i="4"/>
  <c r="R14" i="4"/>
  <c r="R12" i="4"/>
  <c r="R38" i="4"/>
  <c r="R33" i="4"/>
  <c r="R29" i="4"/>
  <c r="R25" i="4"/>
  <c r="R21" i="4"/>
  <c r="R17" i="4"/>
  <c r="P11" i="4"/>
  <c r="R35" i="4"/>
  <c r="R31" i="4"/>
  <c r="R27" i="4"/>
  <c r="R23" i="4"/>
  <c r="R19" i="4"/>
  <c r="R15" i="4"/>
  <c r="R13" i="4"/>
  <c r="K13" i="2"/>
  <c r="K21" i="2"/>
  <c r="K29" i="2"/>
  <c r="K37" i="2"/>
  <c r="K45" i="2"/>
  <c r="K51" i="2"/>
  <c r="K55" i="2"/>
  <c r="K59" i="2"/>
  <c r="K63" i="2"/>
  <c r="K69" i="2"/>
  <c r="K80" i="2"/>
  <c r="K84" i="2"/>
  <c r="K88" i="2"/>
  <c r="K97" i="2"/>
  <c r="K101" i="2"/>
  <c r="K105" i="2"/>
  <c r="K109" i="2"/>
  <c r="K113" i="2"/>
  <c r="K117" i="2"/>
  <c r="K121" i="2"/>
  <c r="K125" i="2"/>
  <c r="K129" i="2"/>
  <c r="K133" i="2"/>
  <c r="K138" i="2"/>
  <c r="K142" i="2"/>
  <c r="K146" i="2"/>
  <c r="K150" i="2"/>
  <c r="K154" i="2"/>
  <c r="K158" i="2"/>
  <c r="K162" i="2"/>
  <c r="K14" i="2"/>
  <c r="K22" i="2"/>
  <c r="K30" i="2"/>
  <c r="K38" i="2"/>
  <c r="K46" i="2"/>
  <c r="K56" i="2"/>
  <c r="K64" i="2"/>
  <c r="K81" i="2"/>
  <c r="K91" i="2"/>
  <c r="K102" i="2"/>
  <c r="K110" i="2"/>
  <c r="K118" i="2"/>
  <c r="K126" i="2"/>
  <c r="K135" i="2"/>
  <c r="K143" i="2"/>
  <c r="K151" i="2"/>
  <c r="K159" i="2"/>
  <c r="K11" i="2"/>
  <c r="K15" i="2"/>
  <c r="K19" i="2"/>
  <c r="K23" i="2"/>
  <c r="K27" i="2"/>
  <c r="K31" i="2"/>
  <c r="K35" i="2"/>
  <c r="K39" i="2"/>
  <c r="K47" i="2"/>
  <c r="K57" i="2"/>
  <c r="K65" i="2"/>
  <c r="K82" i="2"/>
  <c r="K92" i="2"/>
  <c r="K103" i="2"/>
  <c r="K111" i="2"/>
  <c r="K119" i="2"/>
  <c r="K127" i="2"/>
  <c r="K136" i="2"/>
  <c r="K144" i="2"/>
  <c r="K152" i="2"/>
  <c r="K160" i="2"/>
  <c r="K12" i="2"/>
  <c r="K16" i="2"/>
  <c r="K20" i="2"/>
  <c r="K24" i="2"/>
  <c r="K28" i="2"/>
  <c r="K32" i="2"/>
  <c r="K36" i="2"/>
  <c r="K40" i="2"/>
  <c r="K44" i="2"/>
  <c r="K48" i="2"/>
  <c r="K58" i="2"/>
  <c r="K66" i="2"/>
  <c r="K83" i="2"/>
  <c r="K93" i="2"/>
  <c r="K104" i="2"/>
  <c r="K112" i="2"/>
  <c r="K120" i="2"/>
  <c r="K128" i="2"/>
  <c r="K137" i="2"/>
  <c r="K145" i="2"/>
  <c r="K153" i="2"/>
  <c r="Q4" i="4"/>
  <c r="K157" i="2"/>
  <c r="K149" i="2"/>
  <c r="K141" i="2"/>
  <c r="K132" i="2"/>
  <c r="K124" i="2"/>
  <c r="K116" i="2"/>
  <c r="K108" i="2"/>
  <c r="K100" i="2"/>
  <c r="K87" i="2"/>
  <c r="K76" i="2"/>
  <c r="K62" i="2"/>
  <c r="K54" i="2"/>
  <c r="K156" i="2"/>
  <c r="K148" i="2"/>
  <c r="K140" i="2"/>
  <c r="K155" i="2"/>
  <c r="K147" i="2"/>
  <c r="K139" i="2"/>
  <c r="K130" i="2"/>
  <c r="K122" i="2"/>
  <c r="K114" i="2"/>
  <c r="K106" i="2"/>
  <c r="K98" i="2"/>
  <c r="K85" i="2"/>
  <c r="K70" i="2"/>
  <c r="K60" i="2"/>
  <c r="K52" i="2"/>
  <c r="K42" i="2"/>
  <c r="K34" i="2"/>
  <c r="K26" i="2"/>
  <c r="K18" i="2"/>
  <c r="R90" i="4"/>
  <c r="R58" i="4"/>
  <c r="S4" i="4"/>
  <c r="S3" i="4"/>
  <c r="R96" i="4"/>
  <c r="T96" i="4"/>
  <c r="R88" i="4"/>
  <c r="T88" i="4"/>
  <c r="R80" i="4"/>
  <c r="T80" i="4"/>
  <c r="R72" i="4"/>
  <c r="T72" i="4"/>
  <c r="R64" i="4"/>
  <c r="T64" i="4"/>
  <c r="R56" i="4"/>
  <c r="T56" i="4"/>
  <c r="Q3" i="4"/>
  <c r="R92" i="4"/>
  <c r="T92" i="4"/>
  <c r="R84" i="4"/>
  <c r="T84" i="4"/>
  <c r="R76" i="4"/>
  <c r="T76" i="4"/>
  <c r="R68" i="4"/>
  <c r="T68" i="4"/>
  <c r="R60" i="4"/>
  <c r="T60" i="4"/>
  <c r="R11" i="4"/>
  <c r="T11" i="4"/>
  <c r="R40" i="4"/>
  <c r="R44" i="4"/>
  <c r="R42" i="4"/>
  <c r="T3" i="4"/>
  <c r="T4" i="4"/>
  <c r="R4" i="4"/>
  <c r="R3" i="4"/>
  <c r="Q53" i="2" l="1"/>
  <c r="L112" i="2"/>
  <c r="O144" i="2"/>
  <c r="Q160" i="2"/>
  <c r="Q147" i="2"/>
  <c r="M6" i="2"/>
  <c r="Q99" i="2"/>
  <c r="Q112" i="2"/>
  <c r="Q98" i="2"/>
  <c r="L160" i="2"/>
  <c r="O147" i="2"/>
  <c r="O115" i="2"/>
  <c r="O128" i="2"/>
  <c r="M5" i="2"/>
  <c r="L99" i="2" s="1"/>
  <c r="Q41" i="2"/>
  <c r="L132" i="2"/>
  <c r="L98" i="2"/>
  <c r="L60" i="2"/>
  <c r="Q32" i="2"/>
  <c r="Q62" i="2"/>
  <c r="Q43" i="2"/>
  <c r="Q51" i="2"/>
  <c r="Q97" i="2"/>
  <c r="Q149" i="2"/>
  <c r="O119" i="2"/>
  <c r="L53" i="2"/>
  <c r="O97" i="2"/>
  <c r="O3" i="2" s="1"/>
  <c r="Q18" i="2"/>
  <c r="Q3" i="2" s="1"/>
  <c r="Q85" i="2"/>
  <c r="Q25" i="2"/>
  <c r="Q73" i="2"/>
  <c r="L149" i="2"/>
  <c r="N161" i="2"/>
  <c r="N153" i="2"/>
  <c r="N145" i="2"/>
  <c r="N137" i="2"/>
  <c r="N128" i="2"/>
  <c r="N120" i="2"/>
  <c r="N112" i="2"/>
  <c r="N104" i="2"/>
  <c r="N88" i="2"/>
  <c r="N80" i="2"/>
  <c r="N63" i="2"/>
  <c r="N55" i="2"/>
  <c r="N15" i="2"/>
  <c r="N23" i="2"/>
  <c r="N31" i="2"/>
  <c r="N39" i="2"/>
  <c r="N47" i="2"/>
  <c r="N121" i="2"/>
  <c r="N160" i="2"/>
  <c r="N152" i="2"/>
  <c r="N144" i="2"/>
  <c r="N136" i="2"/>
  <c r="N127" i="2"/>
  <c r="N119" i="2"/>
  <c r="N111" i="2"/>
  <c r="N103" i="2"/>
  <c r="N87" i="2"/>
  <c r="N76" i="2"/>
  <c r="N62" i="2"/>
  <c r="N54" i="2"/>
  <c r="N16" i="2"/>
  <c r="N24" i="2"/>
  <c r="N32" i="2"/>
  <c r="N40" i="2"/>
  <c r="N48" i="2"/>
  <c r="N138" i="2"/>
  <c r="N64" i="2"/>
  <c r="N159" i="2"/>
  <c r="N151" i="2"/>
  <c r="N143" i="2"/>
  <c r="N135" i="2"/>
  <c r="N126" i="2"/>
  <c r="N118" i="2"/>
  <c r="N110" i="2"/>
  <c r="N102" i="2"/>
  <c r="N86" i="2"/>
  <c r="N73" i="2"/>
  <c r="N61" i="2"/>
  <c r="N53" i="2"/>
  <c r="N17" i="2"/>
  <c r="N25" i="2"/>
  <c r="N33" i="2"/>
  <c r="N41" i="2"/>
  <c r="N154" i="2"/>
  <c r="N113" i="2"/>
  <c r="N56" i="2"/>
  <c r="N46" i="2"/>
  <c r="N158" i="2"/>
  <c r="N150" i="2"/>
  <c r="N142" i="2"/>
  <c r="N133" i="2"/>
  <c r="N125" i="2"/>
  <c r="N117" i="2"/>
  <c r="N109" i="2"/>
  <c r="N101" i="2"/>
  <c r="N85" i="2"/>
  <c r="N70" i="2"/>
  <c r="N60" i="2"/>
  <c r="N52" i="2"/>
  <c r="N18" i="2"/>
  <c r="N26" i="2"/>
  <c r="N34" i="2"/>
  <c r="N42" i="2"/>
  <c r="N93" i="2"/>
  <c r="N146" i="2"/>
  <c r="N105" i="2"/>
  <c r="N22" i="2"/>
  <c r="N157" i="2"/>
  <c r="N149" i="2"/>
  <c r="N141" i="2"/>
  <c r="N132" i="2"/>
  <c r="N124" i="2"/>
  <c r="N116" i="2"/>
  <c r="N108" i="2"/>
  <c r="N100" i="2"/>
  <c r="N84" i="2"/>
  <c r="N69" i="2"/>
  <c r="N59" i="2"/>
  <c r="N51" i="2"/>
  <c r="N19" i="2"/>
  <c r="N27" i="2"/>
  <c r="N35" i="2"/>
  <c r="N43" i="2"/>
  <c r="N92" i="2"/>
  <c r="N97" i="2"/>
  <c r="N30" i="2"/>
  <c r="N156" i="2"/>
  <c r="N148" i="2"/>
  <c r="N140" i="2"/>
  <c r="N131" i="2"/>
  <c r="N123" i="2"/>
  <c r="N115" i="2"/>
  <c r="N107" i="2"/>
  <c r="N99" i="2"/>
  <c r="N83" i="2"/>
  <c r="N66" i="2"/>
  <c r="N58" i="2"/>
  <c r="N12" i="2"/>
  <c r="N20" i="2"/>
  <c r="N28" i="2"/>
  <c r="N36" i="2"/>
  <c r="N44" i="2"/>
  <c r="N91" i="2"/>
  <c r="N129" i="2"/>
  <c r="N14" i="2"/>
  <c r="N155" i="2"/>
  <c r="N147" i="2"/>
  <c r="N139" i="2"/>
  <c r="N130" i="2"/>
  <c r="N122" i="2"/>
  <c r="N114" i="2"/>
  <c r="N106" i="2"/>
  <c r="N98" i="2"/>
  <c r="N82" i="2"/>
  <c r="N65" i="2"/>
  <c r="N57" i="2"/>
  <c r="N13" i="2"/>
  <c r="N21" i="2"/>
  <c r="N29" i="2"/>
  <c r="N37" i="2"/>
  <c r="N45" i="2"/>
  <c r="N162" i="2"/>
  <c r="N81" i="2"/>
  <c r="N38" i="2"/>
  <c r="L48" i="2"/>
  <c r="L25" i="2"/>
  <c r="L115" i="2"/>
  <c r="L128" i="2"/>
  <c r="Q142" i="2"/>
  <c r="L87" i="2"/>
  <c r="L41" i="2"/>
  <c r="L43" i="2"/>
  <c r="L51" i="2"/>
  <c r="L62" i="2"/>
  <c r="L16" i="2" l="1"/>
  <c r="L73" i="2"/>
  <c r="O4" i="2"/>
  <c r="L12" i="2"/>
  <c r="L81" i="2"/>
  <c r="L130" i="2"/>
  <c r="L100" i="2"/>
  <c r="L159" i="2"/>
  <c r="L154" i="2"/>
  <c r="L145" i="2"/>
  <c r="L105" i="2"/>
  <c r="L118" i="2"/>
  <c r="L71" i="2"/>
  <c r="L72" i="2"/>
  <c r="L29" i="2"/>
  <c r="L56" i="2"/>
  <c r="L88" i="2"/>
  <c r="L42" i="2"/>
  <c r="L45" i="2"/>
  <c r="L131" i="2"/>
  <c r="L101" i="2"/>
  <c r="L67" i="2"/>
  <c r="L28" i="2"/>
  <c r="L157" i="2"/>
  <c r="L54" i="2"/>
  <c r="L31" i="2"/>
  <c r="L155" i="2"/>
  <c r="L150" i="2"/>
  <c r="L153" i="2"/>
  <c r="L109" i="2"/>
  <c r="L122" i="2"/>
  <c r="L63" i="2"/>
  <c r="L75" i="2"/>
  <c r="L74" i="2"/>
  <c r="L21" i="2"/>
  <c r="L15" i="2"/>
  <c r="L70" i="2"/>
  <c r="L110" i="2"/>
  <c r="L50" i="2"/>
  <c r="L23" i="2"/>
  <c r="L136" i="2"/>
  <c r="L80" i="2"/>
  <c r="L137" i="2"/>
  <c r="L68" i="2"/>
  <c r="L18" i="2"/>
  <c r="L44" i="2"/>
  <c r="L91" i="2"/>
  <c r="L124" i="2"/>
  <c r="L111" i="2"/>
  <c r="L151" i="2"/>
  <c r="L146" i="2"/>
  <c r="L161" i="2"/>
  <c r="L113" i="2"/>
  <c r="L126" i="2"/>
  <c r="L78" i="2"/>
  <c r="L79" i="2"/>
  <c r="L13" i="2"/>
  <c r="L59" i="2"/>
  <c r="L135" i="2"/>
  <c r="L93" i="2"/>
  <c r="L46" i="2"/>
  <c r="L58" i="2"/>
  <c r="L92" i="2"/>
  <c r="L30" i="2"/>
  <c r="L76" i="2"/>
  <c r="L61" i="2"/>
  <c r="L69" i="2"/>
  <c r="L141" i="2"/>
  <c r="L24" i="2"/>
  <c r="L120" i="2"/>
  <c r="L107" i="2"/>
  <c r="L90" i="2"/>
  <c r="L89" i="2"/>
  <c r="L57" i="2"/>
  <c r="L22" i="2"/>
  <c r="L84" i="2"/>
  <c r="L47" i="2"/>
  <c r="L108" i="2"/>
  <c r="L156" i="2"/>
  <c r="L49" i="2"/>
  <c r="L34" i="2"/>
  <c r="L158" i="2"/>
  <c r="L83" i="2"/>
  <c r="L26" i="2"/>
  <c r="L116" i="2"/>
  <c r="L103" i="2"/>
  <c r="L143" i="2"/>
  <c r="L138" i="2"/>
  <c r="L140" i="2"/>
  <c r="L133" i="2"/>
  <c r="L102" i="2"/>
  <c r="L125" i="2"/>
  <c r="L36" i="2"/>
  <c r="L11" i="2"/>
  <c r="L94" i="2"/>
  <c r="L95" i="2"/>
  <c r="L65" i="2"/>
  <c r="L52" i="2"/>
  <c r="L35" i="2"/>
  <c r="L162" i="2"/>
  <c r="L123" i="2"/>
  <c r="L85" i="2"/>
  <c r="L66" i="2"/>
  <c r="L104" i="2"/>
  <c r="L14" i="2"/>
  <c r="L37" i="2"/>
  <c r="L152" i="2"/>
  <c r="L86" i="2"/>
  <c r="L40" i="2"/>
  <c r="L38" i="2"/>
  <c r="L139" i="2"/>
  <c r="L148" i="2"/>
  <c r="L129" i="2"/>
  <c r="L106" i="2"/>
  <c r="L117" i="2"/>
  <c r="L20" i="2"/>
  <c r="L33" i="2"/>
  <c r="L96" i="2"/>
  <c r="L134" i="2"/>
  <c r="L82" i="2"/>
  <c r="L64" i="2"/>
  <c r="L19" i="2"/>
  <c r="L127" i="2"/>
  <c r="L17" i="2"/>
  <c r="L55" i="2"/>
  <c r="L121" i="2"/>
  <c r="L114" i="2"/>
  <c r="L39" i="2"/>
  <c r="L32" i="2"/>
  <c r="L97" i="2"/>
  <c r="Q4" i="2"/>
  <c r="L27" i="2"/>
  <c r="L142" i="2"/>
  <c r="L147" i="2"/>
  <c r="L119" i="2"/>
  <c r="L144" i="2"/>
  <c r="P4" i="2" l="1"/>
  <c r="R4" i="2"/>
  <c r="R3" i="2"/>
</calcChain>
</file>

<file path=xl/sharedStrings.xml><?xml version="1.0" encoding="utf-8"?>
<sst xmlns="http://schemas.openxmlformats.org/spreadsheetml/2006/main" count="823" uniqueCount="235">
  <si>
    <t>anchovy</t>
  </si>
  <si>
    <t>survey</t>
  </si>
  <si>
    <t>species</t>
  </si>
  <si>
    <t>source</t>
  </si>
  <si>
    <t>Espinoza &amp; Bertrand (2008)</t>
  </si>
  <si>
    <t>Espinoza et al (2009)</t>
  </si>
  <si>
    <t>sardine</t>
  </si>
  <si>
    <t>years</t>
  </si>
  <si>
    <t>1996-2003</t>
  </si>
  <si>
    <t>1996-1998</t>
  </si>
  <si>
    <t>phytoplancton</t>
  </si>
  <si>
    <t>copepods</t>
  </si>
  <si>
    <t>euphausiids</t>
  </si>
  <si>
    <t>others zoo</t>
  </si>
  <si>
    <t>&lt;5%</t>
  </si>
  <si>
    <t>&lt;10%</t>
  </si>
  <si>
    <t>~40%</t>
  </si>
  <si>
    <t>~20%</t>
  </si>
  <si>
    <t>~5%</t>
  </si>
  <si>
    <t>~10%</t>
  </si>
  <si>
    <t>~30%</t>
  </si>
  <si>
    <t>~60%</t>
  </si>
  <si>
    <t>~70%</t>
  </si>
  <si>
    <t>~90%</t>
  </si>
  <si>
    <t>~50%</t>
  </si>
  <si>
    <t>&lt;1%</t>
  </si>
  <si>
    <t>&lt;15%</t>
  </si>
  <si>
    <t>~25%</t>
  </si>
  <si>
    <t>~45%</t>
  </si>
  <si>
    <t>Diatoms</t>
  </si>
  <si>
    <t>Actinoptychus</t>
  </si>
  <si>
    <t>Amphiprora</t>
  </si>
  <si>
    <t>Amphora</t>
  </si>
  <si>
    <t>Asterionellopsis</t>
  </si>
  <si>
    <t>Asteromphalus</t>
  </si>
  <si>
    <t>Bacteriastrum</t>
  </si>
  <si>
    <t>Cerataulina</t>
  </si>
  <si>
    <t>Chaetoceros</t>
  </si>
  <si>
    <t>Cocconeis</t>
  </si>
  <si>
    <t>Corethron</t>
  </si>
  <si>
    <t>Coscinodiscus</t>
  </si>
  <si>
    <t>Cylindrotheca</t>
  </si>
  <si>
    <t>Detonula</t>
  </si>
  <si>
    <t>Ditylum</t>
  </si>
  <si>
    <t>Eucampia</t>
  </si>
  <si>
    <t>Fragilariopsis</t>
  </si>
  <si>
    <t>Grammatophora</t>
  </si>
  <si>
    <t>Guinardia</t>
  </si>
  <si>
    <t>Gyrosigma</t>
  </si>
  <si>
    <t>Hemiaulus</t>
  </si>
  <si>
    <t>Lauderia</t>
  </si>
  <si>
    <t>Leptocylindrus</t>
  </si>
  <si>
    <t>Licmophora</t>
  </si>
  <si>
    <t>Lioloma</t>
  </si>
  <si>
    <t>Lithodesmium</t>
  </si>
  <si>
    <t>Navicula</t>
  </si>
  <si>
    <t>Odontella</t>
  </si>
  <si>
    <t>Planktoniella</t>
  </si>
  <si>
    <t>Pleurosigma</t>
  </si>
  <si>
    <t>Proboscia</t>
  </si>
  <si>
    <t>Pseudonitzschia</t>
  </si>
  <si>
    <t>Pseudosolenia</t>
  </si>
  <si>
    <t>Rhizosolenia</t>
  </si>
  <si>
    <t>Skeletonema</t>
  </si>
  <si>
    <t>Stephanopyxis</t>
  </si>
  <si>
    <t>Thalassionema</t>
  </si>
  <si>
    <t>Thalassiosira</t>
  </si>
  <si>
    <t>Tropidoneis</t>
  </si>
  <si>
    <t>Dietary items</t>
  </si>
  <si>
    <t>Total carbon (ug)</t>
  </si>
  <si>
    <t>Ceratium</t>
  </si>
  <si>
    <t>Dinophysis</t>
  </si>
  <si>
    <t>Diplopelta</t>
  </si>
  <si>
    <t>Diplopsalis</t>
  </si>
  <si>
    <t>Dissodium</t>
  </si>
  <si>
    <t>Goniodoma</t>
  </si>
  <si>
    <t>Gonyaulax</t>
  </si>
  <si>
    <t>Gymnodinium</t>
  </si>
  <si>
    <t>Oxophysis</t>
  </si>
  <si>
    <t>Podolampas</t>
  </si>
  <si>
    <t>Pronoctiluca</t>
  </si>
  <si>
    <t>Prorocentrum</t>
  </si>
  <si>
    <t>Protoperidinium</t>
  </si>
  <si>
    <t>Pyrocystis</t>
  </si>
  <si>
    <t>Pyrophacus</t>
  </si>
  <si>
    <t>Scrippsiella</t>
  </si>
  <si>
    <t>Dictyocha</t>
  </si>
  <si>
    <t>Octactis</t>
  </si>
  <si>
    <t>Tetraselmis</t>
  </si>
  <si>
    <t>Amphorellopsis</t>
  </si>
  <si>
    <t>Codonella</t>
  </si>
  <si>
    <t>Codonellopsis</t>
  </si>
  <si>
    <t>Dictyocysta</t>
  </si>
  <si>
    <t>Eutintinnus</t>
  </si>
  <si>
    <t>Favella</t>
  </si>
  <si>
    <t>Helicostomella</t>
  </si>
  <si>
    <t>Tintinnopsis</t>
  </si>
  <si>
    <t>Xystonella</t>
  </si>
  <si>
    <t>Olisthodiscus luteus</t>
  </si>
  <si>
    <t>Dinoflagellates</t>
  </si>
  <si>
    <t>Silicoflagellates</t>
  </si>
  <si>
    <t>Phytoflagellates</t>
  </si>
  <si>
    <t>Microflagellates</t>
  </si>
  <si>
    <t>Tintinnids</t>
  </si>
  <si>
    <t>Foraminiferida</t>
  </si>
  <si>
    <t>Radiolaria</t>
  </si>
  <si>
    <t>Acanthaires</t>
  </si>
  <si>
    <t>Zooplankton</t>
  </si>
  <si>
    <t>Copepoda</t>
  </si>
  <si>
    <t>Acartia</t>
  </si>
  <si>
    <t>Aetideus</t>
  </si>
  <si>
    <t>Calanus</t>
  </si>
  <si>
    <t>Calocalanus</t>
  </si>
  <si>
    <t>Candacia</t>
  </si>
  <si>
    <t>Centropages</t>
  </si>
  <si>
    <t>Clausocalanus</t>
  </si>
  <si>
    <t>Clytemnestra</t>
  </si>
  <si>
    <t>Copilia</t>
  </si>
  <si>
    <t>Corycaeus</t>
  </si>
  <si>
    <t>Corycella</t>
  </si>
  <si>
    <t>Euaetideus</t>
  </si>
  <si>
    <t>Eucalanus</t>
  </si>
  <si>
    <t>Euchaeta</t>
  </si>
  <si>
    <t>Euchirella</t>
  </si>
  <si>
    <t>Euterpina</t>
  </si>
  <si>
    <t>Haloptilus</t>
  </si>
  <si>
    <t>Lubbockia</t>
  </si>
  <si>
    <t>Lucicutia</t>
  </si>
  <si>
    <t>Macrosetella</t>
  </si>
  <si>
    <t>Mecynocera</t>
  </si>
  <si>
    <t>Microsetella</t>
  </si>
  <si>
    <t>Nonocalanus</t>
  </si>
  <si>
    <t>Oithona</t>
  </si>
  <si>
    <t>Oncaea</t>
  </si>
  <si>
    <t>Paracalanus</t>
  </si>
  <si>
    <t>Phaena</t>
  </si>
  <si>
    <t>Pleuromamma</t>
  </si>
  <si>
    <t>Pontellina</t>
  </si>
  <si>
    <t>Rhincalanus</t>
  </si>
  <si>
    <t>Saphirina</t>
  </si>
  <si>
    <t>Scolecithrix</t>
  </si>
  <si>
    <t>Scolecithtricella</t>
  </si>
  <si>
    <t>Temora</t>
  </si>
  <si>
    <t>Harpacticoida</t>
  </si>
  <si>
    <t>Copepoditos</t>
  </si>
  <si>
    <t>Euphausiacea</t>
  </si>
  <si>
    <t>Amphipoda</t>
  </si>
  <si>
    <t>Ostracoda</t>
  </si>
  <si>
    <t>Zoea</t>
  </si>
  <si>
    <t>Megalop</t>
  </si>
  <si>
    <t>Galatheidae</t>
  </si>
  <si>
    <t>Bivalvia</t>
  </si>
  <si>
    <t>Gastropoda</t>
  </si>
  <si>
    <t>Apendicularia</t>
  </si>
  <si>
    <t>Chaetognata</t>
  </si>
  <si>
    <t>Polychaeta</t>
  </si>
  <si>
    <t>Engraulidae</t>
  </si>
  <si>
    <t>Myctophidae</t>
  </si>
  <si>
    <t>Restos de copepos</t>
  </si>
  <si>
    <t>Cirriped larvae</t>
  </si>
  <si>
    <t>Emerita sp Larvae</t>
  </si>
  <si>
    <t>Decapod undetermined larvae</t>
  </si>
  <si>
    <t>Pagurus sp.</t>
  </si>
  <si>
    <t>Pleuroncodes monodon</t>
  </si>
  <si>
    <t>Decapoda Reptantia n/i</t>
  </si>
  <si>
    <t>Anchoveta eggs</t>
  </si>
  <si>
    <t>Echinoderm larvae</t>
  </si>
  <si>
    <t>Squid remains</t>
  </si>
  <si>
    <t>Anchoa sp. Eggs</t>
  </si>
  <si>
    <t>Engraulidae eggs</t>
  </si>
  <si>
    <t>Fish eggs</t>
  </si>
  <si>
    <t>Fish larvae</t>
  </si>
  <si>
    <t>Fish undetermined</t>
  </si>
  <si>
    <t>Vinciguerria sp.</t>
  </si>
  <si>
    <t>Total carbon not avery group</t>
  </si>
  <si>
    <t>a</t>
  </si>
  <si>
    <t>N stomach</t>
  </si>
  <si>
    <t>Total numbers (N)</t>
  </si>
  <si>
    <t>N/stomach</t>
  </si>
  <si>
    <t>NT stomach</t>
  </si>
  <si>
    <t>Ratio Ni/N</t>
  </si>
  <si>
    <t>N per stomach</t>
  </si>
  <si>
    <r>
      <t>Volume values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</si>
  <si>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g</t>
  </si>
  <si>
    <t>10^-12</t>
  </si>
  <si>
    <t>Volume values (g)</t>
  </si>
  <si>
    <r>
      <t>Conversion factor from µm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into g </t>
    </r>
  </si>
  <si>
    <t>a (allometric function)</t>
  </si>
  <si>
    <t>b  (allometric function)</t>
  </si>
  <si>
    <t>mean length</t>
  </si>
  <si>
    <t>cm</t>
  </si>
  <si>
    <t>mean weight</t>
  </si>
  <si>
    <t>http://earth.leeds.ac.uk/cyclops/data/ncfs-zooplank.xls</t>
  </si>
  <si>
    <t>Length (mm)</t>
  </si>
  <si>
    <r>
      <rPr>
        <b/>
        <sz val="11"/>
        <rFont val="Calibri"/>
        <family val="2"/>
        <scheme val="minor"/>
      </rPr>
      <t>a=</t>
    </r>
    <r>
      <rPr>
        <sz val="11"/>
        <rFont val="Calibri"/>
        <family val="2"/>
        <scheme val="minor"/>
      </rPr>
      <t>WW (mm3)</t>
    </r>
  </si>
  <si>
    <r>
      <t>vol=mm</t>
    </r>
    <r>
      <rPr>
        <vertAlign val="superscript"/>
        <sz val="11"/>
        <rFont val="Calibri"/>
        <family val="2"/>
        <scheme val="minor"/>
      </rPr>
      <t>3</t>
    </r>
  </si>
  <si>
    <t>ug C/stomach</t>
  </si>
  <si>
    <t>DW ugC/stomach</t>
  </si>
  <si>
    <t>Ratio Bi/B</t>
  </si>
  <si>
    <t>(predator (g) /prey (g))* Ni/N</t>
  </si>
  <si>
    <t>Ratio Predator (g)/prey(g)</t>
  </si>
  <si>
    <t>A</t>
  </si>
  <si>
    <t>B</t>
  </si>
  <si>
    <t>log10(A)</t>
  </si>
  <si>
    <t>log10(B)</t>
  </si>
  <si>
    <t>Mean Logdistribution</t>
  </si>
  <si>
    <t>sd logdistribution</t>
  </si>
  <si>
    <t>Other zooplankteres</t>
  </si>
  <si>
    <t>White anchovy eggs</t>
  </si>
  <si>
    <t>mm</t>
  </si>
  <si>
    <t>Volumen and length values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</si>
  <si>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</si>
  <si>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(µm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</si>
  <si>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length(mm)</t>
  </si>
  <si>
    <r>
      <t>Conversion factor from 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into g </t>
    </r>
  </si>
  <si>
    <t>10^-3</t>
  </si>
  <si>
    <t>lnA</t>
  </si>
  <si>
    <t>ln B</t>
  </si>
  <si>
    <t>ln A</t>
  </si>
  <si>
    <t>min length</t>
  </si>
  <si>
    <t>max length</t>
  </si>
  <si>
    <t>mean copepods</t>
  </si>
  <si>
    <t>mean large zoop</t>
  </si>
  <si>
    <r>
      <rPr>
        <sz val="11"/>
        <color rgb="FFFF0000"/>
        <rFont val="Calibri"/>
        <family val="2"/>
        <scheme val="minor"/>
      </rPr>
      <t>a</t>
    </r>
    <r>
      <rPr>
        <b/>
        <sz val="11"/>
        <rFont val="Calibri"/>
        <family val="2"/>
        <scheme val="minor"/>
      </rPr>
      <t>=</t>
    </r>
    <r>
      <rPr>
        <sz val="11"/>
        <rFont val="Calibri"/>
        <family val="2"/>
        <scheme val="minor"/>
      </rPr>
      <t>WW (mm3)</t>
    </r>
  </si>
  <si>
    <t>mean WW copepods</t>
  </si>
  <si>
    <t>mean WW larger item</t>
  </si>
  <si>
    <t>WW (g)</t>
  </si>
  <si>
    <t>max</t>
  </si>
  <si>
    <t>min</t>
  </si>
  <si>
    <t>mean</t>
  </si>
  <si>
    <t>Other genera</t>
  </si>
  <si>
    <t>groups</t>
  </si>
  <si>
    <t>n_genera</t>
  </si>
  <si>
    <t>`</t>
  </si>
  <si>
    <t>log10(predator (g) /prey (g))* Ni/N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</si>
</sst>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"/>
    <numFmt numFmtId="165" formatCode="0.0000"/>
    <numFmt numFmtId="166" formatCode="0.000"/>
    <numFmt numFmtId="167" formatCode="0.00000"/>
    <numFmt numFmtId="168" formatCode="#,##0.0"/>
    <numFmt numFmtId="169" formatCode="#,##0.0000"/>
    <numFmt numFmtId="170" formatCode="#,##0.00000"/>
    <numFmt numFmtId="171" formatCode="#,##0.000000"/>
    <numFmt numFmtId="172" formatCode="0.0000E+00"/>
    <numFmt numFmtId="173" formatCode="0.000E+00"/>
    <numFmt numFmtId="174" formatCode="0.00000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0"/>
      <color indexed="12"/>
      <name val="Verdana"/>
      <family val="2"/>
    </font>
    <font>
      <sz val="11"/>
      <color indexed="8"/>
      <name val="Comic Sans MS"/>
      <family val="4"/>
    </font>
    <font>
      <b/>
      <sz val="11"/>
      <name val="Calibri"/>
      <family val="2"/>
      <scheme val="minor"/>
    </font>
    <font>
      <u/>
      <sz val="10"/>
      <name val="Verdana"/>
      <family val="2"/>
    </font>
    <font>
      <vertAlign val="superscript"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9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1" fillId="0" borderId="0" xfId="0" applyFont="1" applyBorder="1"/>
    <xf numFmtId="3" fontId="1" fillId="0" borderId="0" xfId="0" applyNumberFormat="1" applyFont="1" applyBorder="1"/>
    <xf numFmtId="0" fontId="3" fillId="0" borderId="0" xfId="0" applyFont="1"/>
    <xf numFmtId="3" fontId="3" fillId="0" borderId="0" xfId="0" applyNumberFormat="1" applyFont="1"/>
    <xf numFmtId="0" fontId="0" fillId="0" borderId="0" xfId="0" applyNumberFormat="1" applyAlignment="1">
      <alignment horizontal="center"/>
    </xf>
    <xf numFmtId="9" fontId="1" fillId="0" borderId="0" xfId="0" quotePrefix="1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 applyAlignment="1"/>
    <xf numFmtId="2" fontId="0" fillId="0" borderId="0" xfId="0" applyNumberFormat="1"/>
    <xf numFmtId="0" fontId="4" fillId="0" borderId="0" xfId="0" applyFont="1" applyAlignment="1"/>
    <xf numFmtId="168" fontId="0" fillId="0" borderId="0" xfId="0" applyNumberFormat="1"/>
    <xf numFmtId="4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/>
    </xf>
    <xf numFmtId="170" fontId="0" fillId="0" borderId="0" xfId="0" applyNumberFormat="1"/>
    <xf numFmtId="1" fontId="0" fillId="0" borderId="0" xfId="0" applyNumberFormat="1"/>
    <xf numFmtId="171" fontId="0" fillId="0" borderId="0" xfId="0" applyNumberFormat="1"/>
    <xf numFmtId="11" fontId="0" fillId="0" borderId="0" xfId="0" applyNumberFormat="1"/>
    <xf numFmtId="172" fontId="0" fillId="0" borderId="0" xfId="0" applyNumberFormat="1"/>
    <xf numFmtId="0" fontId="0" fillId="0" borderId="0" xfId="0" applyNumberFormat="1"/>
    <xf numFmtId="167" fontId="9" fillId="0" borderId="0" xfId="0" applyNumberFormat="1" applyFont="1" applyBorder="1"/>
    <xf numFmtId="165" fontId="9" fillId="0" borderId="0" xfId="0" applyNumberFormat="1" applyFont="1"/>
    <xf numFmtId="0" fontId="10" fillId="0" borderId="0" xfId="0" applyFont="1"/>
    <xf numFmtId="0" fontId="4" fillId="0" borderId="0" xfId="0" applyFont="1"/>
    <xf numFmtId="169" fontId="3" fillId="0" borderId="0" xfId="0" applyNumberFormat="1" applyFont="1"/>
    <xf numFmtId="1" fontId="3" fillId="0" borderId="0" xfId="0" applyNumberFormat="1" applyFont="1"/>
    <xf numFmtId="2" fontId="11" fillId="0" borderId="0" xfId="2" applyNumberFormat="1" applyFont="1" applyAlignment="1" applyProtection="1"/>
    <xf numFmtId="0" fontId="3" fillId="0" borderId="0" xfId="0" applyFont="1" applyAlignment="1">
      <alignment horizontal="center"/>
    </xf>
    <xf numFmtId="0" fontId="3" fillId="0" borderId="0" xfId="0" applyNumberFormat="1" applyFont="1"/>
    <xf numFmtId="4" fontId="3" fillId="0" borderId="0" xfId="0" applyNumberFormat="1" applyFont="1"/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/>
    <xf numFmtId="3" fontId="0" fillId="0" borderId="0" xfId="0" applyNumberFormat="1" applyFont="1" applyBorder="1"/>
    <xf numFmtId="173" fontId="0" fillId="0" borderId="0" xfId="0" applyNumberFormat="1"/>
    <xf numFmtId="1" fontId="10" fillId="0" borderId="0" xfId="0" applyNumberFormat="1" applyFont="1" applyAlignment="1">
      <alignment horizontal="right"/>
    </xf>
    <xf numFmtId="165" fontId="3" fillId="0" borderId="0" xfId="0" applyNumberFormat="1" applyFont="1"/>
    <xf numFmtId="0" fontId="8" fillId="0" borderId="0" xfId="2" applyAlignment="1" applyProtection="1"/>
    <xf numFmtId="0" fontId="0" fillId="0" borderId="0" xfId="0" applyAlignment="1">
      <alignment horizontal="center"/>
    </xf>
    <xf numFmtId="11" fontId="3" fillId="0" borderId="0" xfId="0" applyNumberFormat="1" applyFont="1"/>
    <xf numFmtId="0" fontId="3" fillId="0" borderId="0" xfId="0" applyFont="1" applyBorder="1"/>
    <xf numFmtId="3" fontId="3" fillId="0" borderId="0" xfId="0" applyNumberFormat="1" applyFont="1" applyBorder="1"/>
    <xf numFmtId="172" fontId="3" fillId="0" borderId="0" xfId="0" applyNumberFormat="1" applyFont="1"/>
    <xf numFmtId="2" fontId="14" fillId="0" borderId="0" xfId="2" applyNumberFormat="1" applyFont="1" applyAlignment="1" applyProtection="1"/>
    <xf numFmtId="166" fontId="5" fillId="2" borderId="0" xfId="1" applyNumberFormat="1"/>
    <xf numFmtId="0" fontId="0" fillId="0" borderId="1" xfId="0" applyBorder="1"/>
    <xf numFmtId="0" fontId="0" fillId="0" borderId="4" xfId="0" applyBorder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Border="1"/>
    <xf numFmtId="166" fontId="0" fillId="0" borderId="0" xfId="0" applyNumberFormat="1" applyAlignment="1">
      <alignment horizontal="center"/>
    </xf>
    <xf numFmtId="166" fontId="0" fillId="0" borderId="0" xfId="0" applyNumberFormat="1" applyAlignment="1"/>
    <xf numFmtId="0" fontId="5" fillId="0" borderId="2" xfId="1" applyFill="1" applyBorder="1"/>
    <xf numFmtId="0" fontId="5" fillId="0" borderId="5" xfId="1" applyFill="1" applyBorder="1"/>
    <xf numFmtId="0" fontId="0" fillId="3" borderId="3" xfId="0" applyFont="1" applyFill="1" applyBorder="1"/>
    <xf numFmtId="0" fontId="0" fillId="3" borderId="6" xfId="0" applyFont="1" applyFill="1" applyBorder="1"/>
    <xf numFmtId="0" fontId="0" fillId="0" borderId="0" xfId="0" applyAlignment="1">
      <alignment horizontal="center"/>
    </xf>
    <xf numFmtId="172" fontId="3" fillId="4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  <xf numFmtId="11" fontId="3" fillId="4" borderId="0" xfId="0" applyNumberFormat="1" applyFont="1" applyFill="1" applyAlignment="1">
      <alignment horizontal="center"/>
    </xf>
    <xf numFmtId="11" fontId="0" fillId="4" borderId="0" xfId="0" applyNumberFormat="1" applyFill="1"/>
    <xf numFmtId="0" fontId="3" fillId="3" borderId="0" xfId="0" applyFont="1" applyFill="1"/>
    <xf numFmtId="172" fontId="3" fillId="3" borderId="0" xfId="0" applyNumberFormat="1" applyFont="1" applyFill="1"/>
    <xf numFmtId="3" fontId="3" fillId="3" borderId="0" xfId="0" applyNumberFormat="1" applyFont="1" applyFill="1"/>
    <xf numFmtId="169" fontId="3" fillId="3" borderId="0" xfId="0" applyNumberFormat="1" applyFont="1" applyFill="1"/>
    <xf numFmtId="0" fontId="0" fillId="3" borderId="0" xfId="0" applyFill="1"/>
    <xf numFmtId="11" fontId="0" fillId="3" borderId="0" xfId="0" applyNumberFormat="1" applyFill="1"/>
    <xf numFmtId="169" fontId="0" fillId="3" borderId="0" xfId="0" applyNumberFormat="1" applyFill="1"/>
    <xf numFmtId="172" fontId="0" fillId="3" borderId="0" xfId="0" applyNumberFormat="1" applyFill="1"/>
    <xf numFmtId="0" fontId="0" fillId="5" borderId="0" xfId="0" applyFill="1"/>
    <xf numFmtId="172" fontId="0" fillId="5" borderId="0" xfId="0" applyNumberFormat="1" applyFill="1"/>
    <xf numFmtId="174" fontId="0" fillId="0" borderId="0" xfId="0" applyNumberFormat="1"/>
    <xf numFmtId="172" fontId="0" fillId="0" borderId="0" xfId="0" applyNumberFormat="1" applyFont="1"/>
    <xf numFmtId="169" fontId="0" fillId="5" borderId="0" xfId="0" applyNumberFormat="1" applyFont="1" applyFill="1"/>
    <xf numFmtId="170" fontId="0" fillId="0" borderId="0" xfId="0" applyNumberFormat="1" applyFont="1"/>
    <xf numFmtId="170" fontId="0" fillId="5" borderId="0" xfId="0" applyNumberFormat="1" applyFont="1" applyFill="1"/>
    <xf numFmtId="167" fontId="15" fillId="0" borderId="0" xfId="0" applyNumberFormat="1" applyFont="1" applyBorder="1"/>
    <xf numFmtId="167" fontId="15" fillId="5" borderId="0" xfId="0" applyNumberFormat="1" applyFont="1" applyFill="1" applyBorder="1"/>
    <xf numFmtId="166" fontId="3" fillId="0" borderId="3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" fontId="1" fillId="0" borderId="0" xfId="0" applyNumberFormat="1" applyFont="1"/>
    <xf numFmtId="0" fontId="2" fillId="0" borderId="0" xfId="0" applyFont="1"/>
    <xf numFmtId="0" fontId="0" fillId="0" borderId="6" xfId="0" applyFont="1" applyFill="1" applyBorder="1"/>
    <xf numFmtId="0" fontId="13" fillId="0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left"/>
    </xf>
    <xf numFmtId="11" fontId="3" fillId="6" borderId="0" xfId="0" applyNumberFormat="1" applyFont="1" applyFill="1"/>
    <xf numFmtId="0" fontId="3" fillId="6" borderId="0" xfId="0" applyFont="1" applyFill="1"/>
    <xf numFmtId="0" fontId="0" fillId="0" borderId="0" xfId="0" applyFill="1" applyAlignment="1">
      <alignment horizontal="left"/>
    </xf>
    <xf numFmtId="11" fontId="0" fillId="0" borderId="0" xfId="0" applyNumberFormat="1" applyFill="1"/>
    <xf numFmtId="0" fontId="0" fillId="0" borderId="0" xfId="0" applyFill="1"/>
    <xf numFmtId="11" fontId="3" fillId="6" borderId="7" xfId="0" applyNumberFormat="1" applyFont="1" applyFill="1" applyBorder="1"/>
    <xf numFmtId="165" fontId="0" fillId="0" borderId="0" xfId="0" applyNumberFormat="1"/>
    <xf numFmtId="164" fontId="0" fillId="0" borderId="0" xfId="3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166" fontId="5" fillId="0" borderId="0" xfId="1" applyNumberFormat="1" applyFill="1" applyBorder="1" applyAlignment="1">
      <alignment horizontal="center"/>
    </xf>
  </cellXfs>
  <cellStyles count="4">
    <cellStyle name="Comma" xfId="3" builtinId="3"/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accent1"/>
            </a:solidFill>
          </c:spPr>
          <c:invertIfNegative val="0"/>
          <c:cat>
            <c:strRef>
              <c:f>Resumen!$B$3:$B$13</c:f>
              <c:strCache>
                <c:ptCount val="11"/>
                <c:pt idx="0">
                  <c:v>Acanthaires</c:v>
                </c:pt>
                <c:pt idx="1">
                  <c:v>Copepoda</c:v>
                </c:pt>
                <c:pt idx="2">
                  <c:v>Diatoms</c:v>
                </c:pt>
                <c:pt idx="3">
                  <c:v>Dinoflagellates</c:v>
                </c:pt>
                <c:pt idx="4">
                  <c:v>Foraminiferida</c:v>
                </c:pt>
                <c:pt idx="5">
                  <c:v>Microflagellates</c:v>
                </c:pt>
                <c:pt idx="6">
                  <c:v>Other genera</c:v>
                </c:pt>
                <c:pt idx="7">
                  <c:v>Phytoflagellates</c:v>
                </c:pt>
                <c:pt idx="8">
                  <c:v>Radiolaria</c:v>
                </c:pt>
                <c:pt idx="9">
                  <c:v>Silicoflagellates</c:v>
                </c:pt>
                <c:pt idx="10">
                  <c:v>Tintinnids</c:v>
                </c:pt>
              </c:strCache>
            </c:strRef>
          </c:cat>
          <c:val>
            <c:numRef>
              <c:f>Resumen!$D$3:$D$13</c:f>
              <c:numCache>
                <c:formatCode>0.00E+00</c:formatCode>
                <c:ptCount val="11"/>
                <c:pt idx="0">
                  <c:v>9.8175000000000004E-8</c:v>
                </c:pt>
                <c:pt idx="1">
                  <c:v>2.5999999999999998E-4</c:v>
                </c:pt>
                <c:pt idx="2">
                  <c:v>9.9462500000000003E-7</c:v>
                </c:pt>
                <c:pt idx="3">
                  <c:v>1.3329800000000001E-7</c:v>
                </c:pt>
                <c:pt idx="4">
                  <c:v>5.2359900000000003E-7</c:v>
                </c:pt>
                <c:pt idx="5">
                  <c:v>1.4399000000000001E-7</c:v>
                </c:pt>
                <c:pt idx="6">
                  <c:v>1.7366469999999998E-2</c:v>
                </c:pt>
                <c:pt idx="7">
                  <c:v>1.9639999999999998E-9</c:v>
                </c:pt>
                <c:pt idx="8">
                  <c:v>8.8698000000000005E-8</c:v>
                </c:pt>
                <c:pt idx="9">
                  <c:v>2.9999999999999997E-8</c:v>
                </c:pt>
                <c:pt idx="10">
                  <c:v>9.8175000000000004E-8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8-DD45-A072-FF3193FD0E6A}"/>
            </c:ext>
          </c:extLst>
        </c:ser>
        <c:ser>
          <c:idx val="0"/>
          <c:order val="0"/>
          <c:spPr>
            <a:solidFill>
              <a:srgbClr val="FF0000"/>
            </a:solidFill>
          </c:spPr>
          <c:invertIfNegative val="0"/>
          <c:cat>
            <c:strRef>
              <c:f>Resumen!$B$3:$B$13</c:f>
              <c:strCache>
                <c:ptCount val="11"/>
                <c:pt idx="0">
                  <c:v>Acanthaires</c:v>
                </c:pt>
                <c:pt idx="1">
                  <c:v>Copepoda</c:v>
                </c:pt>
                <c:pt idx="2">
                  <c:v>Diatoms</c:v>
                </c:pt>
                <c:pt idx="3">
                  <c:v>Dinoflagellates</c:v>
                </c:pt>
                <c:pt idx="4">
                  <c:v>Foraminiferida</c:v>
                </c:pt>
                <c:pt idx="5">
                  <c:v>Microflagellates</c:v>
                </c:pt>
                <c:pt idx="6">
                  <c:v>Other genera</c:v>
                </c:pt>
                <c:pt idx="7">
                  <c:v>Phytoflagellates</c:v>
                </c:pt>
                <c:pt idx="8">
                  <c:v>Radiolaria</c:v>
                </c:pt>
                <c:pt idx="9">
                  <c:v>Silicoflagellates</c:v>
                </c:pt>
                <c:pt idx="10">
                  <c:v>Tintinnids</c:v>
                </c:pt>
              </c:strCache>
            </c:strRef>
          </c:cat>
          <c:val>
            <c:numRef>
              <c:f>Resumen!$K$3:$K$13</c:f>
              <c:numCache>
                <c:formatCode>0.00E+00</c:formatCode>
                <c:ptCount val="11"/>
                <c:pt idx="1">
                  <c:v>2.5999999999999998E-4</c:v>
                </c:pt>
                <c:pt idx="2">
                  <c:v>9.9462500000000003E-7</c:v>
                </c:pt>
                <c:pt idx="3">
                  <c:v>1.3329800000000001E-7</c:v>
                </c:pt>
                <c:pt idx="6">
                  <c:v>1.249129E-2</c:v>
                </c:pt>
                <c:pt idx="7">
                  <c:v>1.9639999999999998E-9</c:v>
                </c:pt>
                <c:pt idx="8">
                  <c:v>8.8698000000000005E-8</c:v>
                </c:pt>
                <c:pt idx="9">
                  <c:v>2.9999999999999997E-8</c:v>
                </c:pt>
                <c:pt idx="10">
                  <c:v>9.8175000000000004E-8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8-DD45-A072-FF3193FD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56256"/>
        <c:axId val="223057792"/>
      </c:barChart>
      <c:catAx>
        <c:axId val="22305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057792"/>
        <c:crosses val="autoZero"/>
        <c:auto val="1"/>
        <c:lblAlgn val="ctr"/>
        <c:lblOffset val="100"/>
        <c:noMultiLvlLbl val="0"/>
      </c:catAx>
      <c:valAx>
        <c:axId val="22305779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2230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tx2"/>
            </a:solidFill>
          </c:spPr>
          <c:invertIfNegative val="0"/>
          <c:cat>
            <c:strRef>
              <c:f>Resumen!$B$3:$B$13</c:f>
              <c:strCache>
                <c:ptCount val="11"/>
                <c:pt idx="0">
                  <c:v>Acanthaires</c:v>
                </c:pt>
                <c:pt idx="1">
                  <c:v>Copepoda</c:v>
                </c:pt>
                <c:pt idx="2">
                  <c:v>Diatoms</c:v>
                </c:pt>
                <c:pt idx="3">
                  <c:v>Dinoflagellates</c:v>
                </c:pt>
                <c:pt idx="4">
                  <c:v>Foraminiferida</c:v>
                </c:pt>
                <c:pt idx="5">
                  <c:v>Microflagellates</c:v>
                </c:pt>
                <c:pt idx="6">
                  <c:v>Other genera</c:v>
                </c:pt>
                <c:pt idx="7">
                  <c:v>Phytoflagellates</c:v>
                </c:pt>
                <c:pt idx="8">
                  <c:v>Radiolaria</c:v>
                </c:pt>
                <c:pt idx="9">
                  <c:v>Silicoflagellates</c:v>
                </c:pt>
                <c:pt idx="10">
                  <c:v>Tintinnids</c:v>
                </c:pt>
              </c:strCache>
            </c:strRef>
          </c:cat>
          <c:val>
            <c:numRef>
              <c:f>Resumen!$E$3:$E$13</c:f>
              <c:numCache>
                <c:formatCode>0.00E+00</c:formatCode>
                <c:ptCount val="11"/>
                <c:pt idx="0">
                  <c:v>9.8175000000000004E-8</c:v>
                </c:pt>
                <c:pt idx="1">
                  <c:v>6.0000000000000002E-6</c:v>
                </c:pt>
                <c:pt idx="2">
                  <c:v>1.58E-10</c:v>
                </c:pt>
                <c:pt idx="3">
                  <c:v>1.6303E-8</c:v>
                </c:pt>
                <c:pt idx="4">
                  <c:v>5.2359900000000003E-7</c:v>
                </c:pt>
                <c:pt idx="5">
                  <c:v>1.4399000000000001E-7</c:v>
                </c:pt>
                <c:pt idx="6">
                  <c:v>2.6699999999999998E-4</c:v>
                </c:pt>
                <c:pt idx="7">
                  <c:v>1.9639999999999998E-9</c:v>
                </c:pt>
                <c:pt idx="8">
                  <c:v>8.8698000000000005E-8</c:v>
                </c:pt>
                <c:pt idx="9">
                  <c:v>2.9999999999999997E-8</c:v>
                </c:pt>
                <c:pt idx="10">
                  <c:v>9.8175000000000004E-8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A-EE4C-A806-72031F7D9865}"/>
            </c:ext>
          </c:extLst>
        </c:ser>
        <c:ser>
          <c:idx val="0"/>
          <c:order val="0"/>
          <c:spPr>
            <a:solidFill>
              <a:srgbClr val="FF0000"/>
            </a:solidFill>
          </c:spPr>
          <c:invertIfNegative val="0"/>
          <c:cat>
            <c:strRef>
              <c:f>Resumen!$B$3:$B$13</c:f>
              <c:strCache>
                <c:ptCount val="11"/>
                <c:pt idx="0">
                  <c:v>Acanthaires</c:v>
                </c:pt>
                <c:pt idx="1">
                  <c:v>Copepoda</c:v>
                </c:pt>
                <c:pt idx="2">
                  <c:v>Diatoms</c:v>
                </c:pt>
                <c:pt idx="3">
                  <c:v>Dinoflagellates</c:v>
                </c:pt>
                <c:pt idx="4">
                  <c:v>Foraminiferida</c:v>
                </c:pt>
                <c:pt idx="5">
                  <c:v>Microflagellates</c:v>
                </c:pt>
                <c:pt idx="6">
                  <c:v>Other genera</c:v>
                </c:pt>
                <c:pt idx="7">
                  <c:v>Phytoflagellates</c:v>
                </c:pt>
                <c:pt idx="8">
                  <c:v>Radiolaria</c:v>
                </c:pt>
                <c:pt idx="9">
                  <c:v>Silicoflagellates</c:v>
                </c:pt>
                <c:pt idx="10">
                  <c:v>Tintinnids</c:v>
                </c:pt>
              </c:strCache>
            </c:strRef>
          </c:cat>
          <c:val>
            <c:numRef>
              <c:f>Resumen!$L$3:$L$13</c:f>
              <c:numCache>
                <c:formatCode>0.00E+00</c:formatCode>
                <c:ptCount val="11"/>
                <c:pt idx="1">
                  <c:v>6.0000000000000002E-6</c:v>
                </c:pt>
                <c:pt idx="2">
                  <c:v>1.8999999999999999E-10</c:v>
                </c:pt>
                <c:pt idx="3">
                  <c:v>1.6303E-8</c:v>
                </c:pt>
                <c:pt idx="6">
                  <c:v>2.6699999999999998E-4</c:v>
                </c:pt>
                <c:pt idx="7">
                  <c:v>1.9639999999999998E-9</c:v>
                </c:pt>
                <c:pt idx="8">
                  <c:v>8.8698000000000005E-8</c:v>
                </c:pt>
                <c:pt idx="9">
                  <c:v>2.9999999999999997E-8</c:v>
                </c:pt>
                <c:pt idx="10">
                  <c:v>9.8175000000000004E-8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A-EE4C-A806-72031F7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68640"/>
        <c:axId val="242622464"/>
      </c:barChart>
      <c:catAx>
        <c:axId val="23476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622464"/>
        <c:crosses val="autoZero"/>
        <c:auto val="1"/>
        <c:lblAlgn val="ctr"/>
        <c:lblOffset val="100"/>
        <c:noMultiLvlLbl val="0"/>
      </c:catAx>
      <c:valAx>
        <c:axId val="2426224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47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tx2"/>
            </a:solidFill>
          </c:spPr>
          <c:invertIfNegative val="0"/>
          <c:cat>
            <c:strRef>
              <c:f>Resumen!$B$3:$B$13</c:f>
              <c:strCache>
                <c:ptCount val="11"/>
                <c:pt idx="0">
                  <c:v>Acanthaires</c:v>
                </c:pt>
                <c:pt idx="1">
                  <c:v>Copepoda</c:v>
                </c:pt>
                <c:pt idx="2">
                  <c:v>Diatoms</c:v>
                </c:pt>
                <c:pt idx="3">
                  <c:v>Dinoflagellates</c:v>
                </c:pt>
                <c:pt idx="4">
                  <c:v>Foraminiferida</c:v>
                </c:pt>
                <c:pt idx="5">
                  <c:v>Microflagellates</c:v>
                </c:pt>
                <c:pt idx="6">
                  <c:v>Other genera</c:v>
                </c:pt>
                <c:pt idx="7">
                  <c:v>Phytoflagellates</c:v>
                </c:pt>
                <c:pt idx="8">
                  <c:v>Radiolaria</c:v>
                </c:pt>
                <c:pt idx="9">
                  <c:v>Silicoflagellates</c:v>
                </c:pt>
                <c:pt idx="10">
                  <c:v>Tintinnids</c:v>
                </c:pt>
              </c:strCache>
            </c:strRef>
          </c:cat>
          <c:val>
            <c:numRef>
              <c:f>Resumen!$F$3:$F$13</c:f>
              <c:numCache>
                <c:formatCode>0.00E+00</c:formatCode>
                <c:ptCount val="11"/>
                <c:pt idx="0">
                  <c:v>9.8175000000000004E-8</c:v>
                </c:pt>
                <c:pt idx="1">
                  <c:v>1.012039E-4</c:v>
                </c:pt>
                <c:pt idx="2">
                  <c:v>7.2667100000000004E-8</c:v>
                </c:pt>
                <c:pt idx="3">
                  <c:v>5.5320939999999997E-8</c:v>
                </c:pt>
                <c:pt idx="4">
                  <c:v>5.2359900000000003E-7</c:v>
                </c:pt>
                <c:pt idx="5">
                  <c:v>1.4399000000000001E-7</c:v>
                </c:pt>
                <c:pt idx="6">
                  <c:v>7.0047920000000001E-3</c:v>
                </c:pt>
                <c:pt idx="7">
                  <c:v>1.9639999999999998E-9</c:v>
                </c:pt>
                <c:pt idx="8">
                  <c:v>8.8698000000000005E-8</c:v>
                </c:pt>
                <c:pt idx="9">
                  <c:v>2.9999999999999997E-8</c:v>
                </c:pt>
                <c:pt idx="10">
                  <c:v>9.8175000000000004E-8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6-FE45-90DC-ACD823A678ED}"/>
            </c:ext>
          </c:extLst>
        </c:ser>
        <c:ser>
          <c:idx val="0"/>
          <c:order val="0"/>
          <c:spPr>
            <a:solidFill>
              <a:srgbClr val="FF0000"/>
            </a:solidFill>
          </c:spPr>
          <c:invertIfNegative val="0"/>
          <c:cat>
            <c:strRef>
              <c:f>Resumen!$B$3:$B$13</c:f>
              <c:strCache>
                <c:ptCount val="11"/>
                <c:pt idx="0">
                  <c:v>Acanthaires</c:v>
                </c:pt>
                <c:pt idx="1">
                  <c:v>Copepoda</c:v>
                </c:pt>
                <c:pt idx="2">
                  <c:v>Diatoms</c:v>
                </c:pt>
                <c:pt idx="3">
                  <c:v>Dinoflagellates</c:v>
                </c:pt>
                <c:pt idx="4">
                  <c:v>Foraminiferida</c:v>
                </c:pt>
                <c:pt idx="5">
                  <c:v>Microflagellates</c:v>
                </c:pt>
                <c:pt idx="6">
                  <c:v>Other genera</c:v>
                </c:pt>
                <c:pt idx="7">
                  <c:v>Phytoflagellates</c:v>
                </c:pt>
                <c:pt idx="8">
                  <c:v>Radiolaria</c:v>
                </c:pt>
                <c:pt idx="9">
                  <c:v>Silicoflagellates</c:v>
                </c:pt>
                <c:pt idx="10">
                  <c:v>Tintinnids</c:v>
                </c:pt>
              </c:strCache>
            </c:strRef>
          </c:cat>
          <c:val>
            <c:numRef>
              <c:f>Resumen!$M$3:$M$13</c:f>
              <c:numCache>
                <c:formatCode>0.00E+00</c:formatCode>
                <c:ptCount val="11"/>
                <c:pt idx="1">
                  <c:v>9.2584000000000007E-5</c:v>
                </c:pt>
                <c:pt idx="2">
                  <c:v>8.4337280000000006E-8</c:v>
                </c:pt>
                <c:pt idx="3">
                  <c:v>5.4703600000000003E-8</c:v>
                </c:pt>
                <c:pt idx="6">
                  <c:v>4.9324570000000003E-3</c:v>
                </c:pt>
                <c:pt idx="7">
                  <c:v>1.9639999999999998E-9</c:v>
                </c:pt>
                <c:pt idx="8">
                  <c:v>8.8698000000000005E-8</c:v>
                </c:pt>
                <c:pt idx="9">
                  <c:v>2.9999999999999997E-8</c:v>
                </c:pt>
                <c:pt idx="10">
                  <c:v>9.8175000000000004E-8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6-FE45-90DC-ACD823A6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4896"/>
        <c:axId val="213666432"/>
      </c:barChart>
      <c:catAx>
        <c:axId val="2136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66432"/>
        <c:crosses val="autoZero"/>
        <c:auto val="1"/>
        <c:lblAlgn val="ctr"/>
        <c:lblOffset val="100"/>
        <c:noMultiLvlLbl val="0"/>
      </c:catAx>
      <c:valAx>
        <c:axId val="213666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6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14</xdr:row>
      <xdr:rowOff>6348</xdr:rowOff>
    </xdr:from>
    <xdr:to>
      <xdr:col>7</xdr:col>
      <xdr:colOff>50800</xdr:colOff>
      <xdr:row>28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14</xdr:row>
      <xdr:rowOff>0</xdr:rowOff>
    </xdr:from>
    <xdr:to>
      <xdr:col>14</xdr:col>
      <xdr:colOff>342900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29</xdr:row>
      <xdr:rowOff>101600</xdr:rowOff>
    </xdr:from>
    <xdr:to>
      <xdr:col>6</xdr:col>
      <xdr:colOff>571500</xdr:colOff>
      <xdr:row>43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arth.leeds.ac.uk/cyclops/data/ncfs-zooplank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arth.leeds.ac.uk/cyclops/data/ncfs-zooplank.xl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62"/>
  <sheetViews>
    <sheetView topLeftCell="I1" zoomScale="110" zoomScaleNormal="110" workbookViewId="0">
      <pane ySplit="8" topLeftCell="A9" activePane="bottomLeft" state="frozen"/>
      <selection pane="bottomLeft" activeCell="K19" sqref="K19"/>
    </sheetView>
  </sheetViews>
  <sheetFormatPr baseColWidth="10" defaultColWidth="9.1640625" defaultRowHeight="15" x14ac:dyDescent="0.2"/>
  <cols>
    <col min="1" max="1" width="9.1640625" style="17"/>
    <col min="2" max="3" width="21.1640625" style="17" customWidth="1"/>
    <col min="4" max="4" width="17.5" style="17" customWidth="1"/>
    <col min="5" max="5" width="14.6640625" style="17" customWidth="1"/>
    <col min="6" max="6" width="15.1640625" style="17" customWidth="1"/>
    <col min="7" max="7" width="20" style="27" customWidth="1"/>
    <col min="8" max="8" width="18.33203125" style="17" customWidth="1"/>
    <col min="9" max="9" width="21.5" style="17" customWidth="1"/>
    <col min="10" max="10" width="11.33203125" style="17" customWidth="1"/>
    <col min="11" max="11" width="17.6640625" style="42" customWidth="1"/>
    <col min="12" max="12" width="17.5" style="17" customWidth="1"/>
    <col min="13" max="13" width="13" style="17" customWidth="1"/>
    <col min="14" max="14" width="8" style="17" customWidth="1"/>
    <col min="15" max="15" width="25.1640625" style="17" customWidth="1"/>
    <col min="16" max="16" width="28" style="17" customWidth="1"/>
    <col min="17" max="17" width="18.1640625" style="17" customWidth="1"/>
    <col min="18" max="18" width="12.6640625" style="17" customWidth="1"/>
    <col min="19" max="19" width="12" style="17" customWidth="1"/>
    <col min="20" max="20" width="11.5" style="17" customWidth="1"/>
    <col min="21" max="21" width="14.33203125" style="17" customWidth="1"/>
    <col min="22" max="22" width="12.6640625" style="17" customWidth="1"/>
    <col min="23" max="23" width="14.1640625" style="17" customWidth="1"/>
    <col min="24" max="24" width="15.1640625" style="17" customWidth="1"/>
    <col min="25" max="26" width="13.33203125" style="17" customWidth="1"/>
    <col min="27" max="31" width="11.83203125" style="17" customWidth="1"/>
    <col min="32" max="32" width="13.6640625" style="17" customWidth="1"/>
    <col min="33" max="33" width="12.5" style="17" customWidth="1"/>
    <col min="34" max="16384" width="9.1640625" style="17"/>
  </cols>
  <sheetData>
    <row r="1" spans="2:32" x14ac:dyDescent="0.2">
      <c r="C1" s="17" t="s">
        <v>179</v>
      </c>
      <c r="D1" s="17">
        <v>455</v>
      </c>
      <c r="G1" s="80" t="s">
        <v>221</v>
      </c>
      <c r="H1" s="81">
        <f>+AVERAGE(I53:I84)</f>
        <v>9.2584000000000034E-5</v>
      </c>
    </row>
    <row r="2" spans="2:32" ht="16" thickBot="1" x14ac:dyDescent="0.25">
      <c r="C2" s="17" t="s">
        <v>181</v>
      </c>
      <c r="D2" s="22">
        <f>+SUM(E11:E102)</f>
        <v>350.41318681318694</v>
      </c>
      <c r="G2" s="86" t="s">
        <v>222</v>
      </c>
      <c r="H2" s="87">
        <f>+AVERAGE(I85:I102)</f>
        <v>4.9324574585947285E-3</v>
      </c>
      <c r="Q2" s="51" t="s">
        <v>203</v>
      </c>
      <c r="R2" s="51" t="s">
        <v>204</v>
      </c>
      <c r="S2" s="66" t="s">
        <v>218</v>
      </c>
      <c r="T2" s="66" t="s">
        <v>217</v>
      </c>
    </row>
    <row r="3" spans="2:32" x14ac:dyDescent="0.2">
      <c r="C3" s="17" t="s">
        <v>187</v>
      </c>
      <c r="D3" s="28">
        <v>3.5000000000000001E-3</v>
      </c>
      <c r="G3" s="17"/>
      <c r="P3" s="60" t="s">
        <v>205</v>
      </c>
      <c r="Q3" s="72">
        <f>+AVERAGE(Q11:Q103)</f>
        <v>7.3873685960914788</v>
      </c>
      <c r="R3" s="74">
        <f>+AVERAGE(R11:R158)</f>
        <v>4.1377821055140869</v>
      </c>
      <c r="S3" s="61">
        <f>+AVERAGE(S11:S102)</f>
        <v>17.010044805812587</v>
      </c>
      <c r="T3" s="74">
        <f t="shared" ref="T3" si="0">+AVERAGE(T11:T158)</f>
        <v>9.5275953942142522</v>
      </c>
    </row>
    <row r="4" spans="2:32" ht="16" thickBot="1" x14ac:dyDescent="0.25">
      <c r="C4" s="17" t="s">
        <v>188</v>
      </c>
      <c r="D4" s="17">
        <v>3.35</v>
      </c>
      <c r="G4" s="17"/>
      <c r="P4" s="62" t="s">
        <v>206</v>
      </c>
      <c r="Q4" s="73">
        <f>+STDEV(Q11:Q158)</f>
        <v>2.20533793661285</v>
      </c>
      <c r="R4" s="75">
        <f>+STDEV(R11:R158)</f>
        <v>2.7337743474536405</v>
      </c>
      <c r="S4" s="104">
        <f>+STDEV(S11:S102)</f>
        <v>5.0779782578590682</v>
      </c>
      <c r="T4" s="75">
        <f>+STDEV(T11:T51,T53,T57:T58,T61:T62,T68,T70,T73:T74,T83,T85,T92:T94,T101)</f>
        <v>5.3876022506456751</v>
      </c>
    </row>
    <row r="5" spans="2:32" x14ac:dyDescent="0.2">
      <c r="C5" s="17" t="s">
        <v>189</v>
      </c>
      <c r="D5" s="23">
        <v>21.92</v>
      </c>
      <c r="E5" s="17" t="s">
        <v>190</v>
      </c>
      <c r="G5" s="17"/>
      <c r="N5" s="17" t="s">
        <v>227</v>
      </c>
      <c r="O5" s="47">
        <f>+MAX(O11:O102)</f>
        <v>571650101933.3689</v>
      </c>
    </row>
    <row r="6" spans="2:32" ht="17" x14ac:dyDescent="0.2">
      <c r="C6" s="17" t="s">
        <v>191</v>
      </c>
      <c r="D6" s="18">
        <f>+D3*(D5^D4)</f>
        <v>108.61351936734009</v>
      </c>
      <c r="E6" s="17" t="s">
        <v>183</v>
      </c>
      <c r="F6" s="25" t="s">
        <v>186</v>
      </c>
      <c r="G6" s="17"/>
      <c r="H6" s="25" t="s">
        <v>184</v>
      </c>
      <c r="L6" s="17" t="s">
        <v>197</v>
      </c>
      <c r="N6" s="17" t="s">
        <v>228</v>
      </c>
      <c r="O6" s="31">
        <f>+MIN(O11:O102)</f>
        <v>8695.142207515737</v>
      </c>
    </row>
    <row r="7" spans="2:32" ht="17" x14ac:dyDescent="0.2">
      <c r="B7" s="35" t="s">
        <v>175</v>
      </c>
      <c r="C7" s="50" t="s">
        <v>192</v>
      </c>
      <c r="D7" s="21"/>
      <c r="E7" s="21"/>
      <c r="F7" s="25" t="s">
        <v>214</v>
      </c>
      <c r="G7" s="21"/>
      <c r="H7" s="65" t="s">
        <v>215</v>
      </c>
      <c r="I7" s="21"/>
      <c r="J7" s="21"/>
      <c r="K7" s="43"/>
      <c r="L7" s="21">
        <f>+SUM(L11:L158)</f>
        <v>0</v>
      </c>
      <c r="O7" s="51" t="s">
        <v>201</v>
      </c>
      <c r="P7" s="51" t="s">
        <v>202</v>
      </c>
    </row>
    <row r="8" spans="2:32" ht="17" x14ac:dyDescent="0.2">
      <c r="C8" s="17" t="s">
        <v>68</v>
      </c>
      <c r="D8" s="17" t="s">
        <v>177</v>
      </c>
      <c r="E8" s="51" t="s">
        <v>178</v>
      </c>
      <c r="F8" s="51" t="s">
        <v>180</v>
      </c>
      <c r="G8" s="51" t="s">
        <v>182</v>
      </c>
      <c r="H8" s="39" t="s">
        <v>194</v>
      </c>
      <c r="I8" s="51" t="s">
        <v>185</v>
      </c>
      <c r="J8" s="51"/>
      <c r="K8" s="44" t="s">
        <v>69</v>
      </c>
      <c r="L8" s="51" t="s">
        <v>196</v>
      </c>
      <c r="M8" s="51" t="s">
        <v>198</v>
      </c>
      <c r="N8" s="51"/>
      <c r="O8" s="51" t="s">
        <v>200</v>
      </c>
      <c r="P8" s="51" t="s">
        <v>199</v>
      </c>
      <c r="Q8" s="51" t="s">
        <v>203</v>
      </c>
      <c r="R8" s="51" t="s">
        <v>204</v>
      </c>
      <c r="S8" s="66" t="s">
        <v>218</v>
      </c>
      <c r="T8" s="66" t="s">
        <v>217</v>
      </c>
    </row>
    <row r="9" spans="2:32" x14ac:dyDescent="0.2">
      <c r="G9" s="17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2:32" x14ac:dyDescent="0.2">
      <c r="E10" s="24"/>
      <c r="G10" s="17"/>
      <c r="U10" s="51"/>
    </row>
    <row r="11" spans="2:32" x14ac:dyDescent="0.2">
      <c r="B11" s="10" t="s">
        <v>29</v>
      </c>
      <c r="C11" s="10" t="s">
        <v>33</v>
      </c>
      <c r="D11" s="11">
        <v>43035</v>
      </c>
      <c r="E11" s="36">
        <f>+D11/$D$1</f>
        <v>94.582417582417577</v>
      </c>
      <c r="F11" s="36">
        <f>+(E11/$D$2)</f>
        <v>0.26991683287547497</v>
      </c>
      <c r="G11" s="37">
        <f>+VLOOKUP(C11,'Diet item and measures'!$B$3:$C$72,2,FALSE)</f>
        <v>1500</v>
      </c>
      <c r="H11" s="10"/>
      <c r="I11" s="52">
        <f t="shared" ref="I11:I51" si="1">+G11*10^-12</f>
        <v>1.5E-9</v>
      </c>
      <c r="J11" s="29"/>
      <c r="M11" s="47"/>
      <c r="N11" s="47"/>
      <c r="O11" s="47">
        <f>+D$6/I11</f>
        <v>72409012911.560059</v>
      </c>
      <c r="P11" s="29">
        <f>+($D$6/I11)*F11</f>
        <v>19544411436.727665</v>
      </c>
      <c r="Q11" s="31">
        <f>+LOG10(O11)</f>
        <v>10.859792627165906</v>
      </c>
      <c r="R11" s="31">
        <f>+LOG10(P11)</f>
        <v>10.291022596557465</v>
      </c>
      <c r="S11" s="51">
        <f>+LN(O11)</f>
        <v>25.005596616318858</v>
      </c>
      <c r="T11" s="66">
        <f>+LN(P11)</f>
        <v>23.695955222498092</v>
      </c>
    </row>
    <row r="12" spans="2:32" x14ac:dyDescent="0.2">
      <c r="B12" s="10"/>
      <c r="C12" s="10" t="s">
        <v>35</v>
      </c>
      <c r="D12" s="11">
        <v>167</v>
      </c>
      <c r="E12" s="36">
        <f t="shared" ref="E12:E75" si="2">+D12/$D$1</f>
        <v>0.36703296703296701</v>
      </c>
      <c r="F12" s="36">
        <f t="shared" ref="F12:F75" si="3">+(E12/$D$2)</f>
        <v>1.0474290946951162E-3</v>
      </c>
      <c r="G12" s="37">
        <f>+VLOOKUP(C12,'Diet item and measures'!$B$3:$C$72,2,FALSE)</f>
        <v>100531</v>
      </c>
      <c r="H12" s="10"/>
      <c r="I12" s="52">
        <f t="shared" si="1"/>
        <v>1.00531E-7</v>
      </c>
      <c r="J12" s="29"/>
      <c r="M12" s="47"/>
      <c r="N12" s="47"/>
      <c r="O12" s="47">
        <f t="shared" ref="O12:O53" si="4">+D$6/I12</f>
        <v>1080398278.8129044</v>
      </c>
      <c r="P12" s="29">
        <f t="shared" ref="P12:P53" si="5">+($D$6/I12)*F12</f>
        <v>1131640.5910871623</v>
      </c>
      <c r="Q12" s="31">
        <f t="shared" ref="Q12:R44" si="6">+LOG10(O12)</f>
        <v>9.0335838836395776</v>
      </c>
      <c r="R12" s="31">
        <f t="shared" si="6"/>
        <v>6.0537085168770393</v>
      </c>
      <c r="S12" s="66">
        <f t="shared" ref="S12:S51" si="7">+LN(O12)</f>
        <v>20.80059558677975</v>
      </c>
      <c r="T12" s="66">
        <f t="shared" ref="T12:T51" si="8">+LN(P12)</f>
        <v>13.939178988292165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2:32" x14ac:dyDescent="0.2">
      <c r="B13" s="10"/>
      <c r="C13" s="10" t="s">
        <v>37</v>
      </c>
      <c r="D13" s="11">
        <v>47266</v>
      </c>
      <c r="E13" s="36">
        <f t="shared" si="2"/>
        <v>103.88131868131867</v>
      </c>
      <c r="F13" s="36">
        <f t="shared" si="3"/>
        <v>0.29645379395125365</v>
      </c>
      <c r="G13" s="37">
        <f>+VLOOKUP(C13,'Diet item and measures'!$B$3:$C$72,2,FALSE)</f>
        <v>3937</v>
      </c>
      <c r="H13" s="10"/>
      <c r="I13" s="52">
        <f t="shared" si="1"/>
        <v>3.9369999999999999E-9</v>
      </c>
      <c r="J13" s="29"/>
      <c r="M13" s="47"/>
      <c r="N13" s="47"/>
      <c r="O13" s="47">
        <f t="shared" si="4"/>
        <v>27587889095.082573</v>
      </c>
      <c r="P13" s="29">
        <f t="shared" si="5"/>
        <v>8178534389.343647</v>
      </c>
      <c r="Q13" s="31">
        <f t="shared" si="6"/>
        <v>10.440718471431357</v>
      </c>
      <c r="R13" s="31">
        <f t="shared" si="6"/>
        <v>9.9126754841543381</v>
      </c>
      <c r="S13" s="66">
        <f t="shared" si="7"/>
        <v>24.04064271246542</v>
      </c>
      <c r="T13" s="66">
        <f t="shared" si="8"/>
        <v>22.824778801501314</v>
      </c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2:32" x14ac:dyDescent="0.2">
      <c r="B14" s="10"/>
      <c r="C14" s="10" t="s">
        <v>40</v>
      </c>
      <c r="D14" s="11">
        <v>4983</v>
      </c>
      <c r="E14" s="36">
        <f t="shared" si="2"/>
        <v>10.951648351648352</v>
      </c>
      <c r="F14" s="36">
        <f t="shared" si="3"/>
        <v>3.1253528017160262E-2</v>
      </c>
      <c r="G14" s="37">
        <f>+VLOOKUP(C14,'Diet item and measures'!$B$3:$C$72,2,FALSE)</f>
        <v>994625</v>
      </c>
      <c r="H14" s="10"/>
      <c r="I14" s="52">
        <f t="shared" si="1"/>
        <v>9.9462500000000003E-7</v>
      </c>
      <c r="J14" s="29"/>
      <c r="K14" s="45"/>
      <c r="M14" s="47"/>
      <c r="N14" s="47"/>
      <c r="O14" s="47">
        <f t="shared" si="4"/>
        <v>109200471.90382314</v>
      </c>
      <c r="P14" s="29">
        <f t="shared" si="5"/>
        <v>3412900.0081332582</v>
      </c>
      <c r="Q14" s="31">
        <f t="shared" si="6"/>
        <v>8.0382245151524501</v>
      </c>
      <c r="R14" s="31">
        <f t="shared" si="6"/>
        <v>6.5331235644133869</v>
      </c>
      <c r="S14" s="66">
        <f t="shared" si="7"/>
        <v>18.508695942729322</v>
      </c>
      <c r="T14" s="66">
        <f t="shared" si="8"/>
        <v>15.043072930106389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2:32" x14ac:dyDescent="0.2">
      <c r="B15" s="10"/>
      <c r="C15" s="10" t="s">
        <v>42</v>
      </c>
      <c r="D15" s="11">
        <v>2</v>
      </c>
      <c r="E15" s="36">
        <f t="shared" si="2"/>
        <v>4.3956043956043956E-3</v>
      </c>
      <c r="F15" s="36">
        <f t="shared" si="3"/>
        <v>1.2544061014312769E-5</v>
      </c>
      <c r="G15" s="37">
        <f>+VLOOKUP(C15,'Diet item and measures'!$B$3:$C$72,2,FALSE)</f>
        <v>50265</v>
      </c>
      <c r="H15" s="10"/>
      <c r="I15" s="52">
        <f t="shared" si="1"/>
        <v>5.0265E-8</v>
      </c>
      <c r="J15" s="29"/>
      <c r="M15" s="47"/>
      <c r="N15" s="47"/>
      <c r="O15" s="47">
        <f t="shared" si="4"/>
        <v>2160818051.672935</v>
      </c>
      <c r="P15" s="29">
        <f t="shared" si="5"/>
        <v>27105.433481013737</v>
      </c>
      <c r="Q15" s="31">
        <f t="shared" si="6"/>
        <v>9.3346181993306345</v>
      </c>
      <c r="R15" s="31">
        <f t="shared" si="6"/>
        <v>4.4330563570844941</v>
      </c>
      <c r="S15" s="66">
        <f t="shared" si="7"/>
        <v>21.493752714569638</v>
      </c>
      <c r="T15" s="66">
        <f t="shared" si="8"/>
        <v>10.207489484225245</v>
      </c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2:32" x14ac:dyDescent="0.2">
      <c r="B16" s="10"/>
      <c r="C16" s="10" t="s">
        <v>43</v>
      </c>
      <c r="D16" s="11">
        <v>126</v>
      </c>
      <c r="E16" s="36">
        <f t="shared" si="2"/>
        <v>0.27692307692307694</v>
      </c>
      <c r="F16" s="36">
        <f t="shared" si="3"/>
        <v>7.9027584390170449E-4</v>
      </c>
      <c r="G16" s="37">
        <f>+VLOOKUP(C16,'Diet item and measures'!$B$3:$C$72,2,FALSE)</f>
        <v>60495</v>
      </c>
      <c r="H16" s="10"/>
      <c r="I16" s="52">
        <f t="shared" si="1"/>
        <v>6.0495E-8</v>
      </c>
      <c r="J16" s="29"/>
      <c r="M16" s="47"/>
      <c r="N16" s="47"/>
      <c r="O16" s="47">
        <f t="shared" si="4"/>
        <v>1795413164.1844795</v>
      </c>
      <c r="P16" s="29">
        <f t="shared" si="5"/>
        <v>1418871.6534781191</v>
      </c>
      <c r="Q16" s="31">
        <f t="shared" si="6"/>
        <v>9.2541644051582868</v>
      </c>
      <c r="R16" s="31">
        <f t="shared" si="6"/>
        <v>6.1519431123657284</v>
      </c>
      <c r="S16" s="66">
        <f t="shared" si="7"/>
        <v>21.308501007433581</v>
      </c>
      <c r="T16" s="66">
        <f t="shared" si="8"/>
        <v>14.16537250348072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2:32" x14ac:dyDescent="0.2">
      <c r="B17" s="10"/>
      <c r="C17" s="10" t="s">
        <v>44</v>
      </c>
      <c r="D17" s="11">
        <v>92</v>
      </c>
      <c r="E17" s="36">
        <f t="shared" si="2"/>
        <v>0.2021978021978022</v>
      </c>
      <c r="F17" s="36">
        <f t="shared" si="3"/>
        <v>5.7702680665838735E-4</v>
      </c>
      <c r="G17" s="37">
        <f>+VLOOKUP(C17,'Diet item and measures'!$B$3:$C$72,2,FALSE)</f>
        <v>9802</v>
      </c>
      <c r="H17" s="10"/>
      <c r="I17" s="52">
        <f t="shared" si="1"/>
        <v>9.801999999999999E-9</v>
      </c>
      <c r="J17" s="29"/>
      <c r="M17" s="47"/>
      <c r="N17" s="47"/>
      <c r="O17" s="47">
        <f t="shared" si="4"/>
        <v>11080750802.626005</v>
      </c>
      <c r="P17" s="29">
        <f t="shared" si="5"/>
        <v>6393890.2510166466</v>
      </c>
      <c r="Q17" s="31">
        <f t="shared" si="6"/>
        <v>10.044569188044976</v>
      </c>
      <c r="R17" s="31">
        <f t="shared" si="6"/>
        <v>6.80576517748041</v>
      </c>
      <c r="S17" s="66">
        <f t="shared" si="7"/>
        <v>23.128475277939668</v>
      </c>
      <c r="T17" s="66">
        <f t="shared" si="8"/>
        <v>15.670853444084369</v>
      </c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2:32" x14ac:dyDescent="0.2">
      <c r="B18" s="10"/>
      <c r="C18" s="10" t="s">
        <v>45</v>
      </c>
      <c r="D18" s="11">
        <v>43</v>
      </c>
      <c r="E18" s="36">
        <f t="shared" si="2"/>
        <v>9.4505494505494503E-2</v>
      </c>
      <c r="F18" s="36">
        <f t="shared" si="3"/>
        <v>2.6969731180772455E-4</v>
      </c>
      <c r="G18" s="37">
        <f>+VLOOKUP(C18,'Diet item and measures'!$B$3:$C$72,2,FALSE)</f>
        <v>190</v>
      </c>
      <c r="H18" s="10"/>
      <c r="I18" s="52">
        <f t="shared" si="1"/>
        <v>1.8999999999999999E-10</v>
      </c>
      <c r="J18" s="29"/>
      <c r="K18" s="45"/>
      <c r="M18" s="47"/>
      <c r="N18" s="47"/>
      <c r="O18" s="47">
        <f t="shared" si="4"/>
        <v>571650101933.3689</v>
      </c>
      <c r="P18" s="29">
        <f t="shared" si="5"/>
        <v>154172495.78604132</v>
      </c>
      <c r="Q18" s="31">
        <f t="shared" si="6"/>
        <v>11.757130285268758</v>
      </c>
      <c r="R18" s="31">
        <f t="shared" si="6"/>
        <v>8.1880069029382234</v>
      </c>
      <c r="S18" s="66">
        <f t="shared" si="7"/>
        <v>27.071792931248673</v>
      </c>
      <c r="T18" s="66">
        <f t="shared" si="8"/>
        <v>18.853582636037896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2:32" x14ac:dyDescent="0.2">
      <c r="B19" s="10"/>
      <c r="C19" s="10" t="s">
        <v>46</v>
      </c>
      <c r="D19" s="10">
        <v>16</v>
      </c>
      <c r="E19" s="36">
        <f t="shared" si="2"/>
        <v>3.5164835164835165E-2</v>
      </c>
      <c r="F19" s="36">
        <f t="shared" si="3"/>
        <v>1.0035248811450215E-4</v>
      </c>
      <c r="G19" s="37">
        <f>+VLOOKUP(C19,'Diet item and measures'!$B$3:$C$72,2,FALSE)</f>
        <v>9772</v>
      </c>
      <c r="H19" s="10"/>
      <c r="I19" s="52">
        <f t="shared" si="1"/>
        <v>9.7719999999999998E-9</v>
      </c>
      <c r="J19" s="29"/>
      <c r="M19" s="47"/>
      <c r="N19" s="47"/>
      <c r="O19" s="47">
        <f t="shared" si="4"/>
        <v>11114768662.23292</v>
      </c>
      <c r="P19" s="29">
        <f t="shared" si="5"/>
        <v>1115394.69007217</v>
      </c>
      <c r="Q19" s="31">
        <f t="shared" si="6"/>
        <v>10.045900427920188</v>
      </c>
      <c r="R19" s="31">
        <f t="shared" si="6"/>
        <v>6.0474285726659911</v>
      </c>
      <c r="S19" s="66">
        <f t="shared" si="7"/>
        <v>23.131540571031529</v>
      </c>
      <c r="T19" s="66">
        <f t="shared" si="8"/>
        <v>13.924718882366971</v>
      </c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2:32" x14ac:dyDescent="0.2">
      <c r="B20" s="10"/>
      <c r="C20" s="10" t="s">
        <v>47</v>
      </c>
      <c r="D20" s="11">
        <v>280</v>
      </c>
      <c r="E20" s="36">
        <f t="shared" si="2"/>
        <v>0.61538461538461542</v>
      </c>
      <c r="F20" s="36">
        <f t="shared" si="3"/>
        <v>1.7561685420037878E-3</v>
      </c>
      <c r="G20" s="37">
        <f>+VLOOKUP(C20,'Diet item and measures'!$B$3:$C$72,2,FALSE)</f>
        <v>144013</v>
      </c>
      <c r="H20" s="10"/>
      <c r="I20" s="52">
        <f t="shared" si="1"/>
        <v>1.4401300000000001E-7</v>
      </c>
      <c r="J20" s="29"/>
      <c r="M20" s="47"/>
      <c r="N20" s="47"/>
      <c r="O20" s="47">
        <f t="shared" si="4"/>
        <v>754192464.34238636</v>
      </c>
      <c r="P20" s="29">
        <f t="shared" si="5"/>
        <v>1324489.0804944125</v>
      </c>
      <c r="Q20" s="31">
        <f t="shared" si="6"/>
        <v>8.8774821887552697</v>
      </c>
      <c r="R20" s="31">
        <f t="shared" si="6"/>
        <v>6.1220483821873684</v>
      </c>
      <c r="S20" s="66">
        <f t="shared" si="7"/>
        <v>20.441158151148038</v>
      </c>
      <c r="T20" s="66">
        <f t="shared" si="8"/>
        <v>14.096537343412948</v>
      </c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2:32" x14ac:dyDescent="0.2">
      <c r="B21" s="10"/>
      <c r="C21" s="53" t="s">
        <v>48</v>
      </c>
      <c r="D21" s="54">
        <v>1</v>
      </c>
      <c r="E21" s="36">
        <f t="shared" si="2"/>
        <v>2.1978021978021978E-3</v>
      </c>
      <c r="F21" s="36">
        <f t="shared" si="3"/>
        <v>6.2720305071563844E-6</v>
      </c>
      <c r="G21" s="37">
        <f>+VLOOKUP(C21,'Diet item and measures'!$B$3:$C$72,2,FALSE)</f>
        <v>63513</v>
      </c>
      <c r="H21" s="10"/>
      <c r="I21" s="52">
        <f t="shared" si="1"/>
        <v>6.3512999999999994E-8</v>
      </c>
      <c r="J21" s="29"/>
      <c r="K21" s="46"/>
      <c r="M21" s="47"/>
      <c r="N21" s="47"/>
      <c r="O21" s="47">
        <f t="shared" si="4"/>
        <v>1710099024.8821516</v>
      </c>
      <c r="P21" s="29">
        <f t="shared" si="5"/>
        <v>10725.79325431924</v>
      </c>
      <c r="Q21" s="31">
        <f t="shared" si="6"/>
        <v>9.2330212593481278</v>
      </c>
      <c r="R21" s="31">
        <f t="shared" si="6"/>
        <v>4.030429421438007</v>
      </c>
      <c r="S21" s="66">
        <f t="shared" si="7"/>
        <v>21.25981711507211</v>
      </c>
      <c r="T21" s="66">
        <f t="shared" si="8"/>
        <v>9.2804067041677705</v>
      </c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2:32" x14ac:dyDescent="0.2">
      <c r="B22" s="10"/>
      <c r="C22" s="10" t="s">
        <v>49</v>
      </c>
      <c r="D22" s="10">
        <v>20</v>
      </c>
      <c r="E22" s="36">
        <f t="shared" si="2"/>
        <v>4.3956043956043959E-2</v>
      </c>
      <c r="F22" s="36">
        <f t="shared" si="3"/>
        <v>1.2544061014312769E-4</v>
      </c>
      <c r="G22" s="37">
        <f>+VLOOKUP(C22,'Diet item and measures'!$B$3:$C$72,2,FALSE)</f>
        <v>21205.75</v>
      </c>
      <c r="H22" s="10"/>
      <c r="I22" s="52">
        <f t="shared" si="1"/>
        <v>2.1205750000000001E-8</v>
      </c>
      <c r="J22" s="29"/>
      <c r="M22" s="47"/>
      <c r="N22" s="47"/>
      <c r="O22" s="47">
        <f t="shared" si="4"/>
        <v>5121890023.5709696</v>
      </c>
      <c r="P22" s="29">
        <f t="shared" si="5"/>
        <v>642493.00964274106</v>
      </c>
      <c r="Q22" s="31">
        <f t="shared" si="6"/>
        <v>9.7094302491286939</v>
      </c>
      <c r="R22" s="31">
        <f t="shared" si="6"/>
        <v>5.8078684068825552</v>
      </c>
      <c r="S22" s="66">
        <f t="shared" si="7"/>
        <v>22.356789353109196</v>
      </c>
      <c r="T22" s="66">
        <f t="shared" si="8"/>
        <v>13.373111215758849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2:32" x14ac:dyDescent="0.2">
      <c r="B23" s="10"/>
      <c r="C23" s="10" t="s">
        <v>50</v>
      </c>
      <c r="D23" s="11">
        <v>334</v>
      </c>
      <c r="E23" s="36">
        <f t="shared" si="2"/>
        <v>0.73406593406593401</v>
      </c>
      <c r="F23" s="36">
        <f t="shared" si="3"/>
        <v>2.0948581893902325E-3</v>
      </c>
      <c r="G23" s="37">
        <f>+VLOOKUP(C23,'Diet item and measures'!$B$3:$C$72,2,FALSE)</f>
        <v>176715</v>
      </c>
      <c r="H23" s="10"/>
      <c r="I23" s="52">
        <f t="shared" si="1"/>
        <v>1.76715E-7</v>
      </c>
      <c r="J23" s="29"/>
      <c r="K23" s="45"/>
      <c r="M23" s="47"/>
      <c r="N23" s="47"/>
      <c r="O23" s="47">
        <f t="shared" si="4"/>
        <v>614625353.63347816</v>
      </c>
      <c r="P23" s="29">
        <f t="shared" si="5"/>
        <v>1287552.9554659594</v>
      </c>
      <c r="Q23" s="31">
        <f t="shared" si="6"/>
        <v>8.7886104711758239</v>
      </c>
      <c r="R23" s="31">
        <f t="shared" si="6"/>
        <v>6.1097651000772686</v>
      </c>
      <c r="S23" s="66">
        <f t="shared" si="7"/>
        <v>20.23652345906083</v>
      </c>
      <c r="T23" s="66">
        <f t="shared" si="8"/>
        <v>14.068254041133192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2:32" x14ac:dyDescent="0.2">
      <c r="B24" s="10"/>
      <c r="C24" s="10" t="s">
        <v>54</v>
      </c>
      <c r="D24" s="11">
        <v>277</v>
      </c>
      <c r="E24" s="36">
        <f t="shared" si="2"/>
        <v>0.60879120879120874</v>
      </c>
      <c r="F24" s="36">
        <f t="shared" si="3"/>
        <v>1.7373524504823183E-3</v>
      </c>
      <c r="G24" s="37">
        <f>+VLOOKUP(C24,'Diet item and measures'!$B$3:$C$72,2,FALSE)</f>
        <v>6800</v>
      </c>
      <c r="H24" s="10"/>
      <c r="I24" s="52">
        <f t="shared" si="1"/>
        <v>6.7999999999999997E-9</v>
      </c>
      <c r="J24" s="29"/>
      <c r="K24" s="45"/>
      <c r="M24" s="47"/>
      <c r="N24" s="47"/>
      <c r="O24" s="47">
        <f t="shared" si="4"/>
        <v>15972576377.550014</v>
      </c>
      <c r="P24" s="29">
        <f t="shared" si="5"/>
        <v>27749994.710052509</v>
      </c>
      <c r="Q24" s="31">
        <f t="shared" si="6"/>
        <v>10.20337497351535</v>
      </c>
      <c r="R24" s="31">
        <f t="shared" si="6"/>
        <v>7.4432629046696777</v>
      </c>
      <c r="S24" s="66">
        <f t="shared" si="7"/>
        <v>23.494139112244962</v>
      </c>
      <c r="T24" s="66">
        <f t="shared" si="8"/>
        <v>17.138746207527962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2:32" x14ac:dyDescent="0.2">
      <c r="B25" s="10"/>
      <c r="C25" s="10" t="s">
        <v>55</v>
      </c>
      <c r="D25" s="11">
        <v>374</v>
      </c>
      <c r="E25" s="36">
        <f t="shared" si="2"/>
        <v>0.82197802197802194</v>
      </c>
      <c r="F25" s="36">
        <f t="shared" si="3"/>
        <v>2.3457394096764875E-3</v>
      </c>
      <c r="G25" s="37">
        <f>+VLOOKUP(C25,'Diet item and measures'!$B$3:$C$72,2,FALSE)</f>
        <v>3013</v>
      </c>
      <c r="H25" s="10"/>
      <c r="I25" s="52">
        <f t="shared" si="1"/>
        <v>3.0129999999999998E-9</v>
      </c>
      <c r="J25" s="29"/>
      <c r="M25" s="47"/>
      <c r="N25" s="47"/>
      <c r="O25" s="47">
        <f t="shared" si="4"/>
        <v>36048297168.051804</v>
      </c>
      <c r="P25" s="29">
        <f t="shared" si="5"/>
        <v>84559911.318828434</v>
      </c>
      <c r="Q25" s="31">
        <f t="shared" si="6"/>
        <v>10.556884754548228</v>
      </c>
      <c r="R25" s="31">
        <f t="shared" si="6"/>
        <v>7.9271645188385884</v>
      </c>
      <c r="S25" s="66">
        <f t="shared" si="7"/>
        <v>24.308125464278859</v>
      </c>
      <c r="T25" s="66">
        <f t="shared" si="8"/>
        <v>18.252970850789051</v>
      </c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2:32" x14ac:dyDescent="0.2">
      <c r="B26" s="10"/>
      <c r="C26" s="10" t="s">
        <v>57</v>
      </c>
      <c r="D26" s="11">
        <v>42</v>
      </c>
      <c r="E26" s="36">
        <f t="shared" si="2"/>
        <v>9.2307692307692313E-2</v>
      </c>
      <c r="F26" s="36">
        <f t="shared" si="3"/>
        <v>2.6342528130056815E-4</v>
      </c>
      <c r="G26" s="37">
        <f>+VLOOKUP(C26,'Diet item and measures'!$B$3:$C$72,2,FALSE)</f>
        <v>75398</v>
      </c>
      <c r="H26" s="10"/>
      <c r="I26" s="52">
        <f t="shared" si="1"/>
        <v>7.5397999999999998E-8</v>
      </c>
      <c r="J26" s="29"/>
      <c r="M26" s="47"/>
      <c r="N26" s="47"/>
      <c r="O26" s="47">
        <f t="shared" si="4"/>
        <v>1440535814.8404479</v>
      </c>
      <c r="P26" s="29">
        <f t="shared" si="5"/>
        <v>379473.55224788812</v>
      </c>
      <c r="Q26" s="31">
        <f t="shared" si="6"/>
        <v>9.1585240602521267</v>
      </c>
      <c r="R26" s="31">
        <f t="shared" si="6"/>
        <v>5.5791815127399076</v>
      </c>
      <c r="S26" s="66">
        <f t="shared" si="7"/>
        <v>21.088280974963851</v>
      </c>
      <c r="T26" s="66">
        <f t="shared" si="8"/>
        <v>12.84654018234288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2:32" x14ac:dyDescent="0.2">
      <c r="B27" s="10"/>
      <c r="C27" s="10" t="s">
        <v>58</v>
      </c>
      <c r="D27" s="10">
        <v>35</v>
      </c>
      <c r="E27" s="36">
        <f t="shared" si="2"/>
        <v>7.6923076923076927E-2</v>
      </c>
      <c r="F27" s="36">
        <f t="shared" si="3"/>
        <v>2.1952106775047347E-4</v>
      </c>
      <c r="G27" s="37">
        <f>+VLOOKUP(C27,'Diet item and measures'!$B$3:$C$72,2,FALSE)</f>
        <v>36882</v>
      </c>
      <c r="H27" s="10"/>
      <c r="I27" s="52">
        <f t="shared" si="1"/>
        <v>3.6881999999999999E-8</v>
      </c>
      <c r="J27" s="29"/>
      <c r="M27" s="47"/>
      <c r="N27" s="47"/>
      <c r="O27" s="47">
        <f t="shared" si="4"/>
        <v>2944892342.2628951</v>
      </c>
      <c r="P27" s="29">
        <f t="shared" si="5"/>
        <v>646465.91138374351</v>
      </c>
      <c r="Q27" s="31">
        <f t="shared" si="6"/>
        <v>9.4690694227170855</v>
      </c>
      <c r="R27" s="31">
        <f t="shared" si="6"/>
        <v>5.8105456291572404</v>
      </c>
      <c r="S27" s="66">
        <f t="shared" si="7"/>
        <v>21.803338097274096</v>
      </c>
      <c r="T27" s="66">
        <f t="shared" si="8"/>
        <v>13.37927574785917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2:32" x14ac:dyDescent="0.2">
      <c r="B28" s="10"/>
      <c r="C28" s="10" t="s">
        <v>60</v>
      </c>
      <c r="D28" s="11">
        <v>31014</v>
      </c>
      <c r="E28" s="36">
        <f t="shared" si="2"/>
        <v>68.162637362637369</v>
      </c>
      <c r="F28" s="36">
        <f t="shared" si="3"/>
        <v>0.19452075414894812</v>
      </c>
      <c r="G28" s="37">
        <f>+VLOOKUP(C28,'Diet item and measures'!$B$3:$C$72,2,FALSE)</f>
        <v>646</v>
      </c>
      <c r="H28" s="10"/>
      <c r="I28" s="52">
        <f t="shared" si="1"/>
        <v>6.4599999999999994E-10</v>
      </c>
      <c r="J28" s="29"/>
      <c r="M28" s="47"/>
      <c r="N28" s="47"/>
      <c r="O28" s="47">
        <f t="shared" si="4"/>
        <v>168132382921.5791</v>
      </c>
      <c r="P28" s="29">
        <f t="shared" si="5"/>
        <v>32705237922.765293</v>
      </c>
      <c r="Q28" s="31">
        <f t="shared" si="6"/>
        <v>11.225651368226503</v>
      </c>
      <c r="R28" s="31">
        <f t="shared" si="6"/>
        <v>10.514617312867717</v>
      </c>
      <c r="S28" s="66">
        <f t="shared" si="7"/>
        <v>25.848017499626557</v>
      </c>
      <c r="T28" s="66">
        <f t="shared" si="8"/>
        <v>24.210801083146315</v>
      </c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2:32" x14ac:dyDescent="0.2">
      <c r="B29" s="10"/>
      <c r="C29" s="10" t="s">
        <v>62</v>
      </c>
      <c r="D29" s="11">
        <v>905</v>
      </c>
      <c r="E29" s="36">
        <f t="shared" si="2"/>
        <v>1.9890109890109891</v>
      </c>
      <c r="F29" s="36">
        <f t="shared" si="3"/>
        <v>5.6761876089765281E-3</v>
      </c>
      <c r="G29" s="37">
        <f>+VLOOKUP(C29,'Diet item and measures'!$B$3:$C$72,2,FALSE)</f>
        <v>108532</v>
      </c>
      <c r="H29" s="10"/>
      <c r="I29" s="52">
        <f t="shared" si="1"/>
        <v>1.08532E-7</v>
      </c>
      <c r="J29" s="29"/>
      <c r="K29" s="45"/>
      <c r="M29" s="47"/>
      <c r="N29" s="47"/>
      <c r="O29" s="47">
        <f t="shared" si="4"/>
        <v>1000751109.0493135</v>
      </c>
      <c r="P29" s="29">
        <f t="shared" si="5"/>
        <v>5680451.0448552314</v>
      </c>
      <c r="Q29" s="31">
        <f t="shared" si="6"/>
        <v>9.0003260800699039</v>
      </c>
      <c r="R29" s="31">
        <f t="shared" si="6"/>
        <v>6.7543828213649855</v>
      </c>
      <c r="S29" s="66">
        <f t="shared" si="7"/>
        <v>20.724016664054492</v>
      </c>
      <c r="T29" s="66">
        <f t="shared" si="8"/>
        <v>15.552541196850081</v>
      </c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2:32" x14ac:dyDescent="0.2">
      <c r="B30" s="10"/>
      <c r="C30" s="10" t="s">
        <v>63</v>
      </c>
      <c r="D30" s="11">
        <v>391</v>
      </c>
      <c r="E30" s="36">
        <f t="shared" si="2"/>
        <v>0.85934065934065929</v>
      </c>
      <c r="F30" s="36">
        <f t="shared" si="3"/>
        <v>2.4523639282981462E-3</v>
      </c>
      <c r="G30" s="37">
        <f>+VLOOKUP(C30,'Diet item and measures'!$B$3:$C$72,2,FALSE)</f>
        <v>459</v>
      </c>
      <c r="H30" s="10"/>
      <c r="I30" s="52">
        <f t="shared" si="1"/>
        <v>4.5899999999999997E-10</v>
      </c>
      <c r="J30" s="29"/>
      <c r="M30" s="47"/>
      <c r="N30" s="47"/>
      <c r="O30" s="47">
        <f t="shared" si="4"/>
        <v>236630761148.8891</v>
      </c>
      <c r="P30" s="29">
        <f t="shared" si="5"/>
        <v>580304742.96727002</v>
      </c>
      <c r="Q30" s="31">
        <f t="shared" si="6"/>
        <v>11.374071200684325</v>
      </c>
      <c r="R30" s="31">
        <f t="shared" si="6"/>
        <v>8.7636561201700705</v>
      </c>
      <c r="S30" s="66">
        <f t="shared" si="7"/>
        <v>26.189766793348614</v>
      </c>
      <c r="T30" s="66">
        <f t="shared" si="8"/>
        <v>20.179063942429643</v>
      </c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2:32" x14ac:dyDescent="0.2">
      <c r="B31" s="10"/>
      <c r="C31" s="10" t="s">
        <v>64</v>
      </c>
      <c r="D31" s="10">
        <v>105</v>
      </c>
      <c r="E31" s="36">
        <f t="shared" si="2"/>
        <v>0.23076923076923078</v>
      </c>
      <c r="F31" s="36">
        <f t="shared" si="3"/>
        <v>6.5856320325142039E-4</v>
      </c>
      <c r="G31" s="37">
        <f>+VLOOKUP(C31,'Diet item and measures'!$B$3:$C$72,2,FALSE)</f>
        <v>108909</v>
      </c>
      <c r="H31" s="10"/>
      <c r="I31" s="52">
        <f t="shared" si="1"/>
        <v>1.08909E-7</v>
      </c>
      <c r="J31" s="30"/>
      <c r="M31" s="47"/>
      <c r="N31" s="47"/>
      <c r="O31" s="47">
        <f t="shared" si="4"/>
        <v>997286903.44544613</v>
      </c>
      <c r="P31" s="29">
        <f t="shared" si="5"/>
        <v>656776.45769372303</v>
      </c>
      <c r="Q31" s="31">
        <f t="shared" si="6"/>
        <v>8.998820115842932</v>
      </c>
      <c r="R31" s="31">
        <f t="shared" si="6"/>
        <v>5.8174175770027494</v>
      </c>
      <c r="S31" s="66">
        <f t="shared" si="7"/>
        <v>20.720549053274887</v>
      </c>
      <c r="T31" s="66">
        <f t="shared" si="8"/>
        <v>13.395098992528073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2:32" x14ac:dyDescent="0.2">
      <c r="B32" s="10"/>
      <c r="C32" s="10" t="s">
        <v>65</v>
      </c>
      <c r="D32" s="10">
        <v>1924</v>
      </c>
      <c r="E32" s="36">
        <f t="shared" si="2"/>
        <v>4.2285714285714286</v>
      </c>
      <c r="F32" s="36">
        <f t="shared" si="3"/>
        <v>1.2067386695768885E-2</v>
      </c>
      <c r="G32" s="37">
        <f>+VLOOKUP(C32,'Diet item and measures'!$B$3:$C$72,2,FALSE)</f>
        <v>1252</v>
      </c>
      <c r="H32" s="10"/>
      <c r="I32" s="52">
        <f t="shared" si="1"/>
        <v>1.252E-9</v>
      </c>
      <c r="J32" s="30"/>
      <c r="M32" s="47"/>
      <c r="N32" s="47"/>
      <c r="O32" s="47">
        <f t="shared" si="4"/>
        <v>86752012274.233292</v>
      </c>
      <c r="P32" s="29">
        <f t="shared" si="5"/>
        <v>1046870078.7492619</v>
      </c>
      <c r="Q32" s="31">
        <f t="shared" si="6"/>
        <v>10.938279557347176</v>
      </c>
      <c r="R32" s="31">
        <f t="shared" si="6"/>
        <v>9.0198927871388488</v>
      </c>
      <c r="S32" s="66">
        <f t="shared" si="7"/>
        <v>25.186319451749114</v>
      </c>
      <c r="T32" s="66">
        <f t="shared" si="8"/>
        <v>20.769070672070427</v>
      </c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2:32" x14ac:dyDescent="0.2">
      <c r="B33" s="10"/>
      <c r="C33" s="10" t="s">
        <v>66</v>
      </c>
      <c r="D33" s="11">
        <v>3798</v>
      </c>
      <c r="E33" s="36">
        <f t="shared" si="2"/>
        <v>8.3472527472527478</v>
      </c>
      <c r="F33" s="36">
        <f t="shared" si="3"/>
        <v>2.3821171866179949E-2</v>
      </c>
      <c r="G33" s="37">
        <f>+VLOOKUP(C33,'Diet item and measures'!$B$3:$C$72,2,FALSE)</f>
        <v>14390</v>
      </c>
      <c r="H33" s="10"/>
      <c r="I33" s="52">
        <f t="shared" si="1"/>
        <v>1.439E-8</v>
      </c>
      <c r="J33" s="30"/>
      <c r="M33" s="47"/>
      <c r="N33" s="47"/>
      <c r="O33" s="47">
        <f t="shared" si="4"/>
        <v>7547847072.0875673</v>
      </c>
      <c r="P33" s="29">
        <f t="shared" si="5"/>
        <v>179798562.32384107</v>
      </c>
      <c r="Q33" s="31">
        <f t="shared" si="6"/>
        <v>9.8778230922849808</v>
      </c>
      <c r="R33" s="31">
        <f t="shared" si="6"/>
        <v>8.2547862147758586</v>
      </c>
      <c r="S33" s="66">
        <f t="shared" si="7"/>
        <v>22.744528203527747</v>
      </c>
      <c r="T33" s="66">
        <f t="shared" si="8"/>
        <v>19.00734768399564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2:32" x14ac:dyDescent="0.2">
      <c r="B34" s="10"/>
      <c r="C34" s="10" t="s">
        <v>53</v>
      </c>
      <c r="D34" s="11">
        <v>36</v>
      </c>
      <c r="E34" s="36">
        <f t="shared" si="2"/>
        <v>7.9120879120879117E-2</v>
      </c>
      <c r="F34" s="36">
        <f t="shared" si="3"/>
        <v>2.2579309825762983E-4</v>
      </c>
      <c r="G34" s="37">
        <f>+VLOOKUP(C34,'Diet item and measures'!$B$3:$C$72,2,FALSE)</f>
        <v>31250</v>
      </c>
      <c r="H34" s="10"/>
      <c r="I34" s="52">
        <f t="shared" si="1"/>
        <v>3.1249999999999999E-8</v>
      </c>
      <c r="J34" s="30"/>
      <c r="K34" s="45"/>
      <c r="M34" s="47"/>
      <c r="N34" s="47"/>
      <c r="O34" s="47">
        <f t="shared" si="4"/>
        <v>3475632619.7548828</v>
      </c>
      <c r="P34" s="29">
        <f t="shared" si="5"/>
        <v>784773.85761973762</v>
      </c>
      <c r="Q34" s="31">
        <f t="shared" si="6"/>
        <v>9.5410338645414932</v>
      </c>
      <c r="R34" s="31">
        <f t="shared" si="6"/>
        <v>5.8947445273986592</v>
      </c>
      <c r="S34" s="66">
        <f t="shared" si="7"/>
        <v>21.96904234824461</v>
      </c>
      <c r="T34" s="66">
        <f t="shared" si="8"/>
        <v>13.573150875796383</v>
      </c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2:32" x14ac:dyDescent="0.2">
      <c r="B35" s="10" t="s">
        <v>99</v>
      </c>
      <c r="C35" s="10" t="s">
        <v>70</v>
      </c>
      <c r="D35" s="11">
        <v>1195</v>
      </c>
      <c r="E35" s="36">
        <f t="shared" si="2"/>
        <v>2.6263736263736264</v>
      </c>
      <c r="F35" s="36">
        <f t="shared" si="3"/>
        <v>7.4950764560518792E-3</v>
      </c>
      <c r="G35" s="37">
        <f>+VLOOKUP(C35,'Diet item and measures'!$B$3:$C$72,2,FALSE)</f>
        <v>47435</v>
      </c>
      <c r="H35" s="10"/>
      <c r="I35" s="52">
        <f t="shared" si="1"/>
        <v>4.7435000000000001E-8</v>
      </c>
      <c r="J35" s="30"/>
      <c r="K35" s="45"/>
      <c r="M35" s="47"/>
      <c r="N35" s="47"/>
      <c r="O35" s="47">
        <f t="shared" si="4"/>
        <v>2289733727.5712047</v>
      </c>
      <c r="P35" s="29">
        <f t="shared" si="5"/>
        <v>17161729.352146845</v>
      </c>
      <c r="Q35" s="31">
        <f t="shared" si="6"/>
        <v>9.3597849813048857</v>
      </c>
      <c r="R35" s="31">
        <f t="shared" si="6"/>
        <v>7.2345610486789216</v>
      </c>
      <c r="S35" s="66">
        <f t="shared" si="7"/>
        <v>21.551701371582183</v>
      </c>
      <c r="T35" s="66">
        <f t="shared" si="8"/>
        <v>16.658192425043456</v>
      </c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2:32" x14ac:dyDescent="0.2">
      <c r="B36" s="10"/>
      <c r="C36" s="10" t="s">
        <v>71</v>
      </c>
      <c r="D36" s="11">
        <v>227</v>
      </c>
      <c r="E36" s="36">
        <f t="shared" si="2"/>
        <v>0.49890109890109891</v>
      </c>
      <c r="F36" s="36">
        <f t="shared" si="3"/>
        <v>1.4237509251244992E-3</v>
      </c>
      <c r="G36" s="37">
        <f>+VLOOKUP(C36,'Diet item and measures'!$B$3:$C$72,2,FALSE)</f>
        <v>50000</v>
      </c>
      <c r="H36" s="10"/>
      <c r="I36" s="52">
        <f t="shared" si="1"/>
        <v>4.9999999999999998E-8</v>
      </c>
      <c r="J36" s="30"/>
      <c r="M36" s="47"/>
      <c r="N36" s="47"/>
      <c r="O36" s="47">
        <f t="shared" si="4"/>
        <v>2172270387.3468018</v>
      </c>
      <c r="P36" s="29">
        <f t="shared" si="5"/>
        <v>3092771.9736055634</v>
      </c>
      <c r="Q36" s="31">
        <f t="shared" si="6"/>
        <v>9.3369138818855681</v>
      </c>
      <c r="R36" s="31">
        <f t="shared" si="6"/>
        <v>6.4903479011685699</v>
      </c>
      <c r="S36" s="66">
        <f t="shared" si="7"/>
        <v>21.499038718998875</v>
      </c>
      <c r="T36" s="66">
        <f t="shared" si="8"/>
        <v>14.944578325575939</v>
      </c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2:32" x14ac:dyDescent="0.2">
      <c r="B37" s="10"/>
      <c r="C37" s="10" t="s">
        <v>74</v>
      </c>
      <c r="D37" s="11">
        <v>273</v>
      </c>
      <c r="E37" s="36">
        <f t="shared" si="2"/>
        <v>0.6</v>
      </c>
      <c r="F37" s="36">
        <f t="shared" si="3"/>
        <v>1.7122643284536929E-3</v>
      </c>
      <c r="G37" s="37">
        <f>+VLOOKUP(C37,'Diet item and measures'!$B$3:$C$72,2,FALSE)</f>
        <v>50000</v>
      </c>
      <c r="H37" s="10"/>
      <c r="I37" s="52">
        <f t="shared" si="1"/>
        <v>4.9999999999999998E-8</v>
      </c>
      <c r="J37" s="30"/>
      <c r="M37" s="47"/>
      <c r="N37" s="47"/>
      <c r="O37" s="47">
        <f t="shared" si="4"/>
        <v>2172270387.3468018</v>
      </c>
      <c r="P37" s="29">
        <f t="shared" si="5"/>
        <v>3719501.0960102146</v>
      </c>
      <c r="Q37" s="31">
        <f t="shared" si="6"/>
        <v>9.3369138818855681</v>
      </c>
      <c r="R37" s="31">
        <f t="shared" si="6"/>
        <v>6.5704846910162029</v>
      </c>
      <c r="S37" s="66">
        <f t="shared" si="7"/>
        <v>21.499038718998875</v>
      </c>
      <c r="T37" s="66">
        <f t="shared" si="8"/>
        <v>15.129100103279496</v>
      </c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2:32" x14ac:dyDescent="0.2">
      <c r="B38" s="10"/>
      <c r="C38" s="10" t="s">
        <v>76</v>
      </c>
      <c r="D38" s="11">
        <v>85</v>
      </c>
      <c r="E38" s="36">
        <f t="shared" si="2"/>
        <v>0.18681318681318682</v>
      </c>
      <c r="F38" s="36">
        <f t="shared" si="3"/>
        <v>5.3312259310829265E-4</v>
      </c>
      <c r="G38" s="37">
        <f>+VLOOKUP(C38,'Diet item and measures'!$B$3:$C$72,2,FALSE)</f>
        <v>50000</v>
      </c>
      <c r="H38" s="10"/>
      <c r="I38" s="52">
        <f t="shared" si="1"/>
        <v>4.9999999999999998E-8</v>
      </c>
      <c r="J38" s="30"/>
      <c r="K38" s="45"/>
      <c r="M38" s="47"/>
      <c r="N38" s="47"/>
      <c r="O38" s="47">
        <f t="shared" si="4"/>
        <v>2172270387.3468018</v>
      </c>
      <c r="P38" s="29">
        <f t="shared" si="5"/>
        <v>1158086.4218346823</v>
      </c>
      <c r="Q38" s="31">
        <f t="shared" si="6"/>
        <v>9.3369138818855681</v>
      </c>
      <c r="R38" s="31">
        <f t="shared" si="6"/>
        <v>6.0637409696897393</v>
      </c>
      <c r="S38" s="66">
        <f t="shared" si="7"/>
        <v>21.499038718998875</v>
      </c>
      <c r="T38" s="66">
        <f t="shared" si="8"/>
        <v>13.962279564584854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2:32" x14ac:dyDescent="0.2">
      <c r="B39" s="10"/>
      <c r="C39" s="10" t="s">
        <v>79</v>
      </c>
      <c r="D39" s="11">
        <v>1</v>
      </c>
      <c r="E39" s="36">
        <f t="shared" si="2"/>
        <v>2.1978021978021978E-3</v>
      </c>
      <c r="F39" s="36">
        <f t="shared" si="3"/>
        <v>6.2720305071563844E-6</v>
      </c>
      <c r="G39" s="37">
        <f>+VLOOKUP(C39,'Diet item and measures'!$B$3:$C$72,2,FALSE)</f>
        <v>50000</v>
      </c>
      <c r="H39" s="10"/>
      <c r="I39" s="52">
        <f t="shared" si="1"/>
        <v>4.9999999999999998E-8</v>
      </c>
      <c r="J39" s="30"/>
      <c r="K39" s="45"/>
      <c r="M39" s="47"/>
      <c r="N39" s="47"/>
      <c r="O39" s="47">
        <f t="shared" si="4"/>
        <v>2172270387.3468018</v>
      </c>
      <c r="P39" s="29">
        <f t="shared" si="5"/>
        <v>13624.546139231557</v>
      </c>
      <c r="Q39" s="31">
        <f t="shared" si="6"/>
        <v>9.3369138818855681</v>
      </c>
      <c r="R39" s="31">
        <f t="shared" si="6"/>
        <v>4.1343220439754473</v>
      </c>
      <c r="S39" s="66">
        <f t="shared" si="7"/>
        <v>21.499038718998875</v>
      </c>
      <c r="T39" s="66">
        <f t="shared" si="8"/>
        <v>9.5196283080945374</v>
      </c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2:32" x14ac:dyDescent="0.2">
      <c r="B40" s="10"/>
      <c r="C40" s="10" t="s">
        <v>81</v>
      </c>
      <c r="D40" s="10">
        <v>119</v>
      </c>
      <c r="E40" s="36">
        <f t="shared" si="2"/>
        <v>0.26153846153846155</v>
      </c>
      <c r="F40" s="36">
        <f t="shared" si="3"/>
        <v>7.4637163035160979E-4</v>
      </c>
      <c r="G40" s="37">
        <f>+VLOOKUP(C40,'Diet item and measures'!$B$3:$C$72,2,FALSE)</f>
        <v>16303</v>
      </c>
      <c r="H40" s="10"/>
      <c r="I40" s="52">
        <f t="shared" si="1"/>
        <v>1.6303E-8</v>
      </c>
      <c r="J40" s="30"/>
      <c r="K40" s="45"/>
      <c r="M40" s="47"/>
      <c r="N40" s="47"/>
      <c r="O40" s="47">
        <f t="shared" si="4"/>
        <v>6662179928.0709124</v>
      </c>
      <c r="P40" s="29">
        <f t="shared" si="5"/>
        <v>4972462.0946100568</v>
      </c>
      <c r="Q40" s="31">
        <f t="shared" si="6"/>
        <v>9.8236163576726483</v>
      </c>
      <c r="R40" s="31">
        <f t="shared" si="6"/>
        <v>6.6965714811550585</v>
      </c>
      <c r="S40" s="66">
        <f t="shared" si="7"/>
        <v>22.619712584469504</v>
      </c>
      <c r="T40" s="66">
        <f t="shared" si="8"/>
        <v>15.419425666676696</v>
      </c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2:32" x14ac:dyDescent="0.2">
      <c r="B41" s="10"/>
      <c r="C41" s="10" t="s">
        <v>82</v>
      </c>
      <c r="D41" s="11">
        <v>4023</v>
      </c>
      <c r="E41" s="36">
        <f t="shared" si="2"/>
        <v>8.8417582417582423</v>
      </c>
      <c r="F41" s="36">
        <f t="shared" si="3"/>
        <v>2.5232378730290137E-2</v>
      </c>
      <c r="G41" s="37">
        <f>+VLOOKUP(C41,'Diet item and measures'!$B$3:$C$72,2,FALSE)</f>
        <v>133298</v>
      </c>
      <c r="H41" s="10"/>
      <c r="I41" s="52">
        <f t="shared" si="1"/>
        <v>1.3329800000000001E-7</v>
      </c>
      <c r="J41" s="30"/>
      <c r="K41" s="45"/>
      <c r="M41" s="47"/>
      <c r="N41" s="47"/>
      <c r="O41" s="47">
        <f t="shared" si="4"/>
        <v>814817321.84533966</v>
      </c>
      <c r="P41" s="29">
        <f t="shared" si="5"/>
        <v>20559779.260802321</v>
      </c>
      <c r="Q41" s="31">
        <f t="shared" si="6"/>
        <v>8.9110602529028498</v>
      </c>
      <c r="R41" s="31">
        <f t="shared" si="6"/>
        <v>7.3130184475639908</v>
      </c>
      <c r="S41" s="66">
        <f t="shared" si="7"/>
        <v>20.518474501105853</v>
      </c>
      <c r="T41" s="66">
        <f t="shared" si="8"/>
        <v>16.838847262151305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2:32" x14ac:dyDescent="0.2">
      <c r="B42" s="10"/>
      <c r="C42" s="10" t="s">
        <v>83</v>
      </c>
      <c r="D42" s="11">
        <v>26</v>
      </c>
      <c r="E42" s="36">
        <f t="shared" si="2"/>
        <v>5.7142857142857141E-2</v>
      </c>
      <c r="F42" s="36">
        <f t="shared" si="3"/>
        <v>1.6307279318606598E-4</v>
      </c>
      <c r="G42" s="37">
        <f>+VLOOKUP(C42,'Diet item and measures'!$B$3:$C$72,2,FALSE)</f>
        <v>50000</v>
      </c>
      <c r="H42" s="10"/>
      <c r="I42" s="52">
        <f t="shared" si="1"/>
        <v>4.9999999999999998E-8</v>
      </c>
      <c r="J42" s="30"/>
      <c r="K42" s="45"/>
      <c r="M42" s="47"/>
      <c r="N42" s="47"/>
      <c r="O42" s="47">
        <f t="shared" si="4"/>
        <v>2172270387.3468018</v>
      </c>
      <c r="P42" s="29">
        <f t="shared" si="5"/>
        <v>354238.19962002046</v>
      </c>
      <c r="Q42" s="31">
        <f t="shared" si="6"/>
        <v>9.3369138818855681</v>
      </c>
      <c r="R42" s="31">
        <f t="shared" si="6"/>
        <v>5.5492953919462646</v>
      </c>
      <c r="S42" s="66">
        <f t="shared" si="7"/>
        <v>21.499038718998875</v>
      </c>
      <c r="T42" s="66">
        <f t="shared" si="8"/>
        <v>12.777724846116019</v>
      </c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2:32" x14ac:dyDescent="0.2">
      <c r="B43" s="10"/>
      <c r="C43" s="10" t="s">
        <v>85</v>
      </c>
      <c r="D43" s="11">
        <v>7</v>
      </c>
      <c r="E43" s="36">
        <f t="shared" si="2"/>
        <v>1.5384615384615385E-2</v>
      </c>
      <c r="F43" s="36">
        <f t="shared" si="3"/>
        <v>4.3904213550094693E-5</v>
      </c>
      <c r="G43" s="37">
        <f>+VLOOKUP(C43,'Diet item and measures'!$B$3:$C$72,2,FALSE)</f>
        <v>50000</v>
      </c>
      <c r="H43" s="10"/>
      <c r="I43" s="52">
        <f t="shared" si="1"/>
        <v>4.9999999999999998E-8</v>
      </c>
      <c r="J43" s="30"/>
      <c r="K43" s="45"/>
      <c r="M43" s="47"/>
      <c r="N43" s="47"/>
      <c r="O43" s="47">
        <f t="shared" si="4"/>
        <v>2172270387.3468018</v>
      </c>
      <c r="P43" s="29">
        <f t="shared" si="5"/>
        <v>95371.822974620896</v>
      </c>
      <c r="Q43" s="31">
        <f t="shared" si="6"/>
        <v>9.3369138818855681</v>
      </c>
      <c r="R43" s="31">
        <f t="shared" si="6"/>
        <v>4.9794200839897034</v>
      </c>
      <c r="S43" s="66">
        <f t="shared" si="7"/>
        <v>21.499038718998875</v>
      </c>
      <c r="T43" s="66">
        <f t="shared" si="8"/>
        <v>11.465538457149851</v>
      </c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2:32" x14ac:dyDescent="0.2">
      <c r="B44" s="10"/>
      <c r="C44" s="10" t="s">
        <v>73</v>
      </c>
      <c r="D44" s="11">
        <v>14</v>
      </c>
      <c r="E44" s="36">
        <f t="shared" si="2"/>
        <v>3.0769230769230771E-2</v>
      </c>
      <c r="F44" s="36">
        <f t="shared" si="3"/>
        <v>8.7808427100189386E-5</v>
      </c>
      <c r="G44" s="37">
        <f>+VLOOKUP(C44,'Diet item and measures'!$B$3:$C$72,2,FALSE)</f>
        <v>50000</v>
      </c>
      <c r="H44" s="10"/>
      <c r="I44" s="52">
        <f t="shared" si="1"/>
        <v>4.9999999999999998E-8</v>
      </c>
      <c r="J44" s="30"/>
      <c r="K44" s="45"/>
      <c r="M44" s="47"/>
      <c r="N44" s="47"/>
      <c r="O44" s="47">
        <f t="shared" si="4"/>
        <v>2172270387.3468018</v>
      </c>
      <c r="P44" s="29">
        <f t="shared" si="5"/>
        <v>190743.64594924179</v>
      </c>
      <c r="Q44" s="31">
        <f t="shared" si="6"/>
        <v>9.3369138818855681</v>
      </c>
      <c r="R44" s="31">
        <f t="shared" si="6"/>
        <v>5.2804500796536846</v>
      </c>
      <c r="S44" s="66">
        <f t="shared" si="7"/>
        <v>21.499038718998875</v>
      </c>
      <c r="T44" s="66">
        <f t="shared" si="8"/>
        <v>12.158685637709796</v>
      </c>
    </row>
    <row r="45" spans="2:32" x14ac:dyDescent="0.2">
      <c r="B45" s="10" t="s">
        <v>100</v>
      </c>
      <c r="C45" s="10" t="s">
        <v>86</v>
      </c>
      <c r="D45" s="10">
        <v>753</v>
      </c>
      <c r="E45" s="36">
        <f t="shared" si="2"/>
        <v>1.6549450549450548</v>
      </c>
      <c r="F45" s="36">
        <f t="shared" si="3"/>
        <v>4.722838971888757E-3</v>
      </c>
      <c r="G45" s="37">
        <f>+VLOOKUP(C45,'Diet item and measures'!$B$3:$C$72,2,FALSE)</f>
        <v>30000</v>
      </c>
      <c r="H45" s="10"/>
      <c r="I45" s="52">
        <f t="shared" si="1"/>
        <v>2.9999999999999997E-8</v>
      </c>
      <c r="J45" s="30"/>
      <c r="M45" s="47"/>
      <c r="N45" s="47"/>
      <c r="O45" s="47">
        <f t="shared" si="4"/>
        <v>3620450645.5780034</v>
      </c>
      <c r="P45" s="29">
        <f t="shared" si="5"/>
        <v>17098805.404735602</v>
      </c>
      <c r="Q45" s="31">
        <f t="shared" ref="Q45:Q51" si="9">+LOG10(O45)</f>
        <v>9.5587626315019243</v>
      </c>
      <c r="R45" s="31">
        <f t="shared" ref="R45:R51" si="10">+LOG10(P45)</f>
        <v>7.2329657697925036</v>
      </c>
      <c r="S45" s="66">
        <f t="shared" si="7"/>
        <v>22.009864342764867</v>
      </c>
      <c r="T45" s="66">
        <f t="shared" si="8"/>
        <v>16.654519159660421</v>
      </c>
    </row>
    <row r="46" spans="2:32" x14ac:dyDescent="0.2">
      <c r="B46" s="10" t="s">
        <v>101</v>
      </c>
      <c r="C46" s="10" t="s">
        <v>88</v>
      </c>
      <c r="D46" s="10">
        <v>4175</v>
      </c>
      <c r="E46" s="36">
        <f t="shared" si="2"/>
        <v>9.1758241758241752</v>
      </c>
      <c r="F46" s="36">
        <f t="shared" si="3"/>
        <v>2.6185727367377905E-2</v>
      </c>
      <c r="G46" s="37">
        <f>+VLOOKUP(C46,'Diet item and measures'!$B$3:$C$72,2,FALSE)</f>
        <v>1964</v>
      </c>
      <c r="H46" s="10"/>
      <c r="I46" s="52">
        <f t="shared" si="1"/>
        <v>1.9639999999999998E-9</v>
      </c>
      <c r="J46" s="30"/>
      <c r="M46" s="47"/>
      <c r="N46" s="47"/>
      <c r="O46" s="47">
        <f t="shared" si="4"/>
        <v>55302199270.539764</v>
      </c>
      <c r="P46" s="29">
        <f t="shared" si="5"/>
        <v>1448128312.9147594</v>
      </c>
      <c r="Q46" s="31">
        <f t="shared" si="9"/>
        <v>10.742742402770656</v>
      </c>
      <c r="R46" s="31">
        <f t="shared" si="10"/>
        <v>9.1608070446801566</v>
      </c>
      <c r="S46" s="66">
        <f t="shared" si="7"/>
        <v>24.736078514494746</v>
      </c>
      <c r="T46" s="66">
        <f t="shared" si="8"/>
        <v>21.093537740875366</v>
      </c>
    </row>
    <row r="47" spans="2:32" x14ac:dyDescent="0.2">
      <c r="B47" s="10" t="s">
        <v>103</v>
      </c>
      <c r="C47" s="10" t="s">
        <v>93</v>
      </c>
      <c r="D47" s="11">
        <v>3</v>
      </c>
      <c r="E47" s="36">
        <f t="shared" si="2"/>
        <v>6.5934065934065934E-3</v>
      </c>
      <c r="F47" s="36">
        <f t="shared" si="3"/>
        <v>1.8816091521469152E-5</v>
      </c>
      <c r="G47" s="37">
        <f>+VLOOKUP(C47,'Diet item and measures'!$B$3:$C$72,2,FALSE)</f>
        <v>98175</v>
      </c>
      <c r="H47" s="10"/>
      <c r="I47" s="52">
        <f t="shared" si="1"/>
        <v>9.8175000000000004E-8</v>
      </c>
      <c r="M47" s="47"/>
      <c r="N47" s="47"/>
      <c r="O47" s="47">
        <f t="shared" si="4"/>
        <v>1106325636.5402606</v>
      </c>
      <c r="P47" s="29">
        <f t="shared" si="5"/>
        <v>20816.724429689159</v>
      </c>
      <c r="Q47" s="31">
        <f t="shared" si="9"/>
        <v>9.0438829762791304</v>
      </c>
      <c r="R47" s="31">
        <f t="shared" si="10"/>
        <v>4.3184123930886722</v>
      </c>
      <c r="S47" s="66">
        <f t="shared" si="7"/>
        <v>20.824310123962949</v>
      </c>
      <c r="T47" s="66">
        <f t="shared" si="8"/>
        <v>9.9435120017267202</v>
      </c>
    </row>
    <row r="48" spans="2:32" x14ac:dyDescent="0.2">
      <c r="B48" s="10"/>
      <c r="C48" s="10" t="s">
        <v>94</v>
      </c>
      <c r="D48" s="11">
        <v>2</v>
      </c>
      <c r="E48" s="36">
        <f t="shared" si="2"/>
        <v>4.3956043956043956E-3</v>
      </c>
      <c r="F48" s="36">
        <f t="shared" si="3"/>
        <v>1.2544061014312769E-5</v>
      </c>
      <c r="G48" s="37">
        <f>+VLOOKUP(C48,'Diet item and measures'!$B$3:$C$72,2,FALSE)</f>
        <v>98175</v>
      </c>
      <c r="H48" s="10"/>
      <c r="I48" s="52">
        <f t="shared" si="1"/>
        <v>9.8175000000000004E-8</v>
      </c>
      <c r="J48" s="30"/>
      <c r="K48" s="45"/>
      <c r="M48" s="47"/>
      <c r="N48" s="47"/>
      <c r="O48" s="47">
        <f t="shared" si="4"/>
        <v>1106325636.5402606</v>
      </c>
      <c r="P48" s="29">
        <f t="shared" si="5"/>
        <v>13877.81628645944</v>
      </c>
      <c r="Q48" s="31">
        <f t="shared" si="9"/>
        <v>9.0438829762791304</v>
      </c>
      <c r="R48" s="31">
        <f t="shared" si="10"/>
        <v>4.1423211340329908</v>
      </c>
      <c r="S48" s="66">
        <f t="shared" si="7"/>
        <v>20.824310123962949</v>
      </c>
      <c r="T48" s="66">
        <f t="shared" si="8"/>
        <v>9.5380468936185547</v>
      </c>
    </row>
    <row r="49" spans="2:20" x14ac:dyDescent="0.2">
      <c r="B49" s="10"/>
      <c r="C49" s="10" t="s">
        <v>95</v>
      </c>
      <c r="D49" s="11">
        <v>48</v>
      </c>
      <c r="E49" s="36">
        <f t="shared" si="2"/>
        <v>0.10549450549450549</v>
      </c>
      <c r="F49" s="36">
        <f t="shared" si="3"/>
        <v>3.0105746434350644E-4</v>
      </c>
      <c r="G49" s="37">
        <f>+VLOOKUP(C49,'Diet item and measures'!$B$3:$C$72,2,FALSE)</f>
        <v>98175</v>
      </c>
      <c r="H49" s="10"/>
      <c r="I49" s="52">
        <f t="shared" si="1"/>
        <v>9.8175000000000004E-8</v>
      </c>
      <c r="J49" s="30"/>
      <c r="M49" s="47"/>
      <c r="N49" s="47"/>
      <c r="O49" s="47">
        <f t="shared" si="4"/>
        <v>1106325636.5402606</v>
      </c>
      <c r="P49" s="29">
        <f t="shared" si="5"/>
        <v>333067.59087502654</v>
      </c>
      <c r="Q49" s="31">
        <f t="shared" si="9"/>
        <v>9.0438829762791304</v>
      </c>
      <c r="R49" s="31">
        <f t="shared" si="10"/>
        <v>5.5225323757445972</v>
      </c>
      <c r="S49" s="66">
        <f t="shared" si="7"/>
        <v>20.824310123962949</v>
      </c>
      <c r="T49" s="66">
        <f t="shared" si="8"/>
        <v>12.716100723966502</v>
      </c>
    </row>
    <row r="50" spans="2:20" x14ac:dyDescent="0.2">
      <c r="B50" s="10"/>
      <c r="C50" s="10" t="s">
        <v>96</v>
      </c>
      <c r="D50" s="11">
        <v>212</v>
      </c>
      <c r="E50" s="36">
        <f t="shared" si="2"/>
        <v>0.46593406593406594</v>
      </c>
      <c r="F50" s="36">
        <f t="shared" si="3"/>
        <v>1.3296704675171535E-3</v>
      </c>
      <c r="G50" s="37">
        <f>+VLOOKUP(C50,'Diet item and measures'!$B$3:$C$72,2,FALSE)</f>
        <v>98175</v>
      </c>
      <c r="H50" s="10"/>
      <c r="I50" s="52">
        <f t="shared" si="1"/>
        <v>9.8175000000000004E-8</v>
      </c>
      <c r="J50" s="30"/>
      <c r="M50" s="47"/>
      <c r="N50" s="47"/>
      <c r="O50" s="47">
        <f t="shared" si="4"/>
        <v>1106325636.5402606</v>
      </c>
      <c r="P50" s="29">
        <f t="shared" si="5"/>
        <v>1471048.5263647006</v>
      </c>
      <c r="Q50" s="31">
        <f t="shared" si="9"/>
        <v>9.0438829762791304</v>
      </c>
      <c r="R50" s="31">
        <f t="shared" si="10"/>
        <v>6.1676269992977613</v>
      </c>
      <c r="S50" s="66">
        <f t="shared" si="7"/>
        <v>20.824310123962949</v>
      </c>
      <c r="T50" s="66">
        <f t="shared" si="8"/>
        <v>14.201485987730623</v>
      </c>
    </row>
    <row r="51" spans="2:20" x14ac:dyDescent="0.2">
      <c r="B51" s="10" t="s">
        <v>105</v>
      </c>
      <c r="C51" s="10" t="s">
        <v>105</v>
      </c>
      <c r="D51" s="11">
        <v>115</v>
      </c>
      <c r="E51" s="36">
        <f t="shared" si="2"/>
        <v>0.25274725274725274</v>
      </c>
      <c r="F51" s="36">
        <f t="shared" si="3"/>
        <v>7.2128350832298415E-4</v>
      </c>
      <c r="G51" s="37">
        <f>+VLOOKUP(C51,'Diet item and measures'!$B$3:$C$72,2,FALSE)</f>
        <v>88698</v>
      </c>
      <c r="H51" s="10"/>
      <c r="I51" s="52">
        <f t="shared" si="1"/>
        <v>8.8698000000000005E-8</v>
      </c>
      <c r="J51" s="30"/>
      <c r="M51" s="47"/>
      <c r="N51" s="47"/>
      <c r="O51" s="47">
        <f t="shared" si="4"/>
        <v>1224531774.8691072</v>
      </c>
      <c r="P51" s="29">
        <f t="shared" si="5"/>
        <v>883234.57463056024</v>
      </c>
      <c r="Q51" s="31">
        <f t="shared" si="9"/>
        <v>9.0879700589350279</v>
      </c>
      <c r="R51" s="31">
        <f t="shared" si="10"/>
        <v>5.9460760613785189</v>
      </c>
      <c r="S51" s="66">
        <f t="shared" si="7"/>
        <v>20.925824383280013</v>
      </c>
      <c r="T51" s="66">
        <f t="shared" si="8"/>
        <v>13.691346100738926</v>
      </c>
    </row>
    <row r="52" spans="2:20" x14ac:dyDescent="0.2">
      <c r="B52" s="10"/>
      <c r="C52" s="10"/>
      <c r="D52" s="11"/>
      <c r="E52" s="36"/>
      <c r="F52" s="36"/>
      <c r="G52" s="64" t="s">
        <v>213</v>
      </c>
      <c r="J52" s="30"/>
      <c r="M52" s="47"/>
      <c r="N52" s="47"/>
      <c r="O52" s="47"/>
      <c r="P52" s="29"/>
      <c r="Q52" s="31"/>
      <c r="R52" s="31"/>
    </row>
    <row r="53" spans="2:20" x14ac:dyDescent="0.2">
      <c r="B53" s="10" t="s">
        <v>108</v>
      </c>
      <c r="C53" s="10" t="s">
        <v>109</v>
      </c>
      <c r="D53" s="11">
        <v>139</v>
      </c>
      <c r="E53" s="36">
        <f t="shared" si="2"/>
        <v>0.30549450549450552</v>
      </c>
      <c r="F53" s="36">
        <f t="shared" si="3"/>
        <v>8.7181224049473754E-4</v>
      </c>
      <c r="G53" s="57">
        <f>+VLOOKUP(C53,'Diet item and measures'!$B$74:$C$138,2,FALSE)</f>
        <v>0.9375</v>
      </c>
      <c r="H53" s="36">
        <v>3.85E-2</v>
      </c>
      <c r="I53" s="52">
        <f>+H53*10^-3</f>
        <v>3.8500000000000001E-5</v>
      </c>
      <c r="J53" s="30"/>
      <c r="L53" s="10"/>
      <c r="M53" s="36"/>
      <c r="N53" s="47"/>
      <c r="O53" s="47">
        <f t="shared" si="4"/>
        <v>2821130.3731776648</v>
      </c>
      <c r="P53" s="29">
        <f t="shared" si="5"/>
        <v>2459.4959913677749</v>
      </c>
      <c r="Q53" s="31">
        <f t="shared" ref="Q53" si="11">+LOG10(O53)</f>
        <v>6.4504231567130859</v>
      </c>
      <c r="R53" s="31">
        <f t="shared" ref="R53" si="12">+LOG10(P53)</f>
        <v>3.39084611905706</v>
      </c>
      <c r="S53" s="66">
        <f t="shared" ref="S53" si="13">+LN(O53)</f>
        <v>14.852648204151146</v>
      </c>
      <c r="T53" s="66">
        <f t="shared" ref="T53" si="14">+LN(P53)</f>
        <v>7.8077117263774998</v>
      </c>
    </row>
    <row r="54" spans="2:20" x14ac:dyDescent="0.2">
      <c r="B54" s="10"/>
      <c r="C54" s="10" t="s">
        <v>110</v>
      </c>
      <c r="D54" s="10">
        <v>24</v>
      </c>
      <c r="E54" s="36">
        <f t="shared" si="2"/>
        <v>5.2747252747252747E-2</v>
      </c>
      <c r="F54" s="36">
        <f t="shared" si="3"/>
        <v>1.5052873217175322E-4</v>
      </c>
      <c r="G54" s="57">
        <f>+VLOOKUP(C54,'Diet item and measures'!$B$74:$C$138,2,FALSE)</f>
        <v>1.5</v>
      </c>
      <c r="H54" s="10"/>
      <c r="I54" s="77">
        <v>9.258400000000002E-5</v>
      </c>
      <c r="J54" s="30"/>
      <c r="L54" s="10"/>
      <c r="M54" s="36"/>
      <c r="N54" s="47"/>
      <c r="O54" s="47">
        <f t="shared" ref="O54:O102" si="15">+D$6/I54</f>
        <v>1173134.8760837733</v>
      </c>
      <c r="P54" s="29">
        <f t="shared" ref="P54:P102" si="16">+($D$6/I54)*F54</f>
        <v>176.59050556335723</v>
      </c>
      <c r="Q54" s="31">
        <f t="shared" ref="Q54:Q102" si="17">+LOG10(O54)</f>
        <v>6.0693479461066095</v>
      </c>
      <c r="R54" s="31">
        <f t="shared" ref="R54:R102" si="18">+LOG10(P54)</f>
        <v>2.2469673499080951</v>
      </c>
      <c r="S54" s="76">
        <f t="shared" ref="S54:S102" si="19">+LN(O54)</f>
        <v>13.975190104899108</v>
      </c>
      <c r="T54" s="76">
        <f t="shared" ref="T54:T102" si="20">+LN(P54)</f>
        <v>5.1738335243427152</v>
      </c>
    </row>
    <row r="55" spans="2:20" x14ac:dyDescent="0.2">
      <c r="B55" s="10"/>
      <c r="C55" s="10" t="s">
        <v>111</v>
      </c>
      <c r="D55" s="10">
        <v>1099</v>
      </c>
      <c r="E55" s="36">
        <f t="shared" si="2"/>
        <v>2.4153846153846152</v>
      </c>
      <c r="F55" s="36">
        <f t="shared" si="3"/>
        <v>6.8929615273648666E-3</v>
      </c>
      <c r="G55" s="57">
        <f>+VLOOKUP(C55,'Diet item and measures'!$B$74:$C$138,2,FALSE)</f>
        <v>2</v>
      </c>
      <c r="H55" s="10"/>
      <c r="I55" s="77">
        <v>9.258400000000002E-5</v>
      </c>
      <c r="J55" s="30"/>
      <c r="L55" s="10"/>
      <c r="M55" s="36"/>
      <c r="N55" s="47"/>
      <c r="O55" s="47">
        <f t="shared" si="15"/>
        <v>1173134.8760837733</v>
      </c>
      <c r="P55" s="29">
        <f t="shared" si="16"/>
        <v>8086.3735672553994</v>
      </c>
      <c r="Q55" s="31">
        <f t="shared" si="17"/>
        <v>6.0693479461066095</v>
      </c>
      <c r="R55" s="31">
        <f t="shared" si="18"/>
        <v>3.9077538006199797</v>
      </c>
      <c r="S55" s="76">
        <f t="shared" si="19"/>
        <v>13.975190104899108</v>
      </c>
      <c r="T55" s="76">
        <f t="shared" si="20"/>
        <v>8.997935648398391</v>
      </c>
    </row>
    <row r="56" spans="2:20" x14ac:dyDescent="0.2">
      <c r="B56" s="10"/>
      <c r="C56" s="10" t="s">
        <v>112</v>
      </c>
      <c r="D56" s="11">
        <v>86</v>
      </c>
      <c r="E56" s="36">
        <f t="shared" si="2"/>
        <v>0.18901098901098901</v>
      </c>
      <c r="F56" s="36">
        <f t="shared" si="3"/>
        <v>5.3939462361544911E-4</v>
      </c>
      <c r="G56" s="57">
        <f>+VLOOKUP(C56,'Diet item and measures'!$B$74:$C$138,2,FALSE)</f>
        <v>1</v>
      </c>
      <c r="H56" s="10"/>
      <c r="I56" s="77">
        <v>9.258400000000002E-5</v>
      </c>
      <c r="J56" s="30"/>
      <c r="L56" s="10"/>
      <c r="M56" s="36"/>
      <c r="N56" s="47"/>
      <c r="O56" s="47">
        <f t="shared" si="15"/>
        <v>1173134.8760837733</v>
      </c>
      <c r="P56" s="29">
        <f t="shared" si="16"/>
        <v>632.78264493536346</v>
      </c>
      <c r="Q56" s="31">
        <f t="shared" si="17"/>
        <v>6.0693479461066095</v>
      </c>
      <c r="R56" s="31">
        <f t="shared" si="18"/>
        <v>2.8012545594400566</v>
      </c>
      <c r="S56" s="76">
        <f t="shared" si="19"/>
        <v>13.975190104899108</v>
      </c>
      <c r="T56" s="76">
        <f t="shared" si="20"/>
        <v>6.4501269902482772</v>
      </c>
    </row>
    <row r="57" spans="2:20" x14ac:dyDescent="0.2">
      <c r="B57" s="10"/>
      <c r="C57" s="10" t="s">
        <v>113</v>
      </c>
      <c r="D57" s="11">
        <v>294</v>
      </c>
      <c r="E57" s="36">
        <f t="shared" si="2"/>
        <v>0.64615384615384619</v>
      </c>
      <c r="F57" s="36">
        <f t="shared" si="3"/>
        <v>1.8439769691039772E-3</v>
      </c>
      <c r="G57" s="57">
        <f>+VLOOKUP(C57,'Diet item and measures'!$B$74:$C$138,2,FALSE)</f>
        <v>1.1666000000000001</v>
      </c>
      <c r="H57" s="36">
        <v>0.1767</v>
      </c>
      <c r="I57" s="52">
        <f t="shared" ref="I57:I58" si="21">+H57*10^-3</f>
        <v>1.7670000000000001E-4</v>
      </c>
      <c r="J57" s="30"/>
      <c r="L57" s="10"/>
      <c r="M57" s="36"/>
      <c r="N57" s="47"/>
      <c r="O57" s="47">
        <f t="shared" si="15"/>
        <v>614677.52896061167</v>
      </c>
      <c r="P57" s="29">
        <f t="shared" si="16"/>
        <v>1133.4512068291108</v>
      </c>
      <c r="Q57" s="31">
        <f t="shared" si="17"/>
        <v>5.7886473367148223</v>
      </c>
      <c r="R57" s="31">
        <f t="shared" si="18"/>
        <v>3.0544028292168588</v>
      </c>
      <c r="S57" s="76">
        <f t="shared" si="19"/>
        <v>13.328853066119235</v>
      </c>
      <c r="T57" s="76">
        <f t="shared" si="20"/>
        <v>7.0330224225535778</v>
      </c>
    </row>
    <row r="58" spans="2:20" x14ac:dyDescent="0.2">
      <c r="B58" s="10"/>
      <c r="C58" s="10" t="s">
        <v>114</v>
      </c>
      <c r="D58" s="11">
        <v>441</v>
      </c>
      <c r="E58" s="36">
        <f t="shared" si="2"/>
        <v>0.96923076923076923</v>
      </c>
      <c r="F58" s="36">
        <f t="shared" si="3"/>
        <v>2.7659654536559657E-3</v>
      </c>
      <c r="G58" s="57">
        <f>+VLOOKUP(C58,'Diet item and measures'!$B$74:$C$138,2,FALSE)</f>
        <v>1.5</v>
      </c>
      <c r="H58" s="36">
        <v>0.26</v>
      </c>
      <c r="I58" s="52">
        <f t="shared" si="21"/>
        <v>2.6000000000000003E-4</v>
      </c>
      <c r="J58" s="30"/>
      <c r="L58" s="10"/>
      <c r="M58" s="36"/>
      <c r="N58" s="47"/>
      <c r="O58" s="47">
        <f t="shared" si="15"/>
        <v>417744.30525900028</v>
      </c>
      <c r="P58" s="29">
        <f t="shared" si="16"/>
        <v>1155.4663168079069</v>
      </c>
      <c r="Q58" s="31">
        <f t="shared" si="17"/>
        <v>5.6209105382507687</v>
      </c>
      <c r="R58" s="31">
        <f t="shared" si="18"/>
        <v>3.062757289808486</v>
      </c>
      <c r="S58" s="76">
        <f t="shared" si="19"/>
        <v>12.942624814429356</v>
      </c>
      <c r="T58" s="76">
        <f t="shared" si="20"/>
        <v>7.0522592789718646</v>
      </c>
    </row>
    <row r="59" spans="2:20" x14ac:dyDescent="0.2">
      <c r="B59" s="10"/>
      <c r="C59" s="10" t="s">
        <v>115</v>
      </c>
      <c r="D59" s="11">
        <v>466</v>
      </c>
      <c r="E59" s="36">
        <f t="shared" si="2"/>
        <v>1.0241758241758241</v>
      </c>
      <c r="F59" s="36">
        <f t="shared" si="3"/>
        <v>2.9227662163348747E-3</v>
      </c>
      <c r="G59" s="57">
        <f>+VLOOKUP(C59,'Diet item and measures'!$B$74:$C$138,2,FALSE)</f>
        <v>0.65</v>
      </c>
      <c r="H59" s="10"/>
      <c r="I59" s="77">
        <v>9.258400000000002E-5</v>
      </c>
      <c r="J59" s="30"/>
      <c r="L59" s="10"/>
      <c r="M59" s="36"/>
      <c r="N59" s="47"/>
      <c r="O59" s="47">
        <f t="shared" si="15"/>
        <v>1173134.8760837733</v>
      </c>
      <c r="P59" s="29">
        <f t="shared" si="16"/>
        <v>3428.7989830218521</v>
      </c>
      <c r="Q59" s="31">
        <f t="shared" si="17"/>
        <v>6.0693479461066095</v>
      </c>
      <c r="R59" s="31">
        <f t="shared" si="18"/>
        <v>3.5351420248864889</v>
      </c>
      <c r="S59" s="76">
        <f t="shared" si="19"/>
        <v>13.975190104899108</v>
      </c>
      <c r="T59" s="76">
        <f t="shared" si="20"/>
        <v>8.1399653281204145</v>
      </c>
    </row>
    <row r="60" spans="2:20" x14ac:dyDescent="0.2">
      <c r="B60" s="10"/>
      <c r="C60" s="10" t="s">
        <v>116</v>
      </c>
      <c r="D60" s="11">
        <v>60</v>
      </c>
      <c r="E60" s="36">
        <f t="shared" si="2"/>
        <v>0.13186813186813187</v>
      </c>
      <c r="F60" s="36">
        <f t="shared" si="3"/>
        <v>3.7632183042938307E-4</v>
      </c>
      <c r="G60" s="57">
        <f>+VLOOKUP(C60,'Diet item and measures'!$B$74:$C$138,2,FALSE)</f>
        <v>0.66</v>
      </c>
      <c r="H60" s="10"/>
      <c r="I60" s="77">
        <v>9.258400000000002E-5</v>
      </c>
      <c r="J60" s="30"/>
      <c r="K60" s="45"/>
      <c r="L60" s="10"/>
      <c r="M60" s="36"/>
      <c r="N60" s="47"/>
      <c r="O60" s="47">
        <f t="shared" si="15"/>
        <v>1173134.8760837733</v>
      </c>
      <c r="P60" s="29">
        <f t="shared" si="16"/>
        <v>441.47626390839309</v>
      </c>
      <c r="Q60" s="31">
        <f t="shared" si="17"/>
        <v>6.0693479461066095</v>
      </c>
      <c r="R60" s="31">
        <f t="shared" si="18"/>
        <v>2.6449073585801326</v>
      </c>
      <c r="S60" s="76">
        <f t="shared" si="19"/>
        <v>13.975190104899108</v>
      </c>
      <c r="T60" s="76">
        <f t="shared" si="20"/>
        <v>6.0901242562168703</v>
      </c>
    </row>
    <row r="61" spans="2:20" x14ac:dyDescent="0.2">
      <c r="B61" s="10"/>
      <c r="C61" s="10" t="s">
        <v>117</v>
      </c>
      <c r="D61" s="11">
        <v>6</v>
      </c>
      <c r="E61" s="36">
        <f t="shared" si="2"/>
        <v>1.3186813186813187E-2</v>
      </c>
      <c r="F61" s="36">
        <f t="shared" si="3"/>
        <v>3.7632183042938305E-5</v>
      </c>
      <c r="G61" s="57">
        <f>+VLOOKUP(C61,'Diet item and measures'!$B$74:$C$138,2,FALSE)</f>
        <v>1.75</v>
      </c>
      <c r="H61" s="36">
        <v>6.1499999999999999E-2</v>
      </c>
      <c r="I61" s="52">
        <f>+H61*10^-3</f>
        <v>6.1500000000000004E-5</v>
      </c>
      <c r="J61" s="30"/>
      <c r="L61" s="10"/>
      <c r="M61" s="36"/>
      <c r="N61" s="47"/>
      <c r="O61" s="47">
        <f t="shared" si="15"/>
        <v>1766073.4856478062</v>
      </c>
      <c r="P61" s="29">
        <f t="shared" si="16"/>
        <v>66.461200679178319</v>
      </c>
      <c r="Q61" s="31">
        <f t="shared" si="17"/>
        <v>6.2470087704461701</v>
      </c>
      <c r="R61" s="31">
        <f t="shared" si="18"/>
        <v>1.8225681829196927</v>
      </c>
      <c r="S61" s="76">
        <f t="shared" si="19"/>
        <v>14.384269270632412</v>
      </c>
      <c r="T61" s="76">
        <f t="shared" si="20"/>
        <v>4.196618328956129</v>
      </c>
    </row>
    <row r="62" spans="2:20" x14ac:dyDescent="0.2">
      <c r="B62" s="10"/>
      <c r="C62" s="10" t="s">
        <v>118</v>
      </c>
      <c r="D62" s="10">
        <v>764</v>
      </c>
      <c r="E62" s="36">
        <f t="shared" si="2"/>
        <v>1.6791208791208792</v>
      </c>
      <c r="F62" s="36">
        <f t="shared" si="3"/>
        <v>4.7918313074674776E-3</v>
      </c>
      <c r="G62" s="57">
        <f>+VLOOKUP(C62,'Diet item and measures'!$B$74:$C$138,2,FALSE)</f>
        <v>1</v>
      </c>
      <c r="H62" s="36">
        <v>0.1308</v>
      </c>
      <c r="I62" s="52">
        <f>+H62*10^-3</f>
        <v>1.3080000000000001E-4</v>
      </c>
      <c r="J62" s="30"/>
      <c r="L62" s="10"/>
      <c r="M62" s="36"/>
      <c r="N62" s="47"/>
      <c r="O62" s="47">
        <f t="shared" si="15"/>
        <v>830378.5884353217</v>
      </c>
      <c r="P62" s="29">
        <f t="shared" si="16"/>
        <v>3979.0341171150262</v>
      </c>
      <c r="Q62" s="31">
        <f t="shared" si="17"/>
        <v>5.919276142233338</v>
      </c>
      <c r="R62" s="31">
        <f t="shared" si="18"/>
        <v>3.5997776628989073</v>
      </c>
      <c r="S62" s="76">
        <f t="shared" si="19"/>
        <v>13.629637006421786</v>
      </c>
      <c r="T62" s="76">
        <f t="shared" si="20"/>
        <v>8.2887943846839693</v>
      </c>
    </row>
    <row r="63" spans="2:20" x14ac:dyDescent="0.2">
      <c r="B63" s="10"/>
      <c r="C63" s="10" t="s">
        <v>120</v>
      </c>
      <c r="D63" s="11">
        <v>139</v>
      </c>
      <c r="E63" s="36">
        <f t="shared" si="2"/>
        <v>0.30549450549450552</v>
      </c>
      <c r="F63" s="36">
        <f t="shared" si="3"/>
        <v>8.7181224049473754E-4</v>
      </c>
      <c r="G63" s="57">
        <f>+VLOOKUP(C63,'Diet item and measures'!$B$74:$C$138,2,FALSE)</f>
        <v>0.9</v>
      </c>
      <c r="H63" s="10"/>
      <c r="I63" s="77">
        <v>9.258400000000002E-5</v>
      </c>
      <c r="J63" s="30"/>
      <c r="L63" s="10"/>
      <c r="M63" s="36"/>
      <c r="N63" s="47"/>
      <c r="O63" s="47">
        <f t="shared" si="15"/>
        <v>1173134.8760837733</v>
      </c>
      <c r="P63" s="29">
        <f t="shared" si="16"/>
        <v>1022.7533447211107</v>
      </c>
      <c r="Q63" s="31">
        <f t="shared" si="17"/>
        <v>6.0693479461066095</v>
      </c>
      <c r="R63" s="31">
        <f t="shared" si="18"/>
        <v>3.0097709084505841</v>
      </c>
      <c r="S63" s="76">
        <f t="shared" si="19"/>
        <v>13.975190104899108</v>
      </c>
      <c r="T63" s="76">
        <f t="shared" si="20"/>
        <v>6.9302536271254613</v>
      </c>
    </row>
    <row r="64" spans="2:20" x14ac:dyDescent="0.2">
      <c r="B64" s="10"/>
      <c r="C64" s="10" t="s">
        <v>121</v>
      </c>
      <c r="D64" s="11">
        <v>374</v>
      </c>
      <c r="E64" s="36">
        <f t="shared" si="2"/>
        <v>0.82197802197802194</v>
      </c>
      <c r="F64" s="36">
        <f t="shared" si="3"/>
        <v>2.3457394096764875E-3</v>
      </c>
      <c r="G64" s="57">
        <f>+VLOOKUP(C64,'Diet item and measures'!$B$74:$C$138,2,FALSE)</f>
        <v>4</v>
      </c>
      <c r="H64" s="10"/>
      <c r="I64" s="78">
        <v>9.258400000000002E-5</v>
      </c>
      <c r="J64" s="5"/>
      <c r="L64" s="10"/>
      <c r="M64" s="41"/>
      <c r="N64" s="47"/>
      <c r="O64" s="47">
        <f t="shared" si="15"/>
        <v>1173134.8760837733</v>
      </c>
      <c r="P64" s="29">
        <f t="shared" si="16"/>
        <v>2751.8687116956498</v>
      </c>
      <c r="Q64" s="31">
        <f t="shared" si="17"/>
        <v>6.0693479461066095</v>
      </c>
      <c r="R64" s="31">
        <f t="shared" si="18"/>
        <v>3.439627710396969</v>
      </c>
      <c r="S64" s="76">
        <f t="shared" si="19"/>
        <v>13.975190104899108</v>
      </c>
      <c r="T64" s="76">
        <f t="shared" si="20"/>
        <v>7.9200354914093012</v>
      </c>
    </row>
    <row r="65" spans="2:20" x14ac:dyDescent="0.2">
      <c r="B65" s="10"/>
      <c r="C65" s="10" t="s">
        <v>122</v>
      </c>
      <c r="D65" s="11">
        <v>374</v>
      </c>
      <c r="E65" s="36">
        <f t="shared" si="2"/>
        <v>0.82197802197802194</v>
      </c>
      <c r="F65" s="36">
        <f t="shared" si="3"/>
        <v>2.3457394096764875E-3</v>
      </c>
      <c r="G65" s="57">
        <f>+VLOOKUP(C65,'Diet item and measures'!$B$74:$C$138,2,FALSE)</f>
        <v>1.08</v>
      </c>
      <c r="H65" s="10"/>
      <c r="I65" s="79">
        <v>9.258400000000002E-5</v>
      </c>
      <c r="M65" s="47"/>
      <c r="N65" s="47"/>
      <c r="O65" s="47">
        <f t="shared" si="15"/>
        <v>1173134.8760837733</v>
      </c>
      <c r="P65" s="29">
        <f t="shared" si="16"/>
        <v>2751.8687116956498</v>
      </c>
      <c r="Q65" s="31">
        <f t="shared" si="17"/>
        <v>6.0693479461066095</v>
      </c>
      <c r="R65" s="31">
        <f t="shared" si="18"/>
        <v>3.439627710396969</v>
      </c>
      <c r="S65" s="76">
        <f t="shared" si="19"/>
        <v>13.975190104899108</v>
      </c>
      <c r="T65" s="76">
        <f t="shared" si="20"/>
        <v>7.9200354914093012</v>
      </c>
    </row>
    <row r="66" spans="2:20" x14ac:dyDescent="0.2">
      <c r="B66" s="10"/>
      <c r="C66" s="10" t="s">
        <v>123</v>
      </c>
      <c r="D66" s="10">
        <v>148</v>
      </c>
      <c r="E66" s="36">
        <f t="shared" si="2"/>
        <v>0.32527472527472528</v>
      </c>
      <c r="F66" s="36">
        <f t="shared" si="3"/>
        <v>9.2826051505914494E-4</v>
      </c>
      <c r="G66" s="57">
        <f>+VLOOKUP(C66,'Diet item and measures'!$B$74:$C$138,2,FALSE)</f>
        <v>2.5</v>
      </c>
      <c r="H66" s="10"/>
      <c r="I66" s="77">
        <v>9.258400000000002E-5</v>
      </c>
      <c r="J66" s="30"/>
      <c r="K66" s="45"/>
      <c r="M66" s="47"/>
      <c r="N66" s="47"/>
      <c r="O66" s="47">
        <f t="shared" si="15"/>
        <v>1173134.8760837733</v>
      </c>
      <c r="P66" s="29">
        <f t="shared" si="16"/>
        <v>1088.9747843073696</v>
      </c>
      <c r="Q66" s="31">
        <f t="shared" si="17"/>
        <v>6.0693479461066095</v>
      </c>
      <c r="R66" s="31">
        <f t="shared" si="18"/>
        <v>3.0370178235914462</v>
      </c>
      <c r="S66" s="76">
        <f t="shared" si="19"/>
        <v>13.975190104899108</v>
      </c>
      <c r="T66" s="76">
        <f t="shared" si="20"/>
        <v>6.9929919677588845</v>
      </c>
    </row>
    <row r="67" spans="2:20" x14ac:dyDescent="0.2">
      <c r="B67" s="10"/>
      <c r="C67" s="10" t="s">
        <v>124</v>
      </c>
      <c r="D67" s="10">
        <v>198</v>
      </c>
      <c r="E67" s="36">
        <f t="shared" si="2"/>
        <v>0.43516483516483517</v>
      </c>
      <c r="F67" s="36">
        <f t="shared" si="3"/>
        <v>1.2418620404169641E-3</v>
      </c>
      <c r="G67" s="57">
        <f>+VLOOKUP(C67,'Diet item and measures'!$B$74:$C$138,2,FALSE)</f>
        <v>0.5</v>
      </c>
      <c r="H67" s="10"/>
      <c r="I67" s="77">
        <v>9.258400000000002E-5</v>
      </c>
      <c r="J67" s="30"/>
      <c r="M67" s="47"/>
      <c r="N67" s="47"/>
      <c r="O67" s="47">
        <f t="shared" si="15"/>
        <v>1173134.8760837733</v>
      </c>
      <c r="P67" s="29">
        <f t="shared" si="16"/>
        <v>1456.8716708976972</v>
      </c>
      <c r="Q67" s="31">
        <f t="shared" si="17"/>
        <v>6.0693479461066095</v>
      </c>
      <c r="R67" s="31">
        <f t="shared" si="18"/>
        <v>3.1634212984580201</v>
      </c>
      <c r="S67" s="76">
        <f t="shared" si="19"/>
        <v>13.975190104899108</v>
      </c>
      <c r="T67" s="76">
        <f t="shared" si="20"/>
        <v>7.284046724689305</v>
      </c>
    </row>
    <row r="68" spans="2:20" x14ac:dyDescent="0.2">
      <c r="B68" s="10"/>
      <c r="C68" s="10" t="s">
        <v>127</v>
      </c>
      <c r="D68" s="10">
        <v>22</v>
      </c>
      <c r="E68" s="36">
        <f t="shared" si="2"/>
        <v>4.8351648351648353E-2</v>
      </c>
      <c r="F68" s="36">
        <f t="shared" si="3"/>
        <v>1.3798467115744045E-4</v>
      </c>
      <c r="G68" s="57">
        <f>+VLOOKUP(C68,'Diet item and measures'!$B$74:$C$138,2,FALSE)</f>
        <v>1.03</v>
      </c>
      <c r="H68" s="36">
        <v>0.13750000000000001</v>
      </c>
      <c r="I68" s="52">
        <f>+H68*10^-3</f>
        <v>1.3750000000000001E-4</v>
      </c>
      <c r="J68" s="5"/>
      <c r="M68" s="47"/>
      <c r="N68" s="47"/>
      <c r="O68" s="47">
        <f t="shared" si="15"/>
        <v>789916.50448974606</v>
      </c>
      <c r="P68" s="29">
        <f t="shared" si="16"/>
        <v>108.99636911385245</v>
      </c>
      <c r="Q68" s="31">
        <f t="shared" si="17"/>
        <v>5.8975811880553053</v>
      </c>
      <c r="R68" s="31">
        <f t="shared" si="18"/>
        <v>2.0374120309673907</v>
      </c>
      <c r="S68" s="76">
        <f t="shared" si="19"/>
        <v>13.579682528338259</v>
      </c>
      <c r="T68" s="76">
        <f t="shared" si="20"/>
        <v>4.6913145707922368</v>
      </c>
    </row>
    <row r="69" spans="2:20" x14ac:dyDescent="0.2">
      <c r="B69" s="10"/>
      <c r="C69" s="10" t="s">
        <v>128</v>
      </c>
      <c r="D69" s="10">
        <v>20</v>
      </c>
      <c r="E69" s="36">
        <f t="shared" si="2"/>
        <v>4.3956043956043959E-2</v>
      </c>
      <c r="F69" s="36">
        <f t="shared" si="3"/>
        <v>1.2544061014312769E-4</v>
      </c>
      <c r="G69" s="57">
        <f>+VLOOKUP(C69,'Diet item and measures'!$B$74:$C$138,2,FALSE)</f>
        <v>0.7</v>
      </c>
      <c r="H69" s="10"/>
      <c r="I69" s="79">
        <v>9.258400000000002E-5</v>
      </c>
      <c r="M69" s="47"/>
      <c r="N69" s="47"/>
      <c r="O69" s="47">
        <f t="shared" si="15"/>
        <v>1173134.8760837733</v>
      </c>
      <c r="P69" s="29">
        <f t="shared" si="16"/>
        <v>147.15875463613102</v>
      </c>
      <c r="Q69" s="31">
        <f t="shared" si="17"/>
        <v>6.0693479461066095</v>
      </c>
      <c r="R69" s="31">
        <f t="shared" si="18"/>
        <v>2.16778610386047</v>
      </c>
      <c r="S69" s="76">
        <f t="shared" si="19"/>
        <v>13.975190104899108</v>
      </c>
      <c r="T69" s="76">
        <f t="shared" si="20"/>
        <v>4.9915119675487603</v>
      </c>
    </row>
    <row r="70" spans="2:20" x14ac:dyDescent="0.2">
      <c r="B70" s="10"/>
      <c r="C70" s="10" t="s">
        <v>129</v>
      </c>
      <c r="D70" s="11">
        <v>95</v>
      </c>
      <c r="E70" s="36">
        <f t="shared" si="2"/>
        <v>0.2087912087912088</v>
      </c>
      <c r="F70" s="36">
        <f t="shared" si="3"/>
        <v>5.9584289817985652E-4</v>
      </c>
      <c r="G70" s="57">
        <f>+VLOOKUP(C70,'Diet item and measures'!$B$74:$C$138,2,FALSE)</f>
        <v>0.89900000000000002</v>
      </c>
      <c r="H70" s="36">
        <v>5.9339999999999997E-2</v>
      </c>
      <c r="I70" s="52">
        <f>+H70*10^-3</f>
        <v>5.9339999999999998E-5</v>
      </c>
      <c r="J70" s="30"/>
      <c r="M70" s="47"/>
      <c r="N70" s="47"/>
      <c r="O70" s="47">
        <f t="shared" si="15"/>
        <v>1830359.2748119328</v>
      </c>
      <c r="P70" s="29">
        <f t="shared" si="16"/>
        <v>1090.6065750143225</v>
      </c>
      <c r="Q70" s="31">
        <f t="shared" si="17"/>
        <v>6.2625363442407638</v>
      </c>
      <c r="R70" s="31">
        <f t="shared" si="18"/>
        <v>3.0376681116194906</v>
      </c>
      <c r="S70" s="76">
        <f t="shared" si="19"/>
        <v>14.420022830582209</v>
      </c>
      <c r="T70" s="76">
        <f t="shared" si="20"/>
        <v>6.9944893112784117</v>
      </c>
    </row>
    <row r="71" spans="2:20" x14ac:dyDescent="0.2">
      <c r="B71" s="10"/>
      <c r="C71" s="10" t="s">
        <v>130</v>
      </c>
      <c r="D71" s="11">
        <v>119</v>
      </c>
      <c r="E71" s="36">
        <f t="shared" si="2"/>
        <v>0.26153846153846155</v>
      </c>
      <c r="F71" s="36">
        <f t="shared" si="3"/>
        <v>7.4637163035160979E-4</v>
      </c>
      <c r="G71" s="57">
        <f>+VLOOKUP(C71,'Diet item and measures'!$B$74:$C$138,2,FALSE)</f>
        <v>0.7</v>
      </c>
      <c r="H71" s="10"/>
      <c r="I71" s="79">
        <v>9.258400000000002E-5</v>
      </c>
      <c r="M71" s="47"/>
      <c r="N71" s="47"/>
      <c r="O71" s="47">
        <f t="shared" si="15"/>
        <v>1173134.8760837733</v>
      </c>
      <c r="P71" s="29">
        <f t="shared" si="16"/>
        <v>875.59459008497959</v>
      </c>
      <c r="Q71" s="31">
        <f t="shared" si="17"/>
        <v>6.0693479461066095</v>
      </c>
      <c r="R71" s="31">
        <f t="shared" si="18"/>
        <v>2.9423030695890198</v>
      </c>
      <c r="S71" s="76">
        <f t="shared" si="19"/>
        <v>13.975190104899108</v>
      </c>
      <c r="T71" s="76">
        <f t="shared" si="20"/>
        <v>6.7749031871062995</v>
      </c>
    </row>
    <row r="72" spans="2:20" x14ac:dyDescent="0.2">
      <c r="B72" s="10"/>
      <c r="C72" s="10" t="s">
        <v>131</v>
      </c>
      <c r="D72" s="10">
        <v>10</v>
      </c>
      <c r="E72" s="36">
        <f t="shared" si="2"/>
        <v>2.197802197802198E-2</v>
      </c>
      <c r="F72" s="36">
        <f t="shared" si="3"/>
        <v>6.2720305071563845E-5</v>
      </c>
      <c r="G72" s="57">
        <f>+VLOOKUP(C72,'Diet item and measures'!$B$74:$C$138,2,FALSE)</f>
        <v>1.5</v>
      </c>
      <c r="H72" s="10"/>
      <c r="I72" s="79">
        <v>9.258400000000002E-5</v>
      </c>
      <c r="M72" s="47"/>
      <c r="N72" s="47"/>
      <c r="O72" s="47">
        <f t="shared" si="15"/>
        <v>1173134.8760837733</v>
      </c>
      <c r="P72" s="29">
        <f t="shared" si="16"/>
        <v>73.579377318065511</v>
      </c>
      <c r="Q72" s="31">
        <f t="shared" si="17"/>
        <v>6.0693479461066095</v>
      </c>
      <c r="R72" s="31">
        <f t="shared" si="18"/>
        <v>1.866756108196489</v>
      </c>
      <c r="S72" s="76">
        <f t="shared" si="19"/>
        <v>13.975190104899108</v>
      </c>
      <c r="T72" s="76">
        <f t="shared" si="20"/>
        <v>4.2983647869888157</v>
      </c>
    </row>
    <row r="73" spans="2:20" x14ac:dyDescent="0.2">
      <c r="B73" s="10"/>
      <c r="C73" s="10" t="s">
        <v>132</v>
      </c>
      <c r="D73" s="11">
        <v>546</v>
      </c>
      <c r="E73" s="36">
        <f t="shared" si="2"/>
        <v>1.2</v>
      </c>
      <c r="F73" s="36">
        <f t="shared" si="3"/>
        <v>3.4245286569073857E-3</v>
      </c>
      <c r="G73" s="57">
        <f>+VLOOKUP(C73,'Diet item and measures'!$B$74:$C$138,2,FALSE)</f>
        <v>0.5</v>
      </c>
      <c r="H73" s="36">
        <v>1.4500000000000001E-2</v>
      </c>
      <c r="I73" s="52">
        <f>+H73*10^-3</f>
        <v>1.4500000000000002E-5</v>
      </c>
      <c r="J73" s="30"/>
      <c r="M73" s="47"/>
      <c r="N73" s="47"/>
      <c r="O73" s="47">
        <f t="shared" si="15"/>
        <v>7490587.5425751777</v>
      </c>
      <c r="P73" s="29">
        <f t="shared" si="16"/>
        <v>25651.73169662217</v>
      </c>
      <c r="Q73" s="31">
        <f t="shared" si="17"/>
        <v>6.8745158839866116</v>
      </c>
      <c r="R73" s="31">
        <f t="shared" si="18"/>
        <v>4.4091166887812276</v>
      </c>
      <c r="S73" s="76">
        <f t="shared" si="19"/>
        <v>15.829157796018356</v>
      </c>
      <c r="T73" s="76">
        <f t="shared" si="20"/>
        <v>10.152366360858922</v>
      </c>
    </row>
    <row r="74" spans="2:20" x14ac:dyDescent="0.2">
      <c r="B74" s="10"/>
      <c r="C74" s="10" t="s">
        <v>133</v>
      </c>
      <c r="D74" s="11">
        <v>1044</v>
      </c>
      <c r="E74" s="36">
        <f t="shared" si="2"/>
        <v>2.2945054945054943</v>
      </c>
      <c r="F74" s="36">
        <f t="shared" si="3"/>
        <v>6.5479998494712647E-3</v>
      </c>
      <c r="G74" s="57">
        <f>+VLOOKUP(C74,'Diet item and measures'!$B$74:$C$138,2,FALSE)</f>
        <v>0.66700000000000004</v>
      </c>
      <c r="H74" s="36">
        <v>4.1000000000000002E-2</v>
      </c>
      <c r="I74" s="52">
        <f>+H74*10^-3</f>
        <v>4.1E-5</v>
      </c>
      <c r="J74" s="5"/>
      <c r="M74" s="47"/>
      <c r="N74" s="47"/>
      <c r="O74" s="47">
        <f t="shared" si="15"/>
        <v>2649110.2284717094</v>
      </c>
      <c r="P74" s="29">
        <f t="shared" si="16"/>
        <v>17346.37337726554</v>
      </c>
      <c r="Q74" s="31">
        <f t="shared" si="17"/>
        <v>6.4231000295018505</v>
      </c>
      <c r="R74" s="31">
        <f t="shared" si="18"/>
        <v>4.2392086902579731</v>
      </c>
      <c r="S74" s="76">
        <f t="shared" si="19"/>
        <v>14.789734378740578</v>
      </c>
      <c r="T74" s="76">
        <f t="shared" si="20"/>
        <v>9.7611387362788218</v>
      </c>
    </row>
    <row r="75" spans="2:20" x14ac:dyDescent="0.2">
      <c r="B75" s="10"/>
      <c r="C75" s="10" t="s">
        <v>134</v>
      </c>
      <c r="D75" s="11">
        <v>552</v>
      </c>
      <c r="E75" s="36">
        <f t="shared" si="2"/>
        <v>1.2131868131868131</v>
      </c>
      <c r="F75" s="36">
        <f t="shared" si="3"/>
        <v>3.4621608399503239E-3</v>
      </c>
      <c r="G75" s="57">
        <f>+VLOOKUP(C75,'Diet item and measures'!$B$74:$C$138,2,FALSE)</f>
        <v>0.8</v>
      </c>
      <c r="H75" s="10"/>
      <c r="I75" s="79">
        <v>9.258400000000002E-5</v>
      </c>
      <c r="M75" s="47"/>
      <c r="N75" s="47"/>
      <c r="O75" s="47">
        <f t="shared" si="15"/>
        <v>1173134.8760837733</v>
      </c>
      <c r="P75" s="29">
        <f t="shared" si="16"/>
        <v>4061.5816279572159</v>
      </c>
      <c r="Q75" s="31">
        <f t="shared" si="17"/>
        <v>6.0693479461066095</v>
      </c>
      <c r="R75" s="31">
        <f t="shared" si="18"/>
        <v>3.6086951859256877</v>
      </c>
      <c r="S75" s="76">
        <f t="shared" si="19"/>
        <v>13.975190104899108</v>
      </c>
      <c r="T75" s="76">
        <f t="shared" si="20"/>
        <v>8.3093277402718648</v>
      </c>
    </row>
    <row r="76" spans="2:20" x14ac:dyDescent="0.2">
      <c r="B76" s="10"/>
      <c r="C76" s="10" t="s">
        <v>135</v>
      </c>
      <c r="D76" s="11">
        <v>26</v>
      </c>
      <c r="E76" s="36">
        <f t="shared" ref="E76:E102" si="22">+D76/$D$1</f>
        <v>5.7142857142857141E-2</v>
      </c>
      <c r="F76" s="36">
        <f t="shared" ref="F76:F102" si="23">+(E76/$D$2)</f>
        <v>1.6307279318606598E-4</v>
      </c>
      <c r="G76" s="57">
        <f>+VLOOKUP(C76,'Diet item and measures'!$B$74:$C$138,2,FALSE)</f>
        <v>0.8</v>
      </c>
      <c r="H76" s="10"/>
      <c r="I76" s="77">
        <v>9.258400000000002E-5</v>
      </c>
      <c r="J76" s="30"/>
      <c r="M76" s="47"/>
      <c r="N76" s="47"/>
      <c r="O76" s="47">
        <f t="shared" si="15"/>
        <v>1173134.8760837733</v>
      </c>
      <c r="P76" s="29">
        <f t="shared" si="16"/>
        <v>191.30638102697031</v>
      </c>
      <c r="Q76" s="31">
        <f t="shared" si="17"/>
        <v>6.0693479461066095</v>
      </c>
      <c r="R76" s="31">
        <f t="shared" si="18"/>
        <v>2.2817294561673069</v>
      </c>
      <c r="S76" s="76">
        <f t="shared" si="19"/>
        <v>13.975190104899108</v>
      </c>
      <c r="T76" s="76">
        <f t="shared" si="20"/>
        <v>5.2538762320162515</v>
      </c>
    </row>
    <row r="77" spans="2:20" x14ac:dyDescent="0.2">
      <c r="B77" s="10"/>
      <c r="C77" s="10" t="s">
        <v>136</v>
      </c>
      <c r="D77" s="11">
        <v>8</v>
      </c>
      <c r="E77" s="36">
        <f t="shared" si="22"/>
        <v>1.7582417582417582E-2</v>
      </c>
      <c r="F77" s="36">
        <f t="shared" si="23"/>
        <v>5.0176244057251075E-5</v>
      </c>
      <c r="G77" s="57">
        <f>+VLOOKUP(C77,'Diet item and measures'!$B$74:$C$138,2,FALSE)</f>
        <v>1.2</v>
      </c>
      <c r="H77" s="10"/>
      <c r="I77" s="77">
        <v>9.258400000000002E-5</v>
      </c>
      <c r="J77" s="30"/>
      <c r="M77" s="47"/>
      <c r="N77" s="47"/>
      <c r="O77" s="47">
        <f t="shared" si="15"/>
        <v>1173134.8760837733</v>
      </c>
      <c r="P77" s="29">
        <f t="shared" si="16"/>
        <v>58.863501854452409</v>
      </c>
      <c r="Q77" s="31">
        <f t="shared" si="17"/>
        <v>6.0693479461066095</v>
      </c>
      <c r="R77" s="31">
        <f t="shared" si="18"/>
        <v>1.7698460951884325</v>
      </c>
      <c r="S77" s="76">
        <f t="shared" si="19"/>
        <v>13.975190104899108</v>
      </c>
      <c r="T77" s="76">
        <f t="shared" si="20"/>
        <v>4.075221235674606</v>
      </c>
    </row>
    <row r="78" spans="2:20" x14ac:dyDescent="0.2">
      <c r="B78" s="10"/>
      <c r="C78" s="10" t="s">
        <v>138</v>
      </c>
      <c r="D78" s="11">
        <v>31</v>
      </c>
      <c r="E78" s="36">
        <f t="shared" si="22"/>
        <v>6.8131868131868126E-2</v>
      </c>
      <c r="F78" s="36">
        <f t="shared" si="23"/>
        <v>1.9443294572184789E-4</v>
      </c>
      <c r="G78" s="57">
        <f>+VLOOKUP(C78,'Diet item and measures'!$B$74:$C$138,2,FALSE)</f>
        <v>4</v>
      </c>
      <c r="H78" s="10"/>
      <c r="I78" s="77">
        <v>9.258400000000002E-5</v>
      </c>
      <c r="J78" s="30"/>
      <c r="M78" s="47"/>
      <c r="N78" s="47"/>
      <c r="O78" s="47">
        <f t="shared" si="15"/>
        <v>1173134.8760837733</v>
      </c>
      <c r="P78" s="29">
        <f t="shared" si="16"/>
        <v>228.09606968600306</v>
      </c>
      <c r="Q78" s="31">
        <f t="shared" si="17"/>
        <v>6.0693479461066095</v>
      </c>
      <c r="R78" s="31">
        <f t="shared" si="18"/>
        <v>2.3581178020307618</v>
      </c>
      <c r="S78" s="76">
        <f t="shared" si="19"/>
        <v>13.975190104899108</v>
      </c>
      <c r="T78" s="76">
        <f t="shared" si="20"/>
        <v>5.4297668984799161</v>
      </c>
    </row>
    <row r="79" spans="2:20" x14ac:dyDescent="0.2">
      <c r="B79" s="10"/>
      <c r="C79" s="10" t="s">
        <v>139</v>
      </c>
      <c r="D79" s="11">
        <v>5</v>
      </c>
      <c r="E79" s="36">
        <f t="shared" si="22"/>
        <v>1.098901098901099E-2</v>
      </c>
      <c r="F79" s="36">
        <f t="shared" si="23"/>
        <v>3.1360152535781923E-5</v>
      </c>
      <c r="G79" s="57">
        <f>+VLOOKUP(C79,'Diet item and measures'!$B$74:$C$138,2,FALSE)</f>
        <v>2.2999999999999998</v>
      </c>
      <c r="H79" s="10"/>
      <c r="I79" s="77">
        <v>9.258400000000002E-5</v>
      </c>
      <c r="J79" s="30"/>
      <c r="M79" s="47"/>
      <c r="N79" s="47"/>
      <c r="O79" s="47">
        <f t="shared" si="15"/>
        <v>1173134.8760837733</v>
      </c>
      <c r="P79" s="29">
        <f t="shared" si="16"/>
        <v>36.789688659032755</v>
      </c>
      <c r="Q79" s="31">
        <f t="shared" si="17"/>
        <v>6.0693479461066095</v>
      </c>
      <c r="R79" s="31">
        <f t="shared" si="18"/>
        <v>1.5657261125325077</v>
      </c>
      <c r="S79" s="76">
        <f t="shared" si="19"/>
        <v>13.975190104899108</v>
      </c>
      <c r="T79" s="76">
        <f t="shared" si="20"/>
        <v>3.6052176064288699</v>
      </c>
    </row>
    <row r="80" spans="2:20" x14ac:dyDescent="0.2">
      <c r="B80" s="10"/>
      <c r="C80" s="10" t="s">
        <v>141</v>
      </c>
      <c r="D80" s="11">
        <v>14</v>
      </c>
      <c r="E80" s="36">
        <f t="shared" si="22"/>
        <v>3.0769230769230771E-2</v>
      </c>
      <c r="F80" s="36">
        <f t="shared" si="23"/>
        <v>8.7808427100189386E-5</v>
      </c>
      <c r="G80" s="57">
        <f>+VLOOKUP(C80,'Diet item and measures'!$B$74:$C$138,2,FALSE)</f>
        <v>1.8</v>
      </c>
      <c r="H80" s="10"/>
      <c r="I80" s="77">
        <v>9.258400000000002E-5</v>
      </c>
      <c r="J80" s="30"/>
      <c r="M80" s="47"/>
      <c r="N80" s="47"/>
      <c r="O80" s="47">
        <f t="shared" si="15"/>
        <v>1173134.8760837733</v>
      </c>
      <c r="P80" s="29">
        <f t="shared" si="16"/>
        <v>103.01112824529172</v>
      </c>
      <c r="Q80" s="31">
        <f t="shared" si="17"/>
        <v>6.0693479461066095</v>
      </c>
      <c r="R80" s="31">
        <f t="shared" si="18"/>
        <v>2.0128841438747269</v>
      </c>
      <c r="S80" s="76">
        <f t="shared" si="19"/>
        <v>13.975190104899108</v>
      </c>
      <c r="T80" s="76">
        <f t="shared" si="20"/>
        <v>4.6348370236100287</v>
      </c>
    </row>
    <row r="81" spans="2:20" x14ac:dyDescent="0.2">
      <c r="B81" s="10"/>
      <c r="C81" s="10" t="s">
        <v>142</v>
      </c>
      <c r="D81" s="11">
        <v>81</v>
      </c>
      <c r="E81" s="36">
        <f t="shared" si="22"/>
        <v>0.17802197802197803</v>
      </c>
      <c r="F81" s="36">
        <f t="shared" si="23"/>
        <v>5.0803447107966712E-4</v>
      </c>
      <c r="G81" s="57">
        <f>+VLOOKUP(C81,'Diet item and measures'!$B$74:$C$138,2,FALSE)</f>
        <v>1.2</v>
      </c>
      <c r="H81" s="10"/>
      <c r="I81" s="77">
        <v>9.258400000000002E-5</v>
      </c>
      <c r="J81" s="30"/>
      <c r="M81" s="47"/>
      <c r="N81" s="47"/>
      <c r="O81" s="47">
        <f t="shared" si="15"/>
        <v>1173134.8760837733</v>
      </c>
      <c r="P81" s="29">
        <f t="shared" si="16"/>
        <v>595.99295627633057</v>
      </c>
      <c r="Q81" s="31">
        <f t="shared" si="17"/>
        <v>6.0693479461066095</v>
      </c>
      <c r="R81" s="31">
        <f t="shared" si="18"/>
        <v>2.7752411270751387</v>
      </c>
      <c r="S81" s="76">
        <f t="shared" si="19"/>
        <v>13.975190104899108</v>
      </c>
      <c r="T81" s="76">
        <f t="shared" si="20"/>
        <v>6.3902288486672081</v>
      </c>
    </row>
    <row r="82" spans="2:20" x14ac:dyDescent="0.2">
      <c r="B82" s="10"/>
      <c r="C82" s="10" t="s">
        <v>143</v>
      </c>
      <c r="D82" s="10">
        <v>177</v>
      </c>
      <c r="E82" s="36">
        <f t="shared" si="22"/>
        <v>0.38901098901098902</v>
      </c>
      <c r="F82" s="36">
        <f t="shared" si="23"/>
        <v>1.11014939976668E-3</v>
      </c>
      <c r="G82" s="57">
        <f>+VLOOKUP(C82,'Diet item and measures'!$B$74:$C$138,2,FALSE)</f>
        <v>0.6</v>
      </c>
      <c r="H82" s="10"/>
      <c r="I82" s="77">
        <v>9.258400000000002E-5</v>
      </c>
      <c r="J82" s="30"/>
      <c r="K82" s="45"/>
      <c r="M82" s="47"/>
      <c r="N82" s="47"/>
      <c r="O82" s="47">
        <f t="shared" si="15"/>
        <v>1173134.8760837733</v>
      </c>
      <c r="P82" s="29">
        <f t="shared" si="16"/>
        <v>1302.3549785297594</v>
      </c>
      <c r="Q82" s="31">
        <f t="shared" si="17"/>
        <v>6.0693479461066095</v>
      </c>
      <c r="R82" s="31">
        <f t="shared" si="18"/>
        <v>3.1147293745582956</v>
      </c>
      <c r="S82" s="76">
        <f t="shared" si="19"/>
        <v>13.975190104899108</v>
      </c>
      <c r="T82" s="76">
        <f t="shared" si="20"/>
        <v>7.1719294265685987</v>
      </c>
    </row>
    <row r="83" spans="2:20" x14ac:dyDescent="0.2">
      <c r="B83" s="10"/>
      <c r="C83" s="10" t="s">
        <v>144</v>
      </c>
      <c r="D83" s="10">
        <v>609</v>
      </c>
      <c r="E83" s="36">
        <f t="shared" si="22"/>
        <v>1.3384615384615384</v>
      </c>
      <c r="F83" s="36">
        <f t="shared" si="23"/>
        <v>3.819666578858238E-3</v>
      </c>
      <c r="G83" s="57">
        <f>+VLOOKUP(C83,'Diet item and measures'!$B$74:$C$138,2,FALSE)</f>
        <v>0.5</v>
      </c>
      <c r="H83" s="36">
        <v>6.0000000000000001E-3</v>
      </c>
      <c r="I83" s="52">
        <f>+H83*10^-3</f>
        <v>6.0000000000000002E-6</v>
      </c>
      <c r="J83" s="30"/>
      <c r="M83" s="47"/>
      <c r="N83" s="47"/>
      <c r="O83" s="47">
        <f t="shared" si="15"/>
        <v>18102253.227890015</v>
      </c>
      <c r="P83" s="29">
        <f t="shared" si="16"/>
        <v>69144.57165660015</v>
      </c>
      <c r="Q83" s="31">
        <f t="shared" si="17"/>
        <v>7.257732635837943</v>
      </c>
      <c r="R83" s="31">
        <f t="shared" si="18"/>
        <v>4.8397580905606974</v>
      </c>
      <c r="S83" s="76">
        <f t="shared" si="19"/>
        <v>16.71154697621683</v>
      </c>
      <c r="T83" s="76">
        <f t="shared" si="20"/>
        <v>11.143954833022388</v>
      </c>
    </row>
    <row r="84" spans="2:20" x14ac:dyDescent="0.2">
      <c r="B84" s="10"/>
      <c r="C84" s="10" t="s">
        <v>158</v>
      </c>
      <c r="D84" s="11">
        <v>1192</v>
      </c>
      <c r="E84" s="36">
        <f t="shared" si="22"/>
        <v>2.6197802197802198</v>
      </c>
      <c r="F84" s="36">
        <f t="shared" si="23"/>
        <v>7.4762603645304104E-3</v>
      </c>
      <c r="G84" s="57">
        <f>+VLOOKUP(C84,'Diet item and measures'!$B$74:$C$138,2,FALSE)</f>
        <v>0.25</v>
      </c>
      <c r="H84" s="10"/>
      <c r="I84" s="77">
        <v>9.258400000000002E-5</v>
      </c>
      <c r="J84" s="30"/>
      <c r="M84" s="47"/>
      <c r="N84" s="47"/>
      <c r="O84" s="47">
        <f t="shared" si="15"/>
        <v>1173134.8760837733</v>
      </c>
      <c r="P84" s="29">
        <f t="shared" si="16"/>
        <v>8770.6617763134091</v>
      </c>
      <c r="Q84" s="31">
        <f t="shared" si="17"/>
        <v>6.0693479461066095</v>
      </c>
      <c r="R84" s="31">
        <f t="shared" si="18"/>
        <v>3.9430323636007065</v>
      </c>
      <c r="S84" s="76">
        <f t="shared" si="19"/>
        <v>13.975190104899108</v>
      </c>
      <c r="T84" s="76">
        <f t="shared" si="20"/>
        <v>9.0791675416200643</v>
      </c>
    </row>
    <row r="85" spans="2:20" x14ac:dyDescent="0.2">
      <c r="B85" s="10" t="s">
        <v>207</v>
      </c>
      <c r="C85" s="10" t="s">
        <v>145</v>
      </c>
      <c r="D85" s="11">
        <v>2614</v>
      </c>
      <c r="E85" s="36">
        <f t="shared" si="22"/>
        <v>5.7450549450549451</v>
      </c>
      <c r="F85" s="36">
        <f t="shared" si="23"/>
        <v>1.6395087745706791E-2</v>
      </c>
      <c r="G85" s="57">
        <f>+VLOOKUP(C85,'Diet item and measures'!$B$74:$C$138,2,FALSE)</f>
        <v>12</v>
      </c>
      <c r="H85" s="41">
        <v>11.37</v>
      </c>
      <c r="I85" s="52">
        <f>+H85*10^-3</f>
        <v>1.137E-2</v>
      </c>
      <c r="M85" s="47"/>
      <c r="N85" s="47"/>
      <c r="O85" s="47">
        <f t="shared" si="15"/>
        <v>9552.6402257994796</v>
      </c>
      <c r="P85" s="29">
        <f t="shared" si="16"/>
        <v>156.6163747051508</v>
      </c>
      <c r="Q85" s="31">
        <f t="shared" si="17"/>
        <v>3.9801234215338517</v>
      </c>
      <c r="R85" s="31">
        <f t="shared" si="18"/>
        <v>2.1948371668682567</v>
      </c>
      <c r="S85" s="76">
        <f t="shared" si="19"/>
        <v>9.1645728587003035</v>
      </c>
      <c r="T85" s="76">
        <f t="shared" si="20"/>
        <v>5.0537993419801319</v>
      </c>
    </row>
    <row r="86" spans="2:20" x14ac:dyDescent="0.2">
      <c r="B86" s="10"/>
      <c r="C86" s="10" t="s">
        <v>146</v>
      </c>
      <c r="D86" s="11">
        <v>2</v>
      </c>
      <c r="E86" s="36">
        <f t="shared" si="22"/>
        <v>4.3956043956043956E-3</v>
      </c>
      <c r="F86" s="36">
        <f t="shared" si="23"/>
        <v>1.2544061014312769E-5</v>
      </c>
      <c r="G86" s="57">
        <f>+VLOOKUP(C86,'Diet item and measures'!$B$74:$C$138,2,FALSE)</f>
        <v>8</v>
      </c>
      <c r="I86" s="82">
        <v>4.9324574585947276E-3</v>
      </c>
      <c r="M86" s="47"/>
      <c r="N86" s="47"/>
      <c r="O86" s="47">
        <f t="shared" si="15"/>
        <v>22020.163433560443</v>
      </c>
      <c r="P86" s="29">
        <f t="shared" si="16"/>
        <v>0.27622227365572116</v>
      </c>
      <c r="Q86" s="31">
        <f t="shared" si="17"/>
        <v>4.342820537979514</v>
      </c>
      <c r="R86" s="31">
        <f t="shared" si="18"/>
        <v>-0.5587413042666256</v>
      </c>
      <c r="S86" s="76">
        <f t="shared" si="19"/>
        <v>9.9997138323000101</v>
      </c>
      <c r="T86" s="76">
        <f t="shared" si="20"/>
        <v>-1.2865493980443825</v>
      </c>
    </row>
    <row r="87" spans="2:20" x14ac:dyDescent="0.2">
      <c r="B87" s="10"/>
      <c r="C87" s="10" t="s">
        <v>151</v>
      </c>
      <c r="D87" s="11">
        <v>4</v>
      </c>
      <c r="E87" s="36">
        <f t="shared" si="22"/>
        <v>8.7912087912087912E-3</v>
      </c>
      <c r="F87" s="36">
        <f t="shared" si="23"/>
        <v>2.5088122028625537E-5</v>
      </c>
      <c r="G87" s="57">
        <f>+VLOOKUP(C87,'Diet item and measures'!$B$74:$C$138,2,FALSE)</f>
        <v>1.25</v>
      </c>
      <c r="H87" s="10"/>
      <c r="I87" s="83">
        <v>4.9324574585947276E-3</v>
      </c>
      <c r="J87" s="30"/>
      <c r="K87" s="45"/>
      <c r="M87" s="47"/>
      <c r="N87" s="47"/>
      <c r="O87" s="47">
        <f t="shared" si="15"/>
        <v>22020.163433560443</v>
      </c>
      <c r="P87" s="29">
        <f t="shared" si="16"/>
        <v>0.55244454731144232</v>
      </c>
      <c r="Q87" s="31">
        <f t="shared" si="17"/>
        <v>4.342820537979514</v>
      </c>
      <c r="R87" s="31">
        <f t="shared" si="18"/>
        <v>-0.25771130860264441</v>
      </c>
      <c r="S87" s="76">
        <f t="shared" si="19"/>
        <v>9.9997138323000101</v>
      </c>
      <c r="T87" s="76">
        <f t="shared" si="20"/>
        <v>-0.59340221748443722</v>
      </c>
    </row>
    <row r="88" spans="2:20" x14ac:dyDescent="0.2">
      <c r="B88" s="10"/>
      <c r="C88" s="10" t="s">
        <v>152</v>
      </c>
      <c r="D88" s="56">
        <v>465</v>
      </c>
      <c r="E88" s="36">
        <f t="shared" si="22"/>
        <v>1.0219780219780219</v>
      </c>
      <c r="F88" s="36">
        <f t="shared" si="23"/>
        <v>2.9164941858277186E-3</v>
      </c>
      <c r="G88" s="57">
        <f>+VLOOKUP(C88,'Diet item and measures'!$B$74:$C$138,2,FALSE)</f>
        <v>1.25</v>
      </c>
      <c r="H88" s="10"/>
      <c r="I88" s="83">
        <v>4.9324574585947276E-3</v>
      </c>
      <c r="J88" s="30"/>
      <c r="K88" s="45"/>
      <c r="M88" s="47"/>
      <c r="N88" s="47"/>
      <c r="O88" s="47">
        <f t="shared" si="15"/>
        <v>22020.163433560443</v>
      </c>
      <c r="P88" s="29">
        <f t="shared" si="16"/>
        <v>64.22167862495516</v>
      </c>
      <c r="Q88" s="31">
        <f t="shared" si="17"/>
        <v>4.342820537979514</v>
      </c>
      <c r="R88" s="31">
        <f t="shared" si="18"/>
        <v>1.8076816529593471</v>
      </c>
      <c r="S88" s="76">
        <f t="shared" si="19"/>
        <v>9.9997138323000101</v>
      </c>
      <c r="T88" s="76">
        <f t="shared" si="20"/>
        <v>4.1623408269830282</v>
      </c>
    </row>
    <row r="89" spans="2:20" x14ac:dyDescent="0.2">
      <c r="B89" s="10"/>
      <c r="C89" s="10" t="s">
        <v>153</v>
      </c>
      <c r="D89" s="10">
        <v>3</v>
      </c>
      <c r="E89" s="36">
        <f t="shared" si="22"/>
        <v>6.5934065934065934E-3</v>
      </c>
      <c r="F89" s="36">
        <f t="shared" si="23"/>
        <v>1.8816091521469152E-5</v>
      </c>
      <c r="G89" s="57">
        <f>+VLOOKUP(C89,'Diet item and measures'!$B$74:$C$138,2,FALSE)</f>
        <v>10</v>
      </c>
      <c r="H89" s="10"/>
      <c r="I89" s="83">
        <v>4.9324574585947276E-3</v>
      </c>
      <c r="J89" s="30"/>
      <c r="M89" s="47"/>
      <c r="N89" s="47"/>
      <c r="O89" s="47">
        <f t="shared" si="15"/>
        <v>22020.163433560443</v>
      </c>
      <c r="P89" s="29">
        <f t="shared" si="16"/>
        <v>0.41433341048358169</v>
      </c>
      <c r="Q89" s="31">
        <f t="shared" si="17"/>
        <v>4.342820537979514</v>
      </c>
      <c r="R89" s="31">
        <f t="shared" si="18"/>
        <v>-0.38265004521094442</v>
      </c>
      <c r="S89" s="76">
        <f t="shared" si="19"/>
        <v>9.9997138323000101</v>
      </c>
      <c r="T89" s="76">
        <f t="shared" si="20"/>
        <v>-0.88108428993621823</v>
      </c>
    </row>
    <row r="90" spans="2:20" x14ac:dyDescent="0.2">
      <c r="B90" s="10"/>
      <c r="C90" s="10" t="s">
        <v>148</v>
      </c>
      <c r="D90" s="11">
        <v>29</v>
      </c>
      <c r="E90" s="36">
        <f t="shared" si="22"/>
        <v>6.3736263736263732E-2</v>
      </c>
      <c r="F90" s="36">
        <f t="shared" si="23"/>
        <v>1.8188888470753513E-4</v>
      </c>
      <c r="G90" s="57">
        <f>+VLOOKUP(C90,'Diet item and measures'!$B$74:$C$138,2,FALSE)</f>
        <v>2</v>
      </c>
      <c r="H90" s="11"/>
      <c r="I90" s="84">
        <v>4.9324574585947276E-3</v>
      </c>
      <c r="J90" s="5"/>
      <c r="M90" s="47"/>
      <c r="N90" s="47"/>
      <c r="O90" s="47">
        <f t="shared" si="15"/>
        <v>22020.163433560443</v>
      </c>
      <c r="P90" s="29">
        <f t="shared" si="16"/>
        <v>4.0052229680079563</v>
      </c>
      <c r="Q90" s="31">
        <f t="shared" si="17"/>
        <v>4.342820537979514</v>
      </c>
      <c r="R90" s="31">
        <f t="shared" si="18"/>
        <v>0.60262669796834922</v>
      </c>
      <c r="S90" s="76">
        <f t="shared" si="19"/>
        <v>9.9997138323000101</v>
      </c>
      <c r="T90" s="76">
        <f t="shared" si="20"/>
        <v>1.387599251382146</v>
      </c>
    </row>
    <row r="91" spans="2:20" x14ac:dyDescent="0.2">
      <c r="B91" s="10"/>
      <c r="C91" s="10" t="s">
        <v>149</v>
      </c>
      <c r="D91" s="11">
        <v>8</v>
      </c>
      <c r="E91" s="36">
        <f t="shared" si="22"/>
        <v>1.7582417582417582E-2</v>
      </c>
      <c r="F91" s="36">
        <f t="shared" si="23"/>
        <v>5.0176244057251075E-5</v>
      </c>
      <c r="G91" s="57">
        <f>+VLOOKUP(C91,'Diet item and measures'!$B$74:$C$138,2,FALSE)</f>
        <v>3</v>
      </c>
      <c r="H91" s="10"/>
      <c r="I91" s="82">
        <v>4.9324574585947276E-3</v>
      </c>
      <c r="M91" s="47"/>
      <c r="N91" s="47"/>
      <c r="O91" s="47">
        <f t="shared" si="15"/>
        <v>22020.163433560443</v>
      </c>
      <c r="P91" s="29">
        <f t="shared" si="16"/>
        <v>1.1048890946228846</v>
      </c>
      <c r="Q91" s="31">
        <f t="shared" si="17"/>
        <v>4.342820537979514</v>
      </c>
      <c r="R91" s="31">
        <f t="shared" si="18"/>
        <v>4.3318687061336784E-2</v>
      </c>
      <c r="S91" s="76">
        <f t="shared" si="19"/>
        <v>9.9997138323000101</v>
      </c>
      <c r="T91" s="76">
        <f t="shared" si="20"/>
        <v>9.9744963075508133E-2</v>
      </c>
    </row>
    <row r="92" spans="2:20" ht="18" x14ac:dyDescent="0.25">
      <c r="B92" s="10"/>
      <c r="C92" s="10" t="s">
        <v>165</v>
      </c>
      <c r="D92" s="11">
        <v>60</v>
      </c>
      <c r="E92" s="36">
        <f t="shared" si="22"/>
        <v>0.13186813186813187</v>
      </c>
      <c r="F92" s="36">
        <f t="shared" si="23"/>
        <v>3.7632183042938307E-4</v>
      </c>
      <c r="G92" s="57">
        <f>+VLOOKUP(C92,'Diet item and measures'!$B$74:$C$138,2,FALSE)</f>
        <v>0.27</v>
      </c>
      <c r="H92" s="36" t="s">
        <v>195</v>
      </c>
      <c r="I92" s="32">
        <v>2.6699999999999998E-4</v>
      </c>
      <c r="M92" s="47"/>
      <c r="N92" s="47"/>
      <c r="O92" s="47">
        <f t="shared" si="15"/>
        <v>406792.20736831496</v>
      </c>
      <c r="P92" s="29">
        <f t="shared" si="16"/>
        <v>153.08478808125346</v>
      </c>
      <c r="Q92" s="31">
        <f t="shared" si="17"/>
        <v>5.609372624857011</v>
      </c>
      <c r="R92" s="31">
        <f t="shared" si="18"/>
        <v>2.1849320373305341</v>
      </c>
      <c r="S92" s="76">
        <f t="shared" si="19"/>
        <v>12.916057787044636</v>
      </c>
      <c r="T92" s="76">
        <f t="shared" si="20"/>
        <v>5.0309919383623978</v>
      </c>
    </row>
    <row r="93" spans="2:20" ht="18" x14ac:dyDescent="0.25">
      <c r="B93" s="10"/>
      <c r="C93" s="10" t="s">
        <v>208</v>
      </c>
      <c r="D93" s="10">
        <v>16</v>
      </c>
      <c r="E93" s="36">
        <f t="shared" si="22"/>
        <v>3.5164835164835165E-2</v>
      </c>
      <c r="F93" s="36">
        <f t="shared" si="23"/>
        <v>1.0035248811450215E-4</v>
      </c>
      <c r="G93" s="57">
        <v>0.27</v>
      </c>
      <c r="H93" s="36" t="s">
        <v>195</v>
      </c>
      <c r="I93" s="32">
        <v>2.6699999999999998E-4</v>
      </c>
      <c r="J93" s="30"/>
      <c r="K93" s="45"/>
      <c r="M93" s="47"/>
      <c r="N93" s="47"/>
      <c r="O93" s="47">
        <f t="shared" si="15"/>
        <v>406792.20736831496</v>
      </c>
      <c r="P93" s="29">
        <f t="shared" si="16"/>
        <v>40.822610155000923</v>
      </c>
      <c r="Q93" s="31">
        <f t="shared" si="17"/>
        <v>5.609372624857011</v>
      </c>
      <c r="R93" s="31">
        <f t="shared" si="18"/>
        <v>1.6109007696028153</v>
      </c>
      <c r="S93" s="76">
        <f t="shared" si="19"/>
        <v>12.916057787044636</v>
      </c>
      <c r="T93" s="76">
        <f t="shared" si="20"/>
        <v>3.7092360983800785</v>
      </c>
    </row>
    <row r="94" spans="2:20" ht="18" x14ac:dyDescent="0.25">
      <c r="B94" s="10"/>
      <c r="C94" s="10" t="s">
        <v>169</v>
      </c>
      <c r="D94" s="11">
        <v>80</v>
      </c>
      <c r="E94" s="36">
        <f t="shared" si="22"/>
        <v>0.17582417582417584</v>
      </c>
      <c r="F94" s="36">
        <f t="shared" si="23"/>
        <v>5.0176244057251076E-4</v>
      </c>
      <c r="G94" s="57">
        <f>+VLOOKUP(C94,'Diet item and measures'!$B$74:$C$138,2,FALSE)</f>
        <v>0.27</v>
      </c>
      <c r="H94" s="36" t="s">
        <v>195</v>
      </c>
      <c r="I94" s="32">
        <v>2.6699999999999998E-4</v>
      </c>
      <c r="J94" s="24"/>
      <c r="K94" s="45"/>
      <c r="M94" s="47"/>
      <c r="N94" s="47"/>
      <c r="O94" s="47">
        <f t="shared" si="15"/>
        <v>406792.20736831496</v>
      </c>
      <c r="P94" s="29">
        <f t="shared" si="16"/>
        <v>204.11305077500461</v>
      </c>
      <c r="Q94" s="31">
        <f t="shared" si="17"/>
        <v>5.609372624857011</v>
      </c>
      <c r="R94" s="31">
        <f t="shared" si="18"/>
        <v>2.309870773938834</v>
      </c>
      <c r="S94" s="76">
        <f t="shared" si="19"/>
        <v>12.916057787044636</v>
      </c>
      <c r="T94" s="76">
        <f t="shared" si="20"/>
        <v>5.3186740108141786</v>
      </c>
    </row>
    <row r="95" spans="2:20" x14ac:dyDescent="0.2">
      <c r="B95" s="10"/>
      <c r="C95" s="10" t="s">
        <v>170</v>
      </c>
      <c r="D95" s="11">
        <v>326</v>
      </c>
      <c r="E95" s="36">
        <f t="shared" si="22"/>
        <v>0.71648351648351649</v>
      </c>
      <c r="F95" s="36">
        <f t="shared" si="23"/>
        <v>2.0446819453329812E-3</v>
      </c>
      <c r="G95" s="57">
        <f>+VLOOKUP(C95,'Diet item and measures'!$B$74:$C$138,2,FALSE)</f>
        <v>0.27</v>
      </c>
      <c r="H95" s="36"/>
      <c r="I95" s="85">
        <v>4.9324574585947276E-3</v>
      </c>
      <c r="J95" s="24"/>
      <c r="K95" s="45"/>
      <c r="M95" s="47"/>
      <c r="N95" s="47"/>
      <c r="O95" s="47">
        <f t="shared" si="15"/>
        <v>22020.163433560443</v>
      </c>
      <c r="P95" s="29">
        <f t="shared" si="16"/>
        <v>45.024230605882543</v>
      </c>
      <c r="Q95" s="31">
        <f t="shared" si="17"/>
        <v>4.342820537979514</v>
      </c>
      <c r="R95" s="31">
        <f t="shared" si="18"/>
        <v>1.6534463001373321</v>
      </c>
      <c r="S95" s="76">
        <f t="shared" si="19"/>
        <v>9.9997138323000101</v>
      </c>
      <c r="T95" s="76">
        <f t="shared" si="20"/>
        <v>3.8072008027623796</v>
      </c>
    </row>
    <row r="96" spans="2:20" x14ac:dyDescent="0.2">
      <c r="B96" s="10"/>
      <c r="C96" s="10" t="s">
        <v>159</v>
      </c>
      <c r="D96" s="11">
        <v>25</v>
      </c>
      <c r="E96" s="36">
        <f t="shared" si="22"/>
        <v>5.4945054945054944E-2</v>
      </c>
      <c r="F96" s="36">
        <f t="shared" si="23"/>
        <v>1.568007626789096E-4</v>
      </c>
      <c r="G96" s="57">
        <f>+VLOOKUP(C96,'Diet item and measures'!$B$74:$C$138,2,FALSE)</f>
        <v>0.1</v>
      </c>
      <c r="H96" s="36"/>
      <c r="I96" s="85">
        <v>4.9324574585947276E-3</v>
      </c>
      <c r="J96" s="24"/>
      <c r="K96" s="45"/>
      <c r="M96" s="47"/>
      <c r="N96" s="47"/>
      <c r="O96" s="47">
        <f t="shared" si="15"/>
        <v>22020.163433560443</v>
      </c>
      <c r="P96" s="29">
        <f t="shared" si="16"/>
        <v>3.4527784206965144</v>
      </c>
      <c r="Q96" s="31">
        <f t="shared" si="17"/>
        <v>4.342820537979514</v>
      </c>
      <c r="R96" s="31">
        <f t="shared" si="18"/>
        <v>0.53816870874143075</v>
      </c>
      <c r="S96" s="76">
        <f t="shared" si="19"/>
        <v>9.9997138323000101</v>
      </c>
      <c r="T96" s="76">
        <f t="shared" si="20"/>
        <v>1.2391792462638729</v>
      </c>
    </row>
    <row r="97" spans="2:20" x14ac:dyDescent="0.2">
      <c r="B97" s="10"/>
      <c r="C97" s="10" t="s">
        <v>171</v>
      </c>
      <c r="D97" s="10">
        <v>3</v>
      </c>
      <c r="E97" s="36">
        <f t="shared" si="22"/>
        <v>6.5934065934065934E-3</v>
      </c>
      <c r="F97" s="36">
        <f t="shared" si="23"/>
        <v>1.8816091521469152E-5</v>
      </c>
      <c r="G97" s="57">
        <f>+VLOOKUP(C97,'Diet item and measures'!$B$74:$C$138,2,FALSE)</f>
        <v>1.5</v>
      </c>
      <c r="H97" s="36"/>
      <c r="I97" s="83">
        <v>4.9324574585947276E-3</v>
      </c>
      <c r="J97" s="30"/>
      <c r="K97" s="45"/>
      <c r="M97" s="47"/>
      <c r="N97" s="47"/>
      <c r="O97" s="47">
        <f t="shared" si="15"/>
        <v>22020.163433560443</v>
      </c>
      <c r="P97" s="29">
        <f t="shared" si="16"/>
        <v>0.41433341048358169</v>
      </c>
      <c r="Q97" s="31">
        <f t="shared" si="17"/>
        <v>4.342820537979514</v>
      </c>
      <c r="R97" s="31">
        <f t="shared" si="18"/>
        <v>-0.38265004521094442</v>
      </c>
      <c r="S97" s="76">
        <f t="shared" si="19"/>
        <v>9.9997138323000101</v>
      </c>
      <c r="T97" s="76">
        <f t="shared" si="20"/>
        <v>-0.88108428993621823</v>
      </c>
    </row>
    <row r="98" spans="2:20" x14ac:dyDescent="0.2">
      <c r="B98" s="10"/>
      <c r="C98" s="10" t="s">
        <v>154</v>
      </c>
      <c r="D98" s="10">
        <v>75</v>
      </c>
      <c r="E98" s="36">
        <f t="shared" si="22"/>
        <v>0.16483516483516483</v>
      </c>
      <c r="F98" s="36">
        <f t="shared" si="23"/>
        <v>4.7040228803672883E-4</v>
      </c>
      <c r="G98" s="57">
        <f>+VLOOKUP(C98,'Diet item and measures'!$B$74:$C$138,2,FALSE)</f>
        <v>8</v>
      </c>
      <c r="H98" s="36"/>
      <c r="I98" s="83">
        <v>4.9324574585947276E-3</v>
      </c>
      <c r="J98" s="30"/>
      <c r="K98" s="45"/>
      <c r="M98" s="47"/>
      <c r="N98" s="47"/>
      <c r="O98" s="47">
        <f t="shared" si="15"/>
        <v>22020.163433560443</v>
      </c>
      <c r="P98" s="29">
        <f t="shared" si="16"/>
        <v>10.358335262089543</v>
      </c>
      <c r="Q98" s="31">
        <f t="shared" si="17"/>
        <v>4.342820537979514</v>
      </c>
      <c r="R98" s="31">
        <f t="shared" si="18"/>
        <v>1.0152899634610932</v>
      </c>
      <c r="S98" s="76">
        <f t="shared" si="19"/>
        <v>9.9997138323000101</v>
      </c>
      <c r="T98" s="76">
        <f t="shared" si="20"/>
        <v>2.3377915349319824</v>
      </c>
    </row>
    <row r="99" spans="2:20" x14ac:dyDescent="0.2">
      <c r="B99" s="10"/>
      <c r="C99" s="10" t="s">
        <v>172</v>
      </c>
      <c r="D99" s="11">
        <v>1</v>
      </c>
      <c r="E99" s="36">
        <f t="shared" si="22"/>
        <v>2.1978021978021978E-3</v>
      </c>
      <c r="F99" s="36">
        <f t="shared" si="23"/>
        <v>6.2720305071563844E-6</v>
      </c>
      <c r="G99" s="57">
        <f>+VLOOKUP(C99,'Diet item and measures'!$B$74:$C$138,2,FALSE)</f>
        <v>1.5</v>
      </c>
      <c r="H99" s="36"/>
      <c r="I99" s="85">
        <v>4.9324574585947276E-3</v>
      </c>
      <c r="J99" s="24"/>
      <c r="K99" s="45"/>
      <c r="M99" s="47"/>
      <c r="N99" s="47"/>
      <c r="O99" s="47">
        <f t="shared" si="15"/>
        <v>22020.163433560443</v>
      </c>
      <c r="P99" s="29">
        <f t="shared" si="16"/>
        <v>0.13811113682786058</v>
      </c>
      <c r="Q99" s="31">
        <f t="shared" si="17"/>
        <v>4.342820537979514</v>
      </c>
      <c r="R99" s="31">
        <f t="shared" si="18"/>
        <v>-0.85977129993060675</v>
      </c>
      <c r="S99" s="76">
        <f t="shared" si="19"/>
        <v>9.9997138323000101</v>
      </c>
      <c r="T99" s="76">
        <f t="shared" si="20"/>
        <v>-1.9796965786043279</v>
      </c>
    </row>
    <row r="100" spans="2:20" x14ac:dyDescent="0.2">
      <c r="B100" s="10"/>
      <c r="C100" s="10" t="s">
        <v>161</v>
      </c>
      <c r="D100" s="10">
        <v>16</v>
      </c>
      <c r="E100" s="36">
        <f t="shared" si="22"/>
        <v>3.5164835164835165E-2</v>
      </c>
      <c r="F100" s="36">
        <f t="shared" si="23"/>
        <v>1.0035248811450215E-4</v>
      </c>
      <c r="G100" s="57">
        <f>+VLOOKUP(C100,'Diet item and measures'!$B$74:$C$138,2,FALSE)</f>
        <v>5</v>
      </c>
      <c r="H100" s="36"/>
      <c r="I100" s="85">
        <v>4.9324574585947276E-3</v>
      </c>
      <c r="J100" s="24"/>
      <c r="M100" s="47"/>
      <c r="N100" s="47"/>
      <c r="O100" s="47">
        <f t="shared" si="15"/>
        <v>22020.163433560443</v>
      </c>
      <c r="P100" s="29">
        <f t="shared" si="16"/>
        <v>2.2097781892457693</v>
      </c>
      <c r="Q100" s="31">
        <f t="shared" si="17"/>
        <v>4.342820537979514</v>
      </c>
      <c r="R100" s="31">
        <f t="shared" si="18"/>
        <v>0.34434868272531799</v>
      </c>
      <c r="S100" s="76">
        <f t="shared" si="19"/>
        <v>9.9997138323000101</v>
      </c>
      <c r="T100" s="76">
        <f t="shared" si="20"/>
        <v>0.79289214363545346</v>
      </c>
    </row>
    <row r="101" spans="2:20" x14ac:dyDescent="0.2">
      <c r="B101" s="10"/>
      <c r="C101" s="10" t="s">
        <v>157</v>
      </c>
      <c r="D101" s="10">
        <v>2</v>
      </c>
      <c r="E101" s="36">
        <f t="shared" si="22"/>
        <v>4.3956043956043956E-3</v>
      </c>
      <c r="F101" s="36">
        <f t="shared" si="23"/>
        <v>1.2544061014312769E-5</v>
      </c>
      <c r="G101" s="57">
        <f>+VLOOKUP(C101,'Diet item and measures'!$B$74:$C$138,2,FALSE)</f>
        <v>1.5</v>
      </c>
      <c r="H101" s="36" t="s">
        <v>190</v>
      </c>
      <c r="I101" s="55">
        <v>1.249128729297364E-2</v>
      </c>
      <c r="J101" s="30"/>
      <c r="M101" s="47"/>
      <c r="N101" s="47"/>
      <c r="O101" s="47">
        <f t="shared" si="15"/>
        <v>8695.142207515737</v>
      </c>
      <c r="P101" s="29">
        <f t="shared" si="16"/>
        <v>0.10907239437920363</v>
      </c>
      <c r="Q101" s="31">
        <f t="shared" si="17"/>
        <v>3.9392766892063942</v>
      </c>
      <c r="R101" s="31">
        <f t="shared" si="18"/>
        <v>-0.96228515303974516</v>
      </c>
      <c r="S101" s="76">
        <f t="shared" si="19"/>
        <v>9.0705197817455812</v>
      </c>
      <c r="T101" s="76">
        <f t="shared" si="20"/>
        <v>-2.2157434485988112</v>
      </c>
    </row>
    <row r="102" spans="2:20" x14ac:dyDescent="0.2">
      <c r="B102" s="10"/>
      <c r="C102" s="10" t="s">
        <v>155</v>
      </c>
      <c r="D102" s="11">
        <v>2</v>
      </c>
      <c r="E102" s="36">
        <f t="shared" si="22"/>
        <v>4.3956043956043956E-3</v>
      </c>
      <c r="F102" s="36">
        <f t="shared" si="23"/>
        <v>1.2544061014312769E-5</v>
      </c>
      <c r="G102" s="57">
        <f>+VLOOKUP(C102,'Diet item and measures'!$B$74:$C$138,2,FALSE)</f>
        <v>10</v>
      </c>
      <c r="H102" s="36"/>
      <c r="I102" s="83">
        <v>4.9324574585947276E-3</v>
      </c>
      <c r="J102" s="30"/>
      <c r="K102" s="45"/>
      <c r="M102" s="47"/>
      <c r="N102" s="47"/>
      <c r="O102" s="47">
        <f t="shared" si="15"/>
        <v>22020.163433560443</v>
      </c>
      <c r="P102" s="29">
        <f t="shared" si="16"/>
        <v>0.27622227365572116</v>
      </c>
      <c r="Q102" s="31">
        <f t="shared" si="17"/>
        <v>4.342820537979514</v>
      </c>
      <c r="R102" s="31">
        <f t="shared" si="18"/>
        <v>-0.5587413042666256</v>
      </c>
      <c r="S102" s="76">
        <f t="shared" si="19"/>
        <v>9.9997138323000101</v>
      </c>
      <c r="T102" s="76">
        <f t="shared" si="20"/>
        <v>-1.2865493980443825</v>
      </c>
    </row>
    <row r="103" spans="2:20" x14ac:dyDescent="0.2">
      <c r="B103" s="10"/>
      <c r="C103" s="10"/>
      <c r="E103" s="36"/>
      <c r="F103" s="36"/>
      <c r="G103" s="105"/>
      <c r="H103" s="36"/>
      <c r="I103" s="24"/>
      <c r="J103" s="24"/>
      <c r="M103" s="47"/>
      <c r="N103" s="47"/>
      <c r="O103" s="47"/>
      <c r="P103" s="29"/>
      <c r="Q103" s="31"/>
      <c r="R103" s="31"/>
      <c r="S103" s="76"/>
      <c r="T103" s="76"/>
    </row>
    <row r="104" spans="2:20" x14ac:dyDescent="0.2">
      <c r="B104" s="10"/>
      <c r="C104" s="10"/>
      <c r="E104" s="36"/>
      <c r="F104" s="36"/>
      <c r="G104" s="40"/>
      <c r="H104" s="36"/>
      <c r="I104" s="24"/>
      <c r="J104" s="24"/>
      <c r="M104" s="47"/>
      <c r="N104" s="47"/>
      <c r="O104" s="47"/>
      <c r="P104" s="29"/>
      <c r="Q104" s="31"/>
      <c r="R104" s="31"/>
    </row>
    <row r="105" spans="2:20" x14ac:dyDescent="0.2">
      <c r="B105" s="10"/>
      <c r="C105" s="10"/>
      <c r="D105" s="11"/>
      <c r="E105" s="36"/>
      <c r="F105" s="36"/>
      <c r="G105" s="40"/>
      <c r="H105" s="36"/>
      <c r="I105" s="24"/>
      <c r="J105" s="24"/>
      <c r="K105" s="45"/>
      <c r="M105" s="47"/>
      <c r="N105" s="47"/>
      <c r="O105" s="47"/>
      <c r="P105" s="29"/>
      <c r="Q105" s="31"/>
      <c r="R105" s="31"/>
    </row>
    <row r="106" spans="2:20" x14ac:dyDescent="0.2">
      <c r="B106" s="10"/>
      <c r="C106" s="10"/>
      <c r="D106" s="10"/>
      <c r="E106" s="36"/>
      <c r="F106" s="36"/>
      <c r="G106" s="40"/>
      <c r="H106" s="36"/>
      <c r="I106" s="24"/>
      <c r="J106" s="24"/>
      <c r="K106" s="45"/>
      <c r="M106" s="47"/>
      <c r="N106" s="47"/>
      <c r="O106" s="47"/>
      <c r="P106" s="29"/>
      <c r="Q106" s="31"/>
      <c r="R106" s="31"/>
    </row>
    <row r="107" spans="2:20" x14ac:dyDescent="0.2">
      <c r="B107" s="10"/>
      <c r="C107" s="10"/>
      <c r="D107" s="11"/>
      <c r="E107" s="36"/>
      <c r="F107" s="36"/>
      <c r="G107" s="40"/>
      <c r="H107" s="36"/>
      <c r="I107" s="24"/>
      <c r="J107" s="24"/>
      <c r="K107" s="45"/>
      <c r="M107" s="47"/>
      <c r="N107" s="47"/>
      <c r="O107" s="47"/>
      <c r="P107" s="29"/>
      <c r="Q107" s="31"/>
      <c r="R107" s="31"/>
    </row>
    <row r="108" spans="2:20" x14ac:dyDescent="0.2">
      <c r="B108" s="10"/>
      <c r="C108" s="10"/>
      <c r="D108" s="10"/>
      <c r="E108" s="36"/>
      <c r="F108" s="36"/>
      <c r="G108" s="40"/>
      <c r="H108" s="36"/>
      <c r="I108" s="24"/>
      <c r="J108" s="24"/>
      <c r="K108" s="45"/>
      <c r="M108" s="47"/>
      <c r="N108" s="47"/>
      <c r="O108" s="47"/>
      <c r="P108" s="29"/>
      <c r="Q108" s="31"/>
      <c r="R108" s="31"/>
    </row>
    <row r="109" spans="2:20" x14ac:dyDescent="0.2">
      <c r="B109" s="10"/>
      <c r="C109" s="10"/>
      <c r="D109" s="10"/>
      <c r="E109" s="36"/>
      <c r="F109" s="36"/>
      <c r="G109" s="40"/>
      <c r="H109" s="36"/>
      <c r="I109" s="30"/>
      <c r="J109" s="30"/>
      <c r="M109" s="47"/>
      <c r="N109" s="47"/>
      <c r="O109" s="47"/>
      <c r="P109" s="29"/>
      <c r="Q109" s="31"/>
      <c r="R109" s="31"/>
    </row>
    <row r="110" spans="2:20" x14ac:dyDescent="0.2">
      <c r="B110" s="10"/>
      <c r="C110" s="10"/>
      <c r="D110" s="11"/>
      <c r="E110" s="36"/>
      <c r="F110" s="36"/>
      <c r="G110" s="40"/>
      <c r="H110" s="36"/>
      <c r="I110" s="24"/>
      <c r="J110" s="24"/>
      <c r="M110" s="47"/>
      <c r="N110" s="47"/>
      <c r="O110" s="47"/>
      <c r="P110" s="29"/>
      <c r="Q110" s="31"/>
      <c r="R110" s="31"/>
    </row>
    <row r="111" spans="2:20" x14ac:dyDescent="0.2">
      <c r="B111" s="10"/>
      <c r="C111" s="10"/>
      <c r="D111" s="11"/>
      <c r="E111" s="36"/>
      <c r="F111" s="36"/>
      <c r="G111" s="40"/>
      <c r="H111" s="36"/>
      <c r="I111" s="30"/>
      <c r="J111" s="30"/>
      <c r="K111" s="45"/>
      <c r="M111" s="47"/>
      <c r="N111" s="47"/>
      <c r="O111" s="47"/>
      <c r="P111" s="29"/>
      <c r="Q111" s="31"/>
      <c r="R111" s="31"/>
    </row>
    <row r="112" spans="2:20" x14ac:dyDescent="0.2">
      <c r="B112" s="10"/>
      <c r="C112" s="10"/>
      <c r="D112" s="10"/>
      <c r="E112" s="36"/>
      <c r="F112" s="36"/>
      <c r="G112" s="40"/>
      <c r="H112" s="36"/>
      <c r="I112" s="24"/>
      <c r="J112" s="24"/>
      <c r="K112" s="45"/>
      <c r="M112" s="47"/>
      <c r="N112" s="47"/>
      <c r="O112" s="47"/>
      <c r="P112" s="29"/>
      <c r="Q112" s="31"/>
      <c r="R112" s="31"/>
    </row>
    <row r="113" spans="2:18" x14ac:dyDescent="0.2">
      <c r="B113" s="10"/>
      <c r="C113" s="10"/>
      <c r="D113" s="11"/>
      <c r="E113" s="36"/>
      <c r="F113" s="36"/>
      <c r="G113" s="40"/>
      <c r="H113" s="36"/>
      <c r="I113" s="30"/>
      <c r="J113" s="30"/>
      <c r="K113" s="45"/>
      <c r="M113" s="47"/>
      <c r="N113" s="47"/>
      <c r="O113" s="47"/>
      <c r="P113" s="29"/>
      <c r="Q113" s="31"/>
      <c r="R113" s="31"/>
    </row>
    <row r="114" spans="2:18" x14ac:dyDescent="0.2">
      <c r="B114" s="10"/>
      <c r="C114" s="10"/>
      <c r="D114" s="10"/>
      <c r="E114" s="36"/>
      <c r="F114" s="36"/>
      <c r="G114" s="40"/>
      <c r="H114" s="36"/>
      <c r="I114" s="24"/>
      <c r="J114" s="24"/>
      <c r="K114" s="45"/>
      <c r="M114" s="47"/>
      <c r="N114" s="47"/>
      <c r="O114" s="47"/>
      <c r="P114" s="29"/>
      <c r="Q114" s="31"/>
      <c r="R114" s="31"/>
    </row>
    <row r="115" spans="2:18" x14ac:dyDescent="0.2">
      <c r="B115" s="10"/>
      <c r="C115" s="10"/>
      <c r="D115" s="11"/>
      <c r="E115" s="36"/>
      <c r="F115" s="36"/>
      <c r="G115" s="40"/>
      <c r="H115" s="36"/>
      <c r="I115" s="24"/>
      <c r="J115" s="24"/>
      <c r="M115" s="47"/>
      <c r="N115" s="47"/>
      <c r="O115" s="47"/>
      <c r="P115" s="29"/>
      <c r="Q115" s="31"/>
      <c r="R115" s="31"/>
    </row>
    <row r="116" spans="2:18" x14ac:dyDescent="0.2">
      <c r="B116" s="10"/>
      <c r="C116" s="10"/>
      <c r="D116" s="11"/>
      <c r="E116" s="36"/>
      <c r="F116" s="36"/>
      <c r="G116" s="40"/>
      <c r="H116" s="36"/>
      <c r="I116" s="30"/>
      <c r="J116" s="30"/>
      <c r="K116" s="45"/>
      <c r="M116" s="47"/>
      <c r="N116" s="47"/>
      <c r="O116" s="47"/>
      <c r="P116" s="29"/>
      <c r="Q116" s="31"/>
      <c r="R116" s="31"/>
    </row>
    <row r="117" spans="2:18" x14ac:dyDescent="0.2">
      <c r="B117" s="10"/>
      <c r="C117" s="10"/>
      <c r="D117" s="11"/>
      <c r="E117" s="36"/>
      <c r="F117" s="36"/>
      <c r="G117" s="40"/>
      <c r="H117" s="36"/>
      <c r="I117" s="30"/>
      <c r="J117" s="30"/>
      <c r="K117" s="45"/>
      <c r="M117" s="47"/>
      <c r="N117" s="47"/>
      <c r="O117" s="47"/>
      <c r="P117" s="29"/>
      <c r="Q117" s="31"/>
      <c r="R117" s="31"/>
    </row>
    <row r="118" spans="2:18" x14ac:dyDescent="0.2">
      <c r="B118" s="10"/>
      <c r="C118" s="10"/>
      <c r="D118" s="10"/>
      <c r="E118" s="36"/>
      <c r="F118" s="36"/>
      <c r="G118" s="40"/>
      <c r="H118" s="36"/>
      <c r="I118" s="24"/>
      <c r="J118" s="24"/>
      <c r="K118" s="45"/>
      <c r="M118" s="47"/>
      <c r="N118" s="47"/>
      <c r="O118" s="47"/>
      <c r="P118" s="29"/>
      <c r="Q118" s="31"/>
      <c r="R118" s="31"/>
    </row>
    <row r="119" spans="2:18" x14ac:dyDescent="0.2">
      <c r="B119" s="10"/>
      <c r="C119" s="10"/>
      <c r="D119" s="10"/>
      <c r="E119" s="36"/>
      <c r="F119" s="36"/>
      <c r="G119" s="40"/>
      <c r="H119" s="36"/>
      <c r="I119" s="24"/>
      <c r="J119" s="24"/>
      <c r="K119" s="45"/>
      <c r="M119" s="47"/>
      <c r="N119" s="47"/>
      <c r="O119" s="47"/>
      <c r="P119" s="29"/>
      <c r="Q119" s="31"/>
      <c r="R119" s="31"/>
    </row>
    <row r="120" spans="2:18" x14ac:dyDescent="0.2">
      <c r="B120" s="10"/>
      <c r="C120" s="10"/>
      <c r="D120" s="10"/>
      <c r="E120" s="36"/>
      <c r="F120" s="36"/>
      <c r="G120" s="40"/>
      <c r="H120" s="36"/>
      <c r="I120" s="24"/>
      <c r="J120" s="24"/>
      <c r="M120" s="47"/>
      <c r="N120" s="47"/>
      <c r="O120" s="47"/>
      <c r="P120" s="29"/>
      <c r="Q120" s="31"/>
      <c r="R120" s="31"/>
    </row>
    <row r="121" spans="2:18" x14ac:dyDescent="0.2">
      <c r="B121" s="10"/>
      <c r="C121" s="10"/>
      <c r="D121" s="10"/>
      <c r="E121" s="36"/>
      <c r="F121" s="36"/>
      <c r="G121" s="40"/>
      <c r="H121" s="36"/>
      <c r="I121" s="24"/>
      <c r="J121" s="24"/>
      <c r="M121" s="47"/>
      <c r="N121" s="47"/>
      <c r="O121" s="47"/>
      <c r="P121" s="29"/>
      <c r="Q121" s="31"/>
      <c r="R121" s="31"/>
    </row>
    <row r="122" spans="2:18" x14ac:dyDescent="0.2">
      <c r="B122" s="10"/>
      <c r="C122" s="10"/>
      <c r="E122" s="36"/>
      <c r="F122" s="36"/>
      <c r="G122" s="40"/>
      <c r="H122" s="36"/>
      <c r="I122" s="24"/>
      <c r="J122" s="24"/>
      <c r="K122" s="45"/>
      <c r="M122" s="47"/>
      <c r="N122" s="47"/>
      <c r="O122" s="47"/>
      <c r="P122" s="29"/>
      <c r="Q122" s="31"/>
      <c r="R122" s="31"/>
    </row>
    <row r="123" spans="2:18" x14ac:dyDescent="0.2">
      <c r="B123" s="10"/>
      <c r="C123" s="10"/>
      <c r="D123" s="10"/>
      <c r="E123" s="36"/>
      <c r="F123" s="36"/>
      <c r="G123" s="40"/>
      <c r="H123" s="36"/>
      <c r="I123" s="24"/>
      <c r="J123" s="24"/>
      <c r="M123" s="47"/>
      <c r="N123" s="47"/>
      <c r="O123" s="47"/>
      <c r="P123" s="29"/>
      <c r="Q123" s="31"/>
      <c r="R123" s="31"/>
    </row>
    <row r="124" spans="2:18" x14ac:dyDescent="0.2">
      <c r="B124" s="10"/>
      <c r="C124" s="10"/>
      <c r="D124" s="11"/>
      <c r="E124" s="36"/>
      <c r="F124" s="36"/>
      <c r="G124" s="40"/>
      <c r="H124" s="36"/>
      <c r="I124" s="24"/>
      <c r="J124" s="24"/>
      <c r="K124" s="45"/>
      <c r="M124" s="47"/>
      <c r="N124" s="47"/>
      <c r="O124" s="47"/>
      <c r="P124" s="29"/>
      <c r="Q124" s="31"/>
      <c r="R124" s="31"/>
    </row>
    <row r="125" spans="2:18" x14ac:dyDescent="0.2">
      <c r="B125" s="10"/>
      <c r="C125" s="10"/>
      <c r="D125" s="10"/>
      <c r="E125" s="36"/>
      <c r="F125" s="36"/>
      <c r="G125" s="40"/>
      <c r="H125" s="36"/>
      <c r="I125" s="24"/>
      <c r="J125" s="24"/>
      <c r="K125" s="45"/>
      <c r="M125" s="47"/>
      <c r="N125" s="47"/>
      <c r="O125" s="47"/>
      <c r="P125" s="29"/>
      <c r="Q125" s="31"/>
      <c r="R125" s="31"/>
    </row>
    <row r="126" spans="2:18" x14ac:dyDescent="0.2">
      <c r="B126" s="10"/>
      <c r="C126" s="10"/>
      <c r="D126" s="10"/>
      <c r="E126" s="36"/>
      <c r="F126" s="36"/>
      <c r="G126" s="40"/>
      <c r="H126" s="36"/>
      <c r="I126" s="24"/>
      <c r="J126" s="24"/>
      <c r="K126" s="45"/>
      <c r="M126" s="47"/>
      <c r="N126" s="47"/>
      <c r="O126" s="47"/>
      <c r="P126" s="29"/>
      <c r="Q126" s="31"/>
      <c r="R126" s="31"/>
    </row>
    <row r="127" spans="2:18" x14ac:dyDescent="0.2">
      <c r="B127" s="10"/>
      <c r="C127" s="10"/>
      <c r="D127" s="10"/>
      <c r="E127" s="10"/>
      <c r="F127" s="36"/>
      <c r="G127" s="37"/>
      <c r="H127" s="10"/>
      <c r="K127" s="45"/>
      <c r="M127" s="47"/>
      <c r="N127" s="47"/>
      <c r="O127" s="47"/>
      <c r="P127" s="29"/>
      <c r="Q127" s="31"/>
      <c r="R127" s="31"/>
    </row>
    <row r="128" spans="2:18" x14ac:dyDescent="0.2">
      <c r="B128" s="10"/>
      <c r="C128" s="10"/>
      <c r="D128" s="11"/>
      <c r="E128" s="36"/>
      <c r="F128" s="36"/>
      <c r="G128" s="40"/>
      <c r="H128" s="36"/>
      <c r="I128" s="24"/>
      <c r="J128" s="24"/>
      <c r="K128" s="45"/>
      <c r="M128" s="47"/>
      <c r="N128" s="47"/>
      <c r="O128" s="47"/>
      <c r="P128" s="29"/>
      <c r="Q128" s="31"/>
      <c r="R128" s="31"/>
    </row>
    <row r="129" spans="2:18" x14ac:dyDescent="0.2">
      <c r="B129" s="10"/>
      <c r="C129" s="10"/>
      <c r="D129" s="11"/>
      <c r="E129" s="36"/>
      <c r="F129" s="36"/>
      <c r="G129" s="40"/>
      <c r="H129" s="36"/>
      <c r="I129" s="30"/>
      <c r="J129" s="30"/>
      <c r="K129" s="45"/>
      <c r="M129" s="47"/>
      <c r="N129" s="47"/>
      <c r="O129" s="47"/>
      <c r="P129" s="29"/>
      <c r="Q129" s="31"/>
      <c r="R129" s="31"/>
    </row>
    <row r="130" spans="2:18" x14ac:dyDescent="0.2">
      <c r="B130" s="10"/>
      <c r="C130" s="10"/>
      <c r="D130" s="11"/>
      <c r="E130" s="36"/>
      <c r="F130" s="36"/>
      <c r="G130" s="40"/>
      <c r="H130" s="36"/>
      <c r="I130" s="24"/>
      <c r="J130" s="24"/>
      <c r="K130" s="45"/>
      <c r="M130" s="47"/>
      <c r="N130" s="47"/>
      <c r="O130" s="47"/>
      <c r="P130" s="29"/>
      <c r="Q130" s="31"/>
      <c r="R130" s="31"/>
    </row>
    <row r="131" spans="2:18" x14ac:dyDescent="0.2">
      <c r="B131" s="10"/>
      <c r="C131" s="10"/>
      <c r="D131" s="11"/>
      <c r="E131" s="36"/>
      <c r="F131" s="36"/>
      <c r="G131" s="37"/>
      <c r="H131" s="41"/>
      <c r="I131" s="30"/>
      <c r="J131" s="30"/>
      <c r="K131" s="45"/>
      <c r="M131" s="47"/>
      <c r="N131" s="47"/>
      <c r="O131" s="47"/>
      <c r="P131" s="29"/>
      <c r="Q131" s="31"/>
      <c r="R131" s="31"/>
    </row>
    <row r="132" spans="2:18" x14ac:dyDescent="0.2">
      <c r="B132" s="10"/>
      <c r="C132" s="10"/>
      <c r="D132" s="10"/>
      <c r="E132" s="36"/>
      <c r="F132" s="36"/>
      <c r="G132" s="40"/>
      <c r="H132" s="36"/>
      <c r="I132" s="24"/>
      <c r="J132" s="24"/>
      <c r="K132" s="45"/>
      <c r="M132" s="47"/>
      <c r="N132" s="47"/>
      <c r="O132" s="47"/>
      <c r="P132" s="29"/>
      <c r="Q132" s="31"/>
      <c r="R132" s="31"/>
    </row>
    <row r="133" spans="2:18" x14ac:dyDescent="0.2">
      <c r="B133" s="10"/>
      <c r="C133" s="10"/>
      <c r="D133" s="10"/>
      <c r="E133" s="36"/>
      <c r="F133" s="36"/>
      <c r="G133" s="40"/>
      <c r="H133" s="36"/>
      <c r="I133" s="24"/>
      <c r="J133" s="24"/>
      <c r="M133" s="47"/>
      <c r="N133" s="47"/>
      <c r="O133" s="47"/>
      <c r="P133" s="29"/>
      <c r="Q133" s="31"/>
      <c r="R133" s="31"/>
    </row>
    <row r="134" spans="2:18" x14ac:dyDescent="0.2">
      <c r="B134" s="10"/>
      <c r="C134" s="10"/>
      <c r="D134" s="11"/>
      <c r="E134" s="36"/>
      <c r="F134" s="36"/>
      <c r="G134" s="40"/>
      <c r="H134" s="36"/>
      <c r="I134" s="24"/>
      <c r="J134" s="24"/>
      <c r="K134" s="45"/>
      <c r="M134" s="47"/>
      <c r="N134" s="47"/>
      <c r="O134" s="47"/>
      <c r="P134" s="29"/>
      <c r="Q134" s="31"/>
      <c r="R134" s="31"/>
    </row>
    <row r="135" spans="2:18" x14ac:dyDescent="0.2">
      <c r="B135" s="10"/>
      <c r="C135" s="10"/>
      <c r="D135" s="11"/>
      <c r="E135" s="36"/>
      <c r="F135" s="36"/>
      <c r="G135" s="40"/>
      <c r="H135" s="36"/>
      <c r="I135" s="24"/>
      <c r="J135" s="24"/>
      <c r="K135" s="45"/>
      <c r="M135" s="47"/>
      <c r="N135" s="47"/>
      <c r="O135" s="47"/>
      <c r="P135" s="29"/>
      <c r="Q135" s="31"/>
      <c r="R135" s="31"/>
    </row>
    <row r="136" spans="2:18" x14ac:dyDescent="0.2">
      <c r="B136" s="10"/>
      <c r="C136" s="10"/>
      <c r="D136" s="10"/>
      <c r="E136" s="36"/>
      <c r="F136" s="36"/>
      <c r="G136" s="40"/>
      <c r="H136" s="36"/>
      <c r="I136" s="24"/>
      <c r="J136" s="24"/>
      <c r="M136" s="47"/>
      <c r="N136" s="47"/>
      <c r="O136" s="47"/>
      <c r="P136" s="29"/>
      <c r="Q136" s="31"/>
      <c r="R136" s="31"/>
    </row>
    <row r="137" spans="2:18" x14ac:dyDescent="0.2">
      <c r="B137" s="10"/>
      <c r="C137" s="10"/>
      <c r="D137" s="10"/>
      <c r="E137" s="36"/>
      <c r="F137" s="36"/>
      <c r="G137" s="40"/>
      <c r="H137" s="36"/>
      <c r="I137" s="24"/>
      <c r="J137" s="24"/>
      <c r="M137" s="47"/>
      <c r="N137" s="47"/>
      <c r="O137" s="47"/>
      <c r="P137" s="29"/>
      <c r="Q137" s="31"/>
      <c r="R137" s="31"/>
    </row>
    <row r="138" spans="2:18" x14ac:dyDescent="0.2">
      <c r="B138" s="10"/>
      <c r="C138" s="10"/>
      <c r="D138" s="10"/>
      <c r="E138" s="36"/>
      <c r="F138" s="36"/>
      <c r="G138" s="40"/>
      <c r="H138" s="36"/>
      <c r="I138" s="24"/>
      <c r="J138" s="24"/>
      <c r="K138" s="45"/>
      <c r="M138" s="47"/>
      <c r="N138" s="47"/>
      <c r="O138" s="47"/>
      <c r="P138" s="29"/>
      <c r="Q138" s="31"/>
      <c r="R138" s="31"/>
    </row>
    <row r="139" spans="2:18" x14ac:dyDescent="0.2">
      <c r="B139" s="10"/>
      <c r="C139" s="10"/>
      <c r="D139" s="10"/>
      <c r="E139" s="36"/>
      <c r="F139" s="36"/>
      <c r="G139" s="40"/>
      <c r="H139" s="36"/>
      <c r="I139" s="24"/>
      <c r="J139" s="24"/>
      <c r="M139" s="47"/>
      <c r="N139" s="47"/>
      <c r="O139" s="47"/>
      <c r="P139" s="29"/>
      <c r="Q139" s="31"/>
      <c r="R139" s="31"/>
    </row>
    <row r="140" spans="2:18" x14ac:dyDescent="0.2">
      <c r="B140" s="10"/>
      <c r="C140" s="10"/>
      <c r="D140" s="10"/>
      <c r="E140" s="36"/>
      <c r="F140" s="36"/>
      <c r="G140" s="40"/>
      <c r="H140" s="36"/>
      <c r="I140" s="24"/>
      <c r="J140" s="24"/>
      <c r="M140" s="47"/>
      <c r="N140" s="47"/>
      <c r="O140" s="47"/>
      <c r="P140" s="29"/>
      <c r="Q140" s="31"/>
      <c r="R140" s="31"/>
    </row>
    <row r="141" spans="2:18" x14ac:dyDescent="0.2">
      <c r="B141" s="10"/>
      <c r="C141" s="10"/>
      <c r="D141" s="10"/>
      <c r="E141" s="36"/>
      <c r="F141" s="36"/>
      <c r="G141" s="40"/>
      <c r="H141" s="36"/>
      <c r="I141" s="24"/>
      <c r="J141" s="24"/>
      <c r="K141" s="45"/>
      <c r="M141" s="47"/>
      <c r="N141" s="47"/>
      <c r="O141" s="47"/>
      <c r="P141" s="29"/>
      <c r="Q141" s="31"/>
      <c r="R141" s="31"/>
    </row>
    <row r="142" spans="2:18" x14ac:dyDescent="0.2">
      <c r="B142" s="10"/>
      <c r="C142" s="10"/>
      <c r="D142" s="10"/>
      <c r="E142" s="36"/>
      <c r="F142" s="36"/>
      <c r="G142" s="40"/>
      <c r="H142" s="36"/>
      <c r="I142" s="24"/>
      <c r="J142" s="24"/>
      <c r="M142" s="47"/>
      <c r="N142" s="47"/>
      <c r="O142" s="47"/>
      <c r="P142" s="29"/>
      <c r="Q142" s="31"/>
      <c r="R142" s="31"/>
    </row>
    <row r="143" spans="2:18" x14ac:dyDescent="0.2">
      <c r="B143" s="10"/>
      <c r="C143" s="10"/>
      <c r="D143" s="10"/>
      <c r="E143" s="36"/>
      <c r="F143" s="36"/>
      <c r="G143" s="40"/>
      <c r="H143" s="36"/>
      <c r="I143" s="24"/>
      <c r="J143" s="24"/>
      <c r="K143" s="45"/>
      <c r="M143" s="47"/>
      <c r="N143" s="47"/>
      <c r="O143" s="47"/>
      <c r="P143" s="29"/>
      <c r="Q143" s="31"/>
      <c r="R143" s="31"/>
    </row>
    <row r="144" spans="2:18" x14ac:dyDescent="0.2">
      <c r="B144" s="10"/>
      <c r="C144" s="10"/>
      <c r="D144" s="11"/>
      <c r="E144" s="36"/>
      <c r="F144" s="36"/>
      <c r="G144" s="40"/>
      <c r="H144" s="36"/>
      <c r="I144" s="24"/>
      <c r="J144" s="24"/>
      <c r="K144" s="45"/>
      <c r="M144" s="47"/>
      <c r="N144" s="47"/>
      <c r="O144" s="47"/>
      <c r="P144" s="29"/>
      <c r="Q144" s="31"/>
      <c r="R144" s="31"/>
    </row>
    <row r="145" spans="2:18" ht="17" x14ac:dyDescent="0.25">
      <c r="B145" s="10"/>
      <c r="C145" s="10"/>
      <c r="D145" s="11"/>
      <c r="E145" s="36"/>
      <c r="F145" s="49"/>
      <c r="G145" s="40"/>
      <c r="H145" s="36"/>
      <c r="I145" s="32"/>
      <c r="J145" s="32"/>
      <c r="K145" s="45"/>
      <c r="M145" s="47"/>
      <c r="N145" s="47"/>
      <c r="O145" s="47"/>
      <c r="P145" s="29"/>
      <c r="Q145" s="31"/>
      <c r="R145" s="31"/>
    </row>
    <row r="146" spans="2:18" x14ac:dyDescent="0.2">
      <c r="B146" s="10"/>
      <c r="C146" s="10"/>
      <c r="D146" s="10"/>
      <c r="E146" s="36"/>
      <c r="F146" s="36"/>
      <c r="G146" s="40"/>
      <c r="H146" s="36"/>
      <c r="I146" s="24"/>
      <c r="J146" s="24"/>
      <c r="K146" s="45"/>
      <c r="M146" s="47"/>
      <c r="N146" s="47"/>
      <c r="O146" s="47"/>
      <c r="P146" s="29"/>
      <c r="Q146" s="31"/>
      <c r="R146" s="31"/>
    </row>
    <row r="147" spans="2:18" x14ac:dyDescent="0.2">
      <c r="B147" s="10"/>
      <c r="C147" s="10"/>
      <c r="D147" s="10"/>
      <c r="E147" s="36"/>
      <c r="F147" s="36"/>
      <c r="G147" s="40"/>
      <c r="H147" s="36"/>
      <c r="I147" s="24"/>
      <c r="J147" s="24"/>
      <c r="M147" s="47"/>
      <c r="N147" s="47"/>
      <c r="O147" s="47"/>
      <c r="P147" s="29"/>
      <c r="Q147" s="31"/>
      <c r="R147" s="31"/>
    </row>
    <row r="148" spans="2:18" x14ac:dyDescent="0.2">
      <c r="B148" s="10"/>
      <c r="C148" s="10"/>
      <c r="D148" s="10"/>
      <c r="E148" s="36"/>
      <c r="F148" s="36"/>
      <c r="G148" s="40"/>
      <c r="H148" s="36"/>
      <c r="I148" s="24"/>
      <c r="J148" s="24"/>
      <c r="K148" s="45"/>
      <c r="M148" s="47"/>
      <c r="N148" s="47"/>
      <c r="O148" s="47"/>
      <c r="P148" s="29"/>
      <c r="Q148" s="31"/>
      <c r="R148" s="31"/>
    </row>
    <row r="149" spans="2:18" x14ac:dyDescent="0.2">
      <c r="B149" s="10"/>
      <c r="C149" s="10"/>
      <c r="D149" s="10"/>
      <c r="E149" s="36"/>
      <c r="F149" s="36"/>
      <c r="G149" s="40"/>
      <c r="H149" s="36"/>
      <c r="I149" s="24"/>
      <c r="J149" s="24"/>
      <c r="M149" s="47"/>
      <c r="N149" s="47"/>
      <c r="O149" s="47"/>
      <c r="P149" s="29"/>
      <c r="Q149" s="31"/>
      <c r="R149" s="31"/>
    </row>
    <row r="150" spans="2:18" x14ac:dyDescent="0.2">
      <c r="B150" s="10"/>
      <c r="C150" s="10"/>
      <c r="D150" s="10"/>
      <c r="E150" s="36"/>
      <c r="F150" s="36"/>
      <c r="G150" s="40"/>
      <c r="H150" s="36"/>
      <c r="I150" s="24"/>
      <c r="J150" s="24"/>
      <c r="K150" s="45"/>
      <c r="M150" s="47"/>
      <c r="N150" s="47"/>
      <c r="O150" s="47"/>
      <c r="P150" s="29"/>
      <c r="Q150" s="31"/>
      <c r="R150" s="31"/>
    </row>
    <row r="151" spans="2:18" ht="17" x14ac:dyDescent="0.25">
      <c r="B151" s="10"/>
      <c r="C151" s="10"/>
      <c r="D151" s="10"/>
      <c r="E151" s="36"/>
      <c r="F151" s="36"/>
      <c r="G151" s="40"/>
      <c r="H151" s="36"/>
      <c r="I151" s="32"/>
      <c r="J151" s="32"/>
      <c r="M151" s="47"/>
      <c r="N151" s="47"/>
      <c r="O151" s="47"/>
      <c r="P151" s="29"/>
      <c r="Q151" s="31"/>
      <c r="R151" s="31"/>
    </row>
    <row r="152" spans="2:18" ht="17" x14ac:dyDescent="0.25">
      <c r="B152" s="10"/>
      <c r="C152" s="10"/>
      <c r="D152" s="10"/>
      <c r="E152" s="36"/>
      <c r="F152" s="36"/>
      <c r="G152" s="40"/>
      <c r="H152" s="36"/>
      <c r="I152" s="32"/>
      <c r="J152" s="32"/>
      <c r="M152" s="47"/>
      <c r="N152" s="47"/>
      <c r="O152" s="47"/>
      <c r="P152" s="29"/>
      <c r="Q152" s="31"/>
      <c r="R152" s="31"/>
    </row>
    <row r="153" spans="2:18" ht="17" x14ac:dyDescent="0.25">
      <c r="B153" s="10"/>
      <c r="C153" s="10"/>
      <c r="D153" s="10"/>
      <c r="E153" s="36"/>
      <c r="F153" s="36"/>
      <c r="G153" s="40"/>
      <c r="H153" s="36"/>
      <c r="I153" s="32"/>
      <c r="J153" s="32"/>
      <c r="K153" s="45"/>
      <c r="M153" s="47"/>
      <c r="N153" s="47"/>
      <c r="O153" s="47"/>
      <c r="P153" s="29"/>
      <c r="Q153" s="31"/>
      <c r="R153" s="31"/>
    </row>
    <row r="154" spans="2:18" x14ac:dyDescent="0.2">
      <c r="B154" s="10"/>
      <c r="C154" s="10"/>
      <c r="D154" s="10"/>
      <c r="E154" s="36"/>
      <c r="F154" s="36"/>
      <c r="G154" s="40"/>
      <c r="H154" s="36"/>
      <c r="I154" s="24"/>
      <c r="J154" s="24"/>
      <c r="K154" s="45"/>
      <c r="M154" s="47"/>
      <c r="N154" s="47"/>
      <c r="O154" s="47"/>
      <c r="P154" s="29"/>
      <c r="Q154" s="31"/>
      <c r="R154" s="31"/>
    </row>
    <row r="155" spans="2:18" x14ac:dyDescent="0.2">
      <c r="B155" s="10"/>
      <c r="C155" s="10"/>
      <c r="D155" s="10"/>
      <c r="E155" s="36"/>
      <c r="F155" s="36"/>
      <c r="G155" s="40"/>
      <c r="H155" s="36"/>
      <c r="I155" s="24"/>
      <c r="J155" s="24"/>
      <c r="K155" s="45"/>
      <c r="M155" s="47"/>
      <c r="N155" s="47"/>
      <c r="O155" s="47"/>
      <c r="P155" s="29"/>
      <c r="Q155" s="31"/>
      <c r="R155" s="31"/>
    </row>
    <row r="156" spans="2:18" x14ac:dyDescent="0.2">
      <c r="B156" s="10"/>
      <c r="C156" s="10"/>
      <c r="D156" s="10"/>
      <c r="E156" s="36"/>
      <c r="F156" s="36"/>
      <c r="G156" s="40"/>
      <c r="H156" s="36"/>
      <c r="I156" s="26"/>
      <c r="J156" s="24"/>
      <c r="M156" s="47"/>
      <c r="N156" s="47"/>
      <c r="O156" s="47"/>
      <c r="P156" s="29"/>
      <c r="Q156" s="31"/>
      <c r="R156" s="31"/>
    </row>
    <row r="157" spans="2:18" x14ac:dyDescent="0.2">
      <c r="B157" s="10"/>
      <c r="C157" s="10"/>
      <c r="D157" s="10"/>
      <c r="E157" s="36"/>
      <c r="F157" s="36"/>
      <c r="G157" s="40"/>
      <c r="H157" s="36"/>
      <c r="I157" s="26"/>
      <c r="K157" s="45"/>
      <c r="M157" s="47"/>
      <c r="N157" s="47"/>
      <c r="O157" s="47"/>
      <c r="P157" s="29"/>
      <c r="Q157" s="31"/>
      <c r="R157" s="31"/>
    </row>
    <row r="158" spans="2:18" x14ac:dyDescent="0.2">
      <c r="B158" s="10"/>
      <c r="C158" s="10"/>
      <c r="D158" s="10"/>
      <c r="E158" s="36"/>
      <c r="F158" s="36"/>
      <c r="G158" s="40"/>
      <c r="H158" s="36"/>
      <c r="I158" s="26"/>
      <c r="J158" s="24"/>
      <c r="K158" s="45"/>
      <c r="M158" s="47"/>
      <c r="N158" s="47"/>
      <c r="O158" s="47"/>
      <c r="P158" s="29"/>
      <c r="Q158" s="31"/>
      <c r="R158" s="31"/>
    </row>
    <row r="162" spans="6:7" ht="17" x14ac:dyDescent="0.25">
      <c r="F162" s="33"/>
      <c r="G162" s="33"/>
    </row>
  </sheetData>
  <hyperlinks>
    <hyperlink ref="C7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66"/>
  <sheetViews>
    <sheetView tabSelected="1" zoomScale="110" zoomScaleNormal="11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11" sqref="E11"/>
    </sheetView>
  </sheetViews>
  <sheetFormatPr baseColWidth="10" defaultColWidth="8.83203125" defaultRowHeight="15" x14ac:dyDescent="0.2"/>
  <cols>
    <col min="2" max="2" width="22.6640625" customWidth="1"/>
    <col min="3" max="3" width="17.5" customWidth="1"/>
    <col min="4" max="4" width="14.6640625" style="17" customWidth="1"/>
    <col min="5" max="5" width="15.1640625" style="17" customWidth="1"/>
    <col min="6" max="6" width="21.83203125" style="27" customWidth="1"/>
    <col min="7" max="7" width="18.33203125" style="17" customWidth="1"/>
    <col min="8" max="8" width="21.5" style="17" customWidth="1"/>
    <col min="9" max="9" width="17.6640625" style="42" customWidth="1"/>
    <col min="10" max="10" width="17.5" customWidth="1"/>
    <col min="11" max="11" width="13" customWidth="1"/>
    <col min="12" max="12" width="13.6640625" style="17" customWidth="1"/>
    <col min="13" max="13" width="25.1640625" style="17" customWidth="1"/>
    <col min="14" max="14" width="28" customWidth="1"/>
    <col min="15" max="15" width="18.1640625" style="17" customWidth="1"/>
    <col min="16" max="16" width="12.6640625" customWidth="1"/>
    <col min="17" max="17" width="12" customWidth="1"/>
    <col min="18" max="18" width="11.5" customWidth="1"/>
    <col min="19" max="19" width="17.33203125" customWidth="1"/>
    <col min="20" max="21" width="14.33203125" customWidth="1"/>
    <col min="22" max="22" width="13.6640625" customWidth="1"/>
    <col min="23" max="23" width="11.33203125" customWidth="1"/>
    <col min="24" max="34" width="7.5" customWidth="1"/>
  </cols>
  <sheetData>
    <row r="1" spans="1:31" s="17" customFormat="1" x14ac:dyDescent="0.2">
      <c r="B1" s="17" t="s">
        <v>179</v>
      </c>
      <c r="C1" s="17">
        <v>21203</v>
      </c>
      <c r="F1" s="86" t="s">
        <v>224</v>
      </c>
      <c r="G1" s="89">
        <f>+AVERAGE(H97:H132)</f>
        <v>1.012036363636364E-4</v>
      </c>
      <c r="I1" s="42"/>
    </row>
    <row r="2" spans="1:31" s="17" customFormat="1" ht="16" thickBot="1" x14ac:dyDescent="0.25">
      <c r="B2" s="17" t="s">
        <v>181</v>
      </c>
      <c r="C2" s="5">
        <f>+SUM(D11:D162)</f>
        <v>110590.74031976608</v>
      </c>
      <c r="F2" s="90" t="s">
        <v>225</v>
      </c>
      <c r="G2" s="91">
        <v>7.004792354868665E-3</v>
      </c>
      <c r="I2" s="42"/>
      <c r="O2" s="117" t="s">
        <v>203</v>
      </c>
      <c r="P2" s="51" t="s">
        <v>202</v>
      </c>
      <c r="Q2" s="66" t="s">
        <v>216</v>
      </c>
      <c r="R2" s="66" t="s">
        <v>202</v>
      </c>
    </row>
    <row r="3" spans="1:31" s="17" customFormat="1" x14ac:dyDescent="0.2">
      <c r="B3" s="17" t="s">
        <v>187</v>
      </c>
      <c r="C3" s="28">
        <v>4.8032171702121745E-3</v>
      </c>
      <c r="I3" s="42"/>
      <c r="N3" s="58" t="s">
        <v>205</v>
      </c>
      <c r="O3" s="99">
        <f>+AVERAGE(O11:O162)</f>
        <v>6.7025120934731852</v>
      </c>
      <c r="P3" s="99">
        <f>+AVERAGE(P11:P162)</f>
        <v>7.2205564275055145E-2</v>
      </c>
      <c r="Q3" s="99">
        <f>+AVERAGE(Q11:Q162)</f>
        <v>15.433104432043654</v>
      </c>
      <c r="R3" s="99">
        <f t="shared" ref="R3" si="0">+AVERAGE(R11:R162)</f>
        <v>7.2205564275055145E-2</v>
      </c>
      <c r="S3" s="116"/>
      <c r="T3" s="115"/>
    </row>
    <row r="4" spans="1:31" s="17" customFormat="1" ht="16" thickBot="1" x14ac:dyDescent="0.25">
      <c r="B4" s="17" t="s">
        <v>188</v>
      </c>
      <c r="C4" s="17">
        <v>3.1698293899473673</v>
      </c>
      <c r="I4" s="42"/>
      <c r="N4" s="59" t="s">
        <v>206</v>
      </c>
      <c r="O4" s="100">
        <f>+STDEV(O11:O162)</f>
        <v>2.326402985964628</v>
      </c>
      <c r="P4" s="100">
        <f>+STDEV(P11:P162)</f>
        <v>0.4272902038913941</v>
      </c>
      <c r="Q4" s="100">
        <f t="shared" ref="Q4:R4" si="1">+STDEV(Q11:Q162)</f>
        <v>5.356740835779064</v>
      </c>
      <c r="R4" s="100">
        <f t="shared" si="1"/>
        <v>0.4272902038913941</v>
      </c>
      <c r="S4" s="116"/>
      <c r="T4" s="20"/>
    </row>
    <row r="5" spans="1:31" s="17" customFormat="1" x14ac:dyDescent="0.2">
      <c r="B5" s="17" t="s">
        <v>189</v>
      </c>
      <c r="C5" s="23">
        <v>12.75</v>
      </c>
      <c r="D5" s="17" t="s">
        <v>190</v>
      </c>
      <c r="I5" s="42"/>
      <c r="L5" s="17" t="s">
        <v>227</v>
      </c>
      <c r="M5" s="31">
        <f>+MAX(M11:M162)</f>
        <v>97085374601.587402</v>
      </c>
      <c r="O5" s="119"/>
      <c r="P5" s="20"/>
    </row>
    <row r="6" spans="1:31" s="17" customFormat="1" ht="17" x14ac:dyDescent="0.2">
      <c r="B6" s="17" t="s">
        <v>191</v>
      </c>
      <c r="C6" s="20">
        <f>+C3*(C5)^C4</f>
        <v>15.339489187050809</v>
      </c>
      <c r="D6" s="17" t="s">
        <v>183</v>
      </c>
      <c r="E6" s="25" t="s">
        <v>186</v>
      </c>
      <c r="G6" s="25" t="s">
        <v>184</v>
      </c>
      <c r="I6" s="42"/>
      <c r="J6" s="17" t="s">
        <v>197</v>
      </c>
      <c r="L6" s="17" t="s">
        <v>228</v>
      </c>
      <c r="M6" s="31">
        <f>+MIN(M11:M162)</f>
        <v>883.28209368655962</v>
      </c>
      <c r="O6" s="120"/>
    </row>
    <row r="7" spans="1:31" x14ac:dyDescent="0.2">
      <c r="A7" s="35" t="s">
        <v>175</v>
      </c>
      <c r="B7" s="50" t="s">
        <v>192</v>
      </c>
      <c r="C7" s="21"/>
      <c r="D7" s="21"/>
      <c r="E7" s="21"/>
      <c r="F7" s="21"/>
      <c r="G7" s="21"/>
      <c r="H7" s="21"/>
      <c r="I7" s="43"/>
      <c r="J7" s="21">
        <f>+SUM(J11:J162)</f>
        <v>5605.8552435976044</v>
      </c>
      <c r="M7" s="3" t="s">
        <v>201</v>
      </c>
      <c r="N7" s="3" t="s">
        <v>202</v>
      </c>
      <c r="O7" s="113"/>
    </row>
    <row r="8" spans="1:31" ht="17" x14ac:dyDescent="0.2">
      <c r="B8" t="s">
        <v>68</v>
      </c>
      <c r="C8" s="17" t="s">
        <v>177</v>
      </c>
      <c r="D8" s="3" t="s">
        <v>178</v>
      </c>
      <c r="E8" s="3" t="s">
        <v>180</v>
      </c>
      <c r="F8" s="63" t="s">
        <v>182</v>
      </c>
      <c r="G8" s="39" t="s">
        <v>223</v>
      </c>
      <c r="H8" s="101" t="s">
        <v>226</v>
      </c>
      <c r="I8" s="44" t="s">
        <v>69</v>
      </c>
      <c r="J8" s="3" t="s">
        <v>196</v>
      </c>
      <c r="K8" s="3" t="s">
        <v>198</v>
      </c>
      <c r="L8" s="3"/>
      <c r="M8" s="3" t="s">
        <v>200</v>
      </c>
      <c r="N8" s="3" t="s">
        <v>234</v>
      </c>
      <c r="O8" s="3" t="s">
        <v>203</v>
      </c>
      <c r="P8" s="3" t="s">
        <v>202</v>
      </c>
      <c r="Q8" s="67" t="s">
        <v>216</v>
      </c>
      <c r="R8" s="66" t="s">
        <v>217</v>
      </c>
    </row>
    <row r="9" spans="1:31" x14ac:dyDescent="0.2">
      <c r="F9" s="17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1" x14ac:dyDescent="0.2">
      <c r="B10" s="103" t="s">
        <v>29</v>
      </c>
      <c r="D10" s="24"/>
      <c r="F10" s="17"/>
      <c r="S10" s="1"/>
      <c r="T10" s="17"/>
      <c r="U10" s="20"/>
    </row>
    <row r="11" spans="1:31" x14ac:dyDescent="0.2">
      <c r="A11">
        <v>1</v>
      </c>
      <c r="B11" s="10" t="s">
        <v>30</v>
      </c>
      <c r="C11" s="11">
        <v>2249000</v>
      </c>
      <c r="D11" s="41">
        <f>+C11/21203</f>
        <v>106.06989576946658</v>
      </c>
      <c r="E11" s="36">
        <f>+(D11/$C$2)</f>
        <v>9.5912094866868825E-4</v>
      </c>
      <c r="F11" s="37">
        <v>16828</v>
      </c>
      <c r="G11" s="10"/>
      <c r="H11" s="29">
        <f t="shared" ref="H11:H48" si="2">+F11*10^-12</f>
        <v>1.6828E-8</v>
      </c>
      <c r="I11" s="42">
        <v>1733</v>
      </c>
      <c r="J11">
        <f>+I11/$C$1</f>
        <v>8.173371692684997E-2</v>
      </c>
      <c r="K11" s="47">
        <f t="shared" ref="K11:K48" si="3">+(J11/$J$7)*E11</f>
        <v>1.3984042882061526E-8</v>
      </c>
      <c r="L11" s="47">
        <f>+IF(M11=$M$5,1,0)</f>
        <v>0</v>
      </c>
      <c r="M11" s="47">
        <f t="shared" ref="M11:M48" si="4">+C$6/H11</f>
        <v>911545589.91269362</v>
      </c>
      <c r="N11" s="29">
        <f>+LOG10(($C$6/$H11))*$E11</f>
        <v>8.5935111533803708E-3</v>
      </c>
      <c r="O11" s="31">
        <f>+LOG10(M11)</f>
        <v>8.9597783942772065</v>
      </c>
      <c r="P11" s="29">
        <f>+LOG10(($C$6/$H11))*$E11</f>
        <v>8.5935111533803708E-3</v>
      </c>
      <c r="Q11" s="1">
        <f>+LN(M11)</f>
        <v>20.630652167192824</v>
      </c>
      <c r="R11" s="29">
        <f>+LOG(($C$6/$H11))*$E11</f>
        <v>8.5935111533803708E-3</v>
      </c>
      <c r="T11" s="17"/>
      <c r="U11" s="69"/>
    </row>
    <row r="12" spans="1:31" x14ac:dyDescent="0.2">
      <c r="A12">
        <v>2</v>
      </c>
      <c r="B12" s="10" t="s">
        <v>31</v>
      </c>
      <c r="C12" s="11">
        <v>107000</v>
      </c>
      <c r="D12" s="41">
        <f t="shared" ref="D12:D48" si="5">+C12/21203</f>
        <v>5.0464556902325146</v>
      </c>
      <c r="E12" s="36">
        <f t="shared" ref="E12:E48" si="6">+(D12/$C$2)</f>
        <v>4.5631810363516962E-5</v>
      </c>
      <c r="F12" s="37">
        <v>2749</v>
      </c>
      <c r="G12" s="10"/>
      <c r="H12" s="29">
        <f t="shared" si="2"/>
        <v>2.7489999999999999E-9</v>
      </c>
      <c r="I12" s="42">
        <v>19</v>
      </c>
      <c r="J12" s="17">
        <f t="shared" ref="J12:J73" si="7">+I12/$C$1</f>
        <v>8.960996085459605E-4</v>
      </c>
      <c r="K12" s="47">
        <f t="shared" si="3"/>
        <v>7.2942745802599668E-12</v>
      </c>
      <c r="L12" s="47">
        <f t="shared" ref="L12:L75" si="8">+IF(M12=$M$5,1,0)</f>
        <v>0</v>
      </c>
      <c r="M12" s="47">
        <f t="shared" si="4"/>
        <v>5580025168.0795956</v>
      </c>
      <c r="N12" s="29">
        <f t="shared" ref="N12:N48" si="9">+LOG10(($C$6/H12))*E12</f>
        <v>4.4475665283395512E-4</v>
      </c>
      <c r="O12" s="31">
        <f t="shared" ref="O12:O73" si="10">+LOG10(M12)</f>
        <v>9.7466361577786973</v>
      </c>
      <c r="P12" s="29">
        <f t="shared" ref="P12:P48" si="11">+LOG10(($C$6/$H12))*$E12</f>
        <v>4.4475665283395512E-4</v>
      </c>
      <c r="Q12" s="66">
        <f t="shared" ref="Q12:Q48" si="12">+LN(M12)</f>
        <v>22.44245912373799</v>
      </c>
      <c r="R12" s="29">
        <f t="shared" ref="R12:R48" si="13">+LOG(($C$6/$H12))*$E12</f>
        <v>4.4475665283395512E-4</v>
      </c>
      <c r="S12" s="18"/>
      <c r="T12" s="18"/>
      <c r="U12" s="69"/>
      <c r="V12" s="18"/>
      <c r="W12" s="18"/>
      <c r="X12" s="18"/>
      <c r="Y12" s="18"/>
      <c r="Z12" s="18"/>
      <c r="AA12" s="18"/>
      <c r="AB12" s="18"/>
      <c r="AC12" s="18"/>
      <c r="AD12" s="18"/>
      <c r="AE12" s="17"/>
    </row>
    <row r="13" spans="1:31" x14ac:dyDescent="0.2">
      <c r="A13">
        <v>3</v>
      </c>
      <c r="B13" s="10" t="s">
        <v>32</v>
      </c>
      <c r="C13" s="11">
        <v>186000</v>
      </c>
      <c r="D13" s="41">
        <f t="shared" si="5"/>
        <v>8.7723435362920341</v>
      </c>
      <c r="E13" s="36">
        <f t="shared" si="6"/>
        <v>7.9322586239384616E-5</v>
      </c>
      <c r="F13" s="37">
        <v>6187</v>
      </c>
      <c r="G13" s="10"/>
      <c r="H13" s="29">
        <f t="shared" si="2"/>
        <v>6.1870000000000002E-9</v>
      </c>
      <c r="I13" s="42">
        <v>64</v>
      </c>
      <c r="J13" s="17">
        <f t="shared" si="7"/>
        <v>3.0184407866811302E-3</v>
      </c>
      <c r="K13" s="47">
        <f t="shared" si="3"/>
        <v>4.2710794197449408E-11</v>
      </c>
      <c r="L13" s="47">
        <f t="shared" si="8"/>
        <v>0</v>
      </c>
      <c r="M13" s="47">
        <f t="shared" si="4"/>
        <v>2479309711.8233085</v>
      </c>
      <c r="N13" s="29">
        <f t="shared" si="9"/>
        <v>7.4518261358494321E-4</v>
      </c>
      <c r="O13" s="31">
        <f t="shared" si="10"/>
        <v>9.3943307816021644</v>
      </c>
      <c r="P13" s="29">
        <f t="shared" si="11"/>
        <v>7.4518261358494321E-4</v>
      </c>
      <c r="Q13" s="66">
        <f t="shared" si="12"/>
        <v>21.631246016372245</v>
      </c>
      <c r="R13" s="29">
        <f t="shared" si="13"/>
        <v>7.4518261358494321E-4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1" x14ac:dyDescent="0.2">
      <c r="A14">
        <v>4</v>
      </c>
      <c r="B14" s="7" t="s">
        <v>33</v>
      </c>
      <c r="C14" s="6">
        <v>265043000</v>
      </c>
      <c r="D14" s="102">
        <f t="shared" si="5"/>
        <v>12500.259397255106</v>
      </c>
      <c r="E14" s="36">
        <f t="shared" si="6"/>
        <v>0.11303170013250118</v>
      </c>
      <c r="F14" s="37">
        <v>1500</v>
      </c>
      <c r="G14" s="10"/>
      <c r="H14" s="29">
        <f t="shared" si="2"/>
        <v>1.5E-9</v>
      </c>
      <c r="I14" s="45">
        <v>28742</v>
      </c>
      <c r="J14" s="17">
        <f t="shared" si="7"/>
        <v>1.3555628920435787</v>
      </c>
      <c r="K14" s="47">
        <f t="shared" si="3"/>
        <v>2.733241792128129E-5</v>
      </c>
      <c r="L14" s="47">
        <f t="shared" si="8"/>
        <v>0</v>
      </c>
      <c r="M14" s="47">
        <f t="shared" si="4"/>
        <v>10226326124.700539</v>
      </c>
      <c r="N14" s="29">
        <f t="shared" si="9"/>
        <v>1.1314156285968548</v>
      </c>
      <c r="O14" s="31">
        <f t="shared" si="10"/>
        <v>10.009719638566484</v>
      </c>
      <c r="P14" s="29">
        <f t="shared" si="11"/>
        <v>1.1314156285968548</v>
      </c>
      <c r="Q14" s="66">
        <f t="shared" si="12"/>
        <v>23.048231224812934</v>
      </c>
      <c r="R14" s="29">
        <f t="shared" si="13"/>
        <v>1.1314156285968548</v>
      </c>
      <c r="S14" s="18"/>
      <c r="T14" s="70"/>
      <c r="U14" s="17"/>
      <c r="V14" s="70"/>
      <c r="W14" s="70"/>
      <c r="X14" s="18"/>
      <c r="Y14" s="18"/>
      <c r="Z14" s="18"/>
      <c r="AA14" s="18"/>
      <c r="AB14" s="18"/>
      <c r="AC14" s="18"/>
      <c r="AD14" s="18"/>
    </row>
    <row r="15" spans="1:31" x14ac:dyDescent="0.2">
      <c r="A15">
        <v>5</v>
      </c>
      <c r="B15" s="10" t="s">
        <v>34</v>
      </c>
      <c r="C15" s="11">
        <v>719000</v>
      </c>
      <c r="D15" s="41">
        <f t="shared" si="5"/>
        <v>33.91029571287082</v>
      </c>
      <c r="E15" s="36">
        <f t="shared" si="6"/>
        <v>3.0662870702213732E-4</v>
      </c>
      <c r="F15" s="37">
        <v>3534</v>
      </c>
      <c r="G15" s="10"/>
      <c r="H15" s="29">
        <f t="shared" si="2"/>
        <v>3.534E-9</v>
      </c>
      <c r="I15" s="42">
        <v>156</v>
      </c>
      <c r="J15" s="17">
        <f t="shared" si="7"/>
        <v>7.357449417535254E-3</v>
      </c>
      <c r="K15" s="47">
        <f t="shared" si="3"/>
        <v>4.0243729169713663E-10</v>
      </c>
      <c r="L15" s="47">
        <f t="shared" si="8"/>
        <v>0</v>
      </c>
      <c r="M15" s="47">
        <f t="shared" si="4"/>
        <v>4340545893.3363914</v>
      </c>
      <c r="N15" s="29">
        <f t="shared" si="9"/>
        <v>2.9551477636606802E-3</v>
      </c>
      <c r="O15" s="31">
        <f t="shared" si="10"/>
        <v>9.6375443524514193</v>
      </c>
      <c r="P15" s="29">
        <f t="shared" si="11"/>
        <v>2.9551477636606802E-3</v>
      </c>
      <c r="Q15" s="66">
        <f t="shared" si="12"/>
        <v>22.191265959023593</v>
      </c>
      <c r="R15" s="29">
        <f t="shared" si="13"/>
        <v>2.9551477636606802E-3</v>
      </c>
      <c r="S15" s="18"/>
      <c r="T15" s="70"/>
      <c r="U15" s="70"/>
      <c r="V15" s="70"/>
      <c r="W15" s="18"/>
      <c r="X15" s="18"/>
      <c r="Y15" s="18"/>
      <c r="Z15" s="18"/>
      <c r="AA15" s="18"/>
      <c r="AB15" s="18"/>
      <c r="AC15" s="18"/>
      <c r="AD15" s="18"/>
    </row>
    <row r="16" spans="1:31" x14ac:dyDescent="0.2">
      <c r="A16">
        <v>6</v>
      </c>
      <c r="B16" s="10" t="s">
        <v>35</v>
      </c>
      <c r="C16" s="11">
        <v>791000</v>
      </c>
      <c r="D16" s="41">
        <f t="shared" si="5"/>
        <v>37.306041597887095</v>
      </c>
      <c r="E16" s="36">
        <f t="shared" si="6"/>
        <v>3.3733422427609266E-4</v>
      </c>
      <c r="F16" s="37">
        <v>100531</v>
      </c>
      <c r="G16" s="10"/>
      <c r="H16" s="29">
        <f t="shared" si="2"/>
        <v>1.00531E-7</v>
      </c>
      <c r="I16" s="42">
        <v>2597</v>
      </c>
      <c r="J16" s="17">
        <f t="shared" si="7"/>
        <v>0.12248266754704523</v>
      </c>
      <c r="K16" s="47">
        <f t="shared" si="3"/>
        <v>7.3704357049600048E-9</v>
      </c>
      <c r="L16" s="47">
        <f t="shared" si="8"/>
        <v>0</v>
      </c>
      <c r="M16" s="47">
        <f t="shared" si="4"/>
        <v>152584667.287213</v>
      </c>
      <c r="N16" s="29">
        <f t="shared" si="9"/>
        <v>2.7605782996333239E-3</v>
      </c>
      <c r="O16" s="31">
        <f t="shared" si="10"/>
        <v>8.1835108950401558</v>
      </c>
      <c r="P16" s="29">
        <f t="shared" si="11"/>
        <v>2.7605782996333239E-3</v>
      </c>
      <c r="Q16" s="66">
        <f t="shared" si="12"/>
        <v>18.843230195273822</v>
      </c>
      <c r="R16" s="29">
        <f t="shared" si="13"/>
        <v>2.7605782996333239E-3</v>
      </c>
      <c r="S16" s="18"/>
      <c r="T16" s="70"/>
      <c r="U16" s="70"/>
      <c r="V16" s="70"/>
      <c r="W16" s="18"/>
      <c r="X16" s="18"/>
      <c r="Y16" s="18"/>
      <c r="Z16" s="18"/>
      <c r="AA16" s="18"/>
      <c r="AB16" s="18"/>
      <c r="AC16" s="18"/>
      <c r="AD16" s="18"/>
    </row>
    <row r="17" spans="1:30" x14ac:dyDescent="0.2">
      <c r="A17">
        <v>7</v>
      </c>
      <c r="B17" s="10" t="s">
        <v>36</v>
      </c>
      <c r="C17" s="11">
        <v>26000</v>
      </c>
      <c r="D17" s="41">
        <f t="shared" si="5"/>
        <v>1.226241569589209</v>
      </c>
      <c r="E17" s="36">
        <f t="shared" si="6"/>
        <v>1.1088103452817205E-5</v>
      </c>
      <c r="F17" s="37">
        <v>30015</v>
      </c>
      <c r="G17" s="10"/>
      <c r="H17" s="29">
        <f t="shared" si="2"/>
        <v>3.0015000000000001E-8</v>
      </c>
      <c r="I17" s="42">
        <v>32</v>
      </c>
      <c r="J17" s="17">
        <f t="shared" si="7"/>
        <v>1.5092203933405651E-3</v>
      </c>
      <c r="K17" s="47">
        <f t="shared" si="3"/>
        <v>2.9851630353056036E-12</v>
      </c>
      <c r="L17" s="47">
        <f t="shared" si="8"/>
        <v>0</v>
      </c>
      <c r="M17" s="47">
        <f t="shared" si="4"/>
        <v>511060775.84710342</v>
      </c>
      <c r="N17" s="29">
        <f t="shared" si="9"/>
        <v>9.6560444549645695E-5</v>
      </c>
      <c r="O17" s="31">
        <f t="shared" si="10"/>
        <v>8.7084725499302724</v>
      </c>
      <c r="P17" s="29">
        <f t="shared" si="11"/>
        <v>9.6560444549645695E-5</v>
      </c>
      <c r="Q17" s="66">
        <f t="shared" si="12"/>
        <v>20.051999076217292</v>
      </c>
      <c r="R17" s="29">
        <f t="shared" si="13"/>
        <v>9.6560444549645695E-5</v>
      </c>
      <c r="S17" s="18"/>
      <c r="T17" s="70"/>
      <c r="U17" s="70"/>
      <c r="V17" s="70"/>
      <c r="W17" s="71"/>
      <c r="X17" s="18"/>
      <c r="Y17" s="18"/>
      <c r="Z17" s="18"/>
      <c r="AA17" s="18"/>
      <c r="AB17" s="18"/>
      <c r="AC17" s="18"/>
      <c r="AD17" s="18"/>
    </row>
    <row r="18" spans="1:30" x14ac:dyDescent="0.2">
      <c r="A18">
        <v>8</v>
      </c>
      <c r="B18" s="7" t="s">
        <v>37</v>
      </c>
      <c r="C18" s="6">
        <v>206866000</v>
      </c>
      <c r="D18" s="102">
        <f t="shared" si="5"/>
        <v>9756.4495590246661</v>
      </c>
      <c r="E18" s="36">
        <f t="shared" si="6"/>
        <v>8.8221215725787838E-2</v>
      </c>
      <c r="F18" s="37">
        <v>3937</v>
      </c>
      <c r="G18" s="10"/>
      <c r="H18" s="29">
        <f t="shared" si="2"/>
        <v>3.9369999999999999E-9</v>
      </c>
      <c r="I18" s="45">
        <v>49060</v>
      </c>
      <c r="J18" s="17">
        <f t="shared" si="7"/>
        <v>2.3138235155402538</v>
      </c>
      <c r="K18" s="47">
        <f t="shared" si="3"/>
        <v>3.6413413234137757E-5</v>
      </c>
      <c r="L18" s="47">
        <f t="shared" si="8"/>
        <v>0</v>
      </c>
      <c r="M18" s="47">
        <f t="shared" si="4"/>
        <v>3896238045.9869976</v>
      </c>
      <c r="N18" s="29">
        <f t="shared" si="9"/>
        <v>0.84609840409046888</v>
      </c>
      <c r="O18" s="31">
        <f t="shared" si="10"/>
        <v>9.5906454828319365</v>
      </c>
      <c r="P18" s="29">
        <f t="shared" si="11"/>
        <v>0.84609840409046888</v>
      </c>
      <c r="Q18" s="66">
        <f t="shared" si="12"/>
        <v>22.083277320959496</v>
      </c>
      <c r="R18" s="29">
        <f t="shared" si="13"/>
        <v>0.84609840409046888</v>
      </c>
      <c r="S18" s="18"/>
      <c r="T18" s="70"/>
      <c r="U18" s="70"/>
      <c r="V18" s="70"/>
      <c r="W18" s="18"/>
      <c r="X18" s="18"/>
      <c r="Y18" s="18"/>
      <c r="Z18" s="18"/>
      <c r="AA18" s="18"/>
      <c r="AB18" s="18"/>
      <c r="AC18" s="18"/>
      <c r="AD18" s="18"/>
    </row>
    <row r="19" spans="1:30" x14ac:dyDescent="0.2">
      <c r="A19">
        <v>9</v>
      </c>
      <c r="B19" s="10" t="s">
        <v>38</v>
      </c>
      <c r="C19" s="10">
        <v>4000</v>
      </c>
      <c r="D19" s="41">
        <f t="shared" si="5"/>
        <v>0.18865254916757063</v>
      </c>
      <c r="E19" s="36">
        <f t="shared" si="6"/>
        <v>1.7058620696641854E-6</v>
      </c>
      <c r="F19" s="37">
        <v>780</v>
      </c>
      <c r="G19" s="10"/>
      <c r="H19" s="29">
        <f t="shared" si="2"/>
        <v>7.7999999999999999E-10</v>
      </c>
      <c r="I19" s="42">
        <v>0.26</v>
      </c>
      <c r="J19" s="17">
        <f t="shared" si="7"/>
        <v>1.226241569589209E-5</v>
      </c>
      <c r="K19" s="47">
        <f t="shared" si="3"/>
        <v>3.7314537941320049E-15</v>
      </c>
      <c r="L19" s="47">
        <f t="shared" si="8"/>
        <v>0</v>
      </c>
      <c r="M19" s="47">
        <f t="shared" si="4"/>
        <v>19666011778.270267</v>
      </c>
      <c r="N19" s="29">
        <f t="shared" si="9"/>
        <v>1.7559660183408113E-5</v>
      </c>
      <c r="O19" s="31">
        <f t="shared" si="10"/>
        <v>10.293716294931684</v>
      </c>
      <c r="P19" s="29">
        <f t="shared" si="11"/>
        <v>1.7559660183408113E-5</v>
      </c>
      <c r="Q19" s="66">
        <f t="shared" si="12"/>
        <v>23.702157692219597</v>
      </c>
      <c r="R19" s="29">
        <f t="shared" si="13"/>
        <v>1.7559660183408113E-5</v>
      </c>
      <c r="S19" s="18"/>
      <c r="T19" s="70"/>
      <c r="U19" s="70"/>
      <c r="V19" s="70"/>
      <c r="W19" s="18"/>
      <c r="X19" s="18"/>
      <c r="Y19" s="18"/>
      <c r="Z19" s="18"/>
      <c r="AA19" s="18"/>
      <c r="AB19" s="18"/>
      <c r="AC19" s="18"/>
      <c r="AD19" s="18"/>
    </row>
    <row r="20" spans="1:30" x14ac:dyDescent="0.2">
      <c r="A20">
        <v>10</v>
      </c>
      <c r="B20" s="10" t="s">
        <v>39</v>
      </c>
      <c r="C20" s="11">
        <v>217000</v>
      </c>
      <c r="D20" s="41">
        <f t="shared" si="5"/>
        <v>10.234400792340706</v>
      </c>
      <c r="E20" s="36">
        <f t="shared" si="6"/>
        <v>9.2543017279282048E-5</v>
      </c>
      <c r="F20" s="37">
        <v>35605</v>
      </c>
      <c r="G20" s="10"/>
      <c r="H20" s="29">
        <f t="shared" si="2"/>
        <v>3.5605E-8</v>
      </c>
      <c r="I20" s="42">
        <v>307</v>
      </c>
      <c r="J20" s="17">
        <f t="shared" si="7"/>
        <v>1.4479083148611046E-2</v>
      </c>
      <c r="K20" s="47">
        <f t="shared" si="3"/>
        <v>2.3902473106853847E-10</v>
      </c>
      <c r="L20" s="47">
        <f t="shared" si="8"/>
        <v>0</v>
      </c>
      <c r="M20" s="47">
        <f t="shared" si="4"/>
        <v>430824018.73475099</v>
      </c>
      <c r="N20" s="29">
        <f t="shared" si="9"/>
        <v>7.9904416553578869E-4</v>
      </c>
      <c r="O20" s="31">
        <f t="shared" si="10"/>
        <v>8.6342999075163469</v>
      </c>
      <c r="P20" s="29">
        <f t="shared" si="11"/>
        <v>7.9904416553578869E-4</v>
      </c>
      <c r="Q20" s="66">
        <f t="shared" si="12"/>
        <v>19.881210255487009</v>
      </c>
      <c r="R20" s="29">
        <f t="shared" si="13"/>
        <v>7.9904416553578869E-4</v>
      </c>
      <c r="S20" s="18"/>
      <c r="T20" s="70"/>
      <c r="U20" s="70"/>
      <c r="V20" s="70"/>
      <c r="W20" s="18"/>
      <c r="X20" s="18"/>
      <c r="Y20" s="18"/>
      <c r="Z20" s="18"/>
      <c r="AA20" s="18"/>
      <c r="AB20" s="18"/>
      <c r="AC20" s="18"/>
      <c r="AD20" s="18"/>
    </row>
    <row r="21" spans="1:30" x14ac:dyDescent="0.2">
      <c r="A21">
        <v>11</v>
      </c>
      <c r="B21" s="8" t="s">
        <v>40</v>
      </c>
      <c r="C21" s="9">
        <v>60994000</v>
      </c>
      <c r="D21" s="102">
        <f t="shared" si="5"/>
        <v>2876.6683959817005</v>
      </c>
      <c r="E21" s="36">
        <f t="shared" si="6"/>
        <v>2.6011837769274328E-2</v>
      </c>
      <c r="F21" s="37">
        <v>994625</v>
      </c>
      <c r="G21" s="10"/>
      <c r="H21" s="29">
        <f t="shared" si="2"/>
        <v>9.9462500000000003E-7</v>
      </c>
      <c r="I21" s="46">
        <v>1284639</v>
      </c>
      <c r="J21" s="17">
        <f t="shared" si="7"/>
        <v>60.587605527519692</v>
      </c>
      <c r="K21" s="47">
        <f t="shared" si="3"/>
        <v>2.8113372488712763E-4</v>
      </c>
      <c r="L21" s="47">
        <f t="shared" si="8"/>
        <v>0</v>
      </c>
      <c r="M21" s="47">
        <f t="shared" si="4"/>
        <v>15422384.503758511</v>
      </c>
      <c r="N21" s="29">
        <f t="shared" si="9"/>
        <v>0.18697703136965899</v>
      </c>
      <c r="O21" s="31">
        <f t="shared" si="10"/>
        <v>7.1881515265530291</v>
      </c>
      <c r="P21" s="29">
        <f t="shared" si="11"/>
        <v>0.18697703136965899</v>
      </c>
      <c r="Q21" s="66">
        <f t="shared" si="12"/>
        <v>16.551330551223398</v>
      </c>
      <c r="R21" s="29">
        <f t="shared" si="13"/>
        <v>0.18697703136965899</v>
      </c>
      <c r="S21" s="18"/>
      <c r="T21" s="70"/>
      <c r="U21" s="70"/>
      <c r="V21" s="70"/>
      <c r="W21" s="18"/>
      <c r="X21" s="18"/>
      <c r="Y21" s="18"/>
      <c r="Z21" s="18"/>
      <c r="AA21" s="18"/>
      <c r="AB21" s="18"/>
      <c r="AC21" s="18"/>
      <c r="AD21" s="18"/>
    </row>
    <row r="22" spans="1:30" x14ac:dyDescent="0.2">
      <c r="A22">
        <v>12</v>
      </c>
      <c r="B22" s="10" t="s">
        <v>41</v>
      </c>
      <c r="C22" s="10">
        <v>4000</v>
      </c>
      <c r="D22" s="41">
        <f t="shared" si="5"/>
        <v>0.18865254916757063</v>
      </c>
      <c r="E22" s="36">
        <f t="shared" si="6"/>
        <v>1.7058620696641854E-6</v>
      </c>
      <c r="F22" s="37">
        <v>158</v>
      </c>
      <c r="G22" s="10"/>
      <c r="H22" s="29">
        <f t="shared" si="2"/>
        <v>1.58E-10</v>
      </c>
      <c r="I22" s="42">
        <v>7.0000000000000007E-2</v>
      </c>
      <c r="J22" s="17">
        <f t="shared" si="7"/>
        <v>3.3014196104324862E-6</v>
      </c>
      <c r="K22" s="47">
        <f t="shared" si="3"/>
        <v>1.0046221753432321E-15</v>
      </c>
      <c r="L22" s="47">
        <f t="shared" si="8"/>
        <v>1</v>
      </c>
      <c r="M22" s="47">
        <f t="shared" si="4"/>
        <v>97085374601.587402</v>
      </c>
      <c r="N22" s="29">
        <f t="shared" si="9"/>
        <v>1.8742568939184414E-5</v>
      </c>
      <c r="O22" s="31">
        <f t="shared" si="10"/>
        <v>10.987153810667742</v>
      </c>
      <c r="P22" s="29">
        <f t="shared" si="11"/>
        <v>1.8742568939184414E-5</v>
      </c>
      <c r="Q22" s="66">
        <f t="shared" si="12"/>
        <v>25.298856578876268</v>
      </c>
      <c r="R22" s="29">
        <f t="shared" si="13"/>
        <v>1.8742568939184414E-5</v>
      </c>
      <c r="S22" s="18"/>
      <c r="T22" s="70"/>
      <c r="U22" s="70"/>
      <c r="V22" s="70"/>
      <c r="W22" s="18"/>
      <c r="X22" s="18"/>
      <c r="Y22" s="18"/>
      <c r="Z22" s="18"/>
      <c r="AA22" s="18"/>
      <c r="AB22" s="18"/>
      <c r="AC22" s="18"/>
      <c r="AD22" s="18"/>
    </row>
    <row r="23" spans="1:30" x14ac:dyDescent="0.2">
      <c r="A23">
        <v>13</v>
      </c>
      <c r="B23" s="7" t="s">
        <v>42</v>
      </c>
      <c r="C23" s="6">
        <v>32551000</v>
      </c>
      <c r="D23" s="102">
        <f t="shared" si="5"/>
        <v>1535.2072819883979</v>
      </c>
      <c r="E23" s="36">
        <f t="shared" si="6"/>
        <v>1.3881879057409724E-2</v>
      </c>
      <c r="F23" s="37">
        <v>50265</v>
      </c>
      <c r="G23" s="10"/>
      <c r="H23" s="29">
        <f t="shared" si="2"/>
        <v>5.0265E-8</v>
      </c>
      <c r="I23" s="45">
        <v>60910</v>
      </c>
      <c r="J23" s="17">
        <f t="shared" si="7"/>
        <v>2.8727066924491815</v>
      </c>
      <c r="K23" s="47">
        <f t="shared" si="3"/>
        <v>7.1137346825956645E-6</v>
      </c>
      <c r="L23" s="47">
        <f t="shared" si="8"/>
        <v>0</v>
      </c>
      <c r="M23" s="47">
        <f t="shared" si="4"/>
        <v>305172370.17906713</v>
      </c>
      <c r="N23" s="29">
        <f t="shared" si="9"/>
        <v>0.11778143047249559</v>
      </c>
      <c r="O23" s="31">
        <f t="shared" si="10"/>
        <v>8.4845452107312127</v>
      </c>
      <c r="P23" s="29">
        <f t="shared" si="11"/>
        <v>0.11778143047249559</v>
      </c>
      <c r="Q23" s="66">
        <f t="shared" si="12"/>
        <v>19.536387323063714</v>
      </c>
      <c r="R23" s="29">
        <f t="shared" si="13"/>
        <v>0.11778143047249559</v>
      </c>
      <c r="S23" s="18"/>
      <c r="T23" s="70"/>
      <c r="U23" s="70"/>
      <c r="V23" s="70"/>
      <c r="W23" s="18"/>
      <c r="X23" s="18"/>
      <c r="Y23" s="18"/>
      <c r="Z23" s="18"/>
      <c r="AA23" s="18"/>
      <c r="AB23" s="18"/>
      <c r="AC23" s="18"/>
      <c r="AD23" s="18"/>
    </row>
    <row r="24" spans="1:30" x14ac:dyDescent="0.2">
      <c r="A24">
        <v>14</v>
      </c>
      <c r="B24" s="7" t="s">
        <v>43</v>
      </c>
      <c r="C24" s="6">
        <v>89090000</v>
      </c>
      <c r="D24" s="102">
        <f t="shared" si="5"/>
        <v>4201.763901334717</v>
      </c>
      <c r="E24" s="36">
        <f t="shared" si="6"/>
        <v>3.7993812946595568E-2</v>
      </c>
      <c r="F24" s="37">
        <v>60495</v>
      </c>
      <c r="G24" s="10"/>
      <c r="H24" s="29">
        <f t="shared" si="2"/>
        <v>6.0495E-8</v>
      </c>
      <c r="I24" s="45">
        <v>193730</v>
      </c>
      <c r="J24" s="17">
        <f t="shared" si="7"/>
        <v>9.1369145875583637</v>
      </c>
      <c r="K24" s="47">
        <f t="shared" si="3"/>
        <v>6.1925648926662068E-5</v>
      </c>
      <c r="L24" s="47">
        <f t="shared" si="8"/>
        <v>0</v>
      </c>
      <c r="M24" s="47">
        <f t="shared" si="4"/>
        <v>253566231.70593947</v>
      </c>
      <c r="N24" s="29">
        <f t="shared" si="9"/>
        <v>0.3193034772668269</v>
      </c>
      <c r="O24" s="31">
        <f t="shared" si="10"/>
        <v>8.4040914165588649</v>
      </c>
      <c r="P24" s="29">
        <f t="shared" si="11"/>
        <v>0.3193034772668269</v>
      </c>
      <c r="Q24" s="66">
        <f t="shared" si="12"/>
        <v>19.351135615927657</v>
      </c>
      <c r="R24" s="29">
        <f t="shared" si="13"/>
        <v>0.3193034772668269</v>
      </c>
      <c r="S24" s="18"/>
      <c r="T24" s="70"/>
      <c r="U24" s="70"/>
      <c r="V24" s="70"/>
      <c r="W24" s="18"/>
      <c r="X24" s="18"/>
      <c r="Y24" s="18"/>
      <c r="Z24" s="18"/>
      <c r="AA24" s="18"/>
      <c r="AB24" s="18"/>
      <c r="AC24" s="18"/>
      <c r="AD24" s="18"/>
    </row>
    <row r="25" spans="1:30" x14ac:dyDescent="0.2">
      <c r="A25">
        <v>15</v>
      </c>
      <c r="B25" s="10" t="s">
        <v>44</v>
      </c>
      <c r="C25" s="11">
        <v>16313000</v>
      </c>
      <c r="D25" s="41">
        <f t="shared" si="5"/>
        <v>769.37225864264497</v>
      </c>
      <c r="E25" s="36">
        <f t="shared" si="6"/>
        <v>6.9569319856079646E-3</v>
      </c>
      <c r="F25" s="37">
        <v>9802</v>
      </c>
      <c r="G25" s="10"/>
      <c r="H25" s="29">
        <f t="shared" si="2"/>
        <v>9.801999999999999E-9</v>
      </c>
      <c r="I25" s="42">
        <v>8107</v>
      </c>
      <c r="J25" s="17">
        <f t="shared" si="7"/>
        <v>0.38235155402537374</v>
      </c>
      <c r="K25" s="47">
        <f t="shared" si="3"/>
        <v>4.7450275477305421E-7</v>
      </c>
      <c r="L25" s="47">
        <f t="shared" si="8"/>
        <v>0</v>
      </c>
      <c r="M25" s="47">
        <f t="shared" si="4"/>
        <v>1564934624.2655387</v>
      </c>
      <c r="N25" s="29">
        <f t="shared" si="9"/>
        <v>6.3965484701473646E-2</v>
      </c>
      <c r="O25" s="31">
        <f t="shared" si="10"/>
        <v>9.1944961994455543</v>
      </c>
      <c r="P25" s="29">
        <f t="shared" si="11"/>
        <v>6.3965484701473646E-2</v>
      </c>
      <c r="Q25" s="66">
        <f t="shared" si="12"/>
        <v>21.17110988643374</v>
      </c>
      <c r="R25" s="29">
        <f t="shared" si="13"/>
        <v>6.3965484701473646E-2</v>
      </c>
      <c r="S25" s="18"/>
      <c r="T25" s="70"/>
      <c r="U25" s="70"/>
      <c r="V25" s="70"/>
      <c r="W25" s="18"/>
      <c r="X25" s="18"/>
      <c r="Y25" s="18"/>
      <c r="Z25" s="18"/>
      <c r="AA25" s="18"/>
      <c r="AB25" s="18"/>
      <c r="AC25" s="18"/>
      <c r="AD25" s="18"/>
    </row>
    <row r="26" spans="1:30" x14ac:dyDescent="0.2">
      <c r="A26">
        <v>16</v>
      </c>
      <c r="B26" s="10" t="s">
        <v>45</v>
      </c>
      <c r="C26" s="11">
        <v>1487000</v>
      </c>
      <c r="D26" s="41">
        <f t="shared" si="5"/>
        <v>70.131585153044384</v>
      </c>
      <c r="E26" s="36">
        <f t="shared" si="6"/>
        <v>6.3415422439766088E-4</v>
      </c>
      <c r="F26" s="37">
        <v>190</v>
      </c>
      <c r="G26" s="10"/>
      <c r="H26" s="29">
        <f t="shared" si="2"/>
        <v>1.8999999999999999E-10</v>
      </c>
      <c r="I26" s="42">
        <v>30</v>
      </c>
      <c r="J26" s="17">
        <f t="shared" si="7"/>
        <v>1.4148941187567797E-3</v>
      </c>
      <c r="K26" s="47">
        <f t="shared" si="3"/>
        <v>1.6005784015021991E-10</v>
      </c>
      <c r="L26" s="47">
        <f t="shared" si="8"/>
        <v>0</v>
      </c>
      <c r="M26" s="47">
        <f t="shared" si="4"/>
        <v>80734153616.0569</v>
      </c>
      <c r="N26" s="29">
        <f t="shared" si="9"/>
        <v>6.916756460430191E-3</v>
      </c>
      <c r="O26" s="31">
        <f t="shared" si="10"/>
        <v>10.907057296669336</v>
      </c>
      <c r="P26" s="29">
        <f t="shared" si="11"/>
        <v>6.916756460430191E-3</v>
      </c>
      <c r="Q26" s="66">
        <f t="shared" si="12"/>
        <v>25.114427539742749</v>
      </c>
      <c r="R26" s="29">
        <f t="shared" si="13"/>
        <v>6.916756460430191E-3</v>
      </c>
      <c r="S26" s="18"/>
      <c r="T26" s="17"/>
      <c r="W26" s="18"/>
      <c r="X26" s="18"/>
      <c r="Y26" s="18"/>
      <c r="Z26" s="18"/>
      <c r="AA26" s="18"/>
      <c r="AB26" s="18"/>
      <c r="AC26" s="18"/>
      <c r="AD26" s="18"/>
    </row>
    <row r="27" spans="1:30" x14ac:dyDescent="0.2">
      <c r="A27">
        <v>17</v>
      </c>
      <c r="B27" s="10" t="s">
        <v>46</v>
      </c>
      <c r="C27" s="10">
        <v>3000</v>
      </c>
      <c r="D27" s="41">
        <f t="shared" si="5"/>
        <v>0.14148941187567798</v>
      </c>
      <c r="E27" s="36">
        <f t="shared" si="6"/>
        <v>1.2793965522481391E-6</v>
      </c>
      <c r="F27" s="37">
        <v>9772</v>
      </c>
      <c r="G27" s="10"/>
      <c r="H27" s="29">
        <f t="shared" si="2"/>
        <v>9.7719999999999998E-9</v>
      </c>
      <c r="I27" s="42">
        <v>1</v>
      </c>
      <c r="J27" s="17">
        <f t="shared" si="7"/>
        <v>4.716313729189266E-5</v>
      </c>
      <c r="K27" s="47">
        <f t="shared" si="3"/>
        <v>1.076380902153463E-14</v>
      </c>
      <c r="L27" s="47">
        <f t="shared" si="8"/>
        <v>0</v>
      </c>
      <c r="M27" s="47">
        <f t="shared" si="4"/>
        <v>1569738967.1562433</v>
      </c>
      <c r="N27" s="29">
        <f t="shared" si="9"/>
        <v>1.1765109920935821E-5</v>
      </c>
      <c r="O27" s="31">
        <f t="shared" si="10"/>
        <v>9.195827439320766</v>
      </c>
      <c r="P27" s="29">
        <f t="shared" si="11"/>
        <v>1.1765109920935821E-5</v>
      </c>
      <c r="Q27" s="66">
        <f t="shared" si="12"/>
        <v>21.174175179525605</v>
      </c>
      <c r="R27" s="29">
        <f t="shared" si="13"/>
        <v>1.1765109920935821E-5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">
      <c r="A28">
        <v>18</v>
      </c>
      <c r="B28" s="10" t="s">
        <v>47</v>
      </c>
      <c r="C28" s="11">
        <v>1831000</v>
      </c>
      <c r="D28" s="41">
        <f t="shared" si="5"/>
        <v>86.355704381455453</v>
      </c>
      <c r="E28" s="36">
        <f t="shared" si="6"/>
        <v>7.8085836238878082E-4</v>
      </c>
      <c r="F28" s="37">
        <v>144013</v>
      </c>
      <c r="G28" s="10"/>
      <c r="H28" s="29">
        <f t="shared" si="2"/>
        <v>1.4401300000000001E-7</v>
      </c>
      <c r="I28" s="42">
        <v>8045</v>
      </c>
      <c r="J28" s="17">
        <f t="shared" si="7"/>
        <v>0.3794274395132764</v>
      </c>
      <c r="K28" s="47">
        <f t="shared" si="3"/>
        <v>5.285171953058952E-8</v>
      </c>
      <c r="L28" s="47">
        <f t="shared" si="8"/>
        <v>0</v>
      </c>
      <c r="M28" s="47">
        <f t="shared" si="4"/>
        <v>106514614.56292702</v>
      </c>
      <c r="N28" s="29">
        <f t="shared" si="9"/>
        <v>6.2682696022583282E-3</v>
      </c>
      <c r="O28" s="31">
        <f t="shared" si="10"/>
        <v>8.0274092001558479</v>
      </c>
      <c r="P28" s="29">
        <f t="shared" si="11"/>
        <v>6.2682696022583282E-3</v>
      </c>
      <c r="Q28" s="66">
        <f t="shared" si="12"/>
        <v>18.483792759642114</v>
      </c>
      <c r="R28" s="29">
        <f t="shared" si="13"/>
        <v>6.2682696022583282E-3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">
      <c r="A29">
        <v>19</v>
      </c>
      <c r="B29" s="7" t="s">
        <v>48</v>
      </c>
      <c r="C29" s="6">
        <v>10822000</v>
      </c>
      <c r="D29" s="102">
        <f t="shared" si="5"/>
        <v>510.39947177286234</v>
      </c>
      <c r="E29" s="36">
        <f t="shared" si="6"/>
        <v>4.6152098294764531E-3</v>
      </c>
      <c r="F29" s="37">
        <v>63513</v>
      </c>
      <c r="G29" s="10"/>
      <c r="H29" s="29">
        <f t="shared" si="2"/>
        <v>6.3512999999999994E-8</v>
      </c>
      <c r="I29" s="45">
        <v>24481</v>
      </c>
      <c r="J29" s="17">
        <f t="shared" si="7"/>
        <v>1.1546007640428242</v>
      </c>
      <c r="K29" s="47">
        <f t="shared" si="3"/>
        <v>9.5056410909242663E-7</v>
      </c>
      <c r="L29" s="47">
        <f t="shared" si="8"/>
        <v>0</v>
      </c>
      <c r="M29" s="47">
        <f t="shared" si="4"/>
        <v>241517314.3616395</v>
      </c>
      <c r="N29" s="29">
        <f t="shared" si="9"/>
        <v>3.8689065259152063E-2</v>
      </c>
      <c r="O29" s="31">
        <f t="shared" si="10"/>
        <v>8.382948270748706</v>
      </c>
      <c r="P29" s="29">
        <f t="shared" si="11"/>
        <v>3.8689065259152063E-2</v>
      </c>
      <c r="Q29" s="66">
        <f t="shared" si="12"/>
        <v>19.302451723566186</v>
      </c>
      <c r="R29" s="29">
        <f t="shared" si="13"/>
        <v>3.8689065259152063E-2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">
      <c r="A30">
        <v>20</v>
      </c>
      <c r="B30" s="10" t="s">
        <v>49</v>
      </c>
      <c r="C30" s="11">
        <v>15000</v>
      </c>
      <c r="D30" s="41">
        <f t="shared" si="5"/>
        <v>0.70744705937838981</v>
      </c>
      <c r="E30" s="36">
        <f t="shared" si="6"/>
        <v>6.3969827612406949E-6</v>
      </c>
      <c r="F30" s="37">
        <v>21205.75</v>
      </c>
      <c r="G30" s="10"/>
      <c r="H30" s="29">
        <f t="shared" si="2"/>
        <v>2.1205750000000001E-8</v>
      </c>
      <c r="I30" s="42">
        <v>14</v>
      </c>
      <c r="J30" s="17">
        <f t="shared" si="7"/>
        <v>6.6028392208649722E-4</v>
      </c>
      <c r="K30" s="47">
        <f t="shared" si="3"/>
        <v>7.5346663150742401E-13</v>
      </c>
      <c r="L30" s="47">
        <f t="shared" si="8"/>
        <v>0</v>
      </c>
      <c r="M30" s="47">
        <f t="shared" si="4"/>
        <v>723364615.11857903</v>
      </c>
      <c r="N30" s="29">
        <f t="shared" si="9"/>
        <v>5.6673155671278356E-5</v>
      </c>
      <c r="O30" s="31">
        <f t="shared" si="10"/>
        <v>8.8593572605292739</v>
      </c>
      <c r="P30" s="29">
        <f t="shared" si="11"/>
        <v>5.6673155671278356E-5</v>
      </c>
      <c r="Q30" s="66">
        <f t="shared" si="12"/>
        <v>20.399423961603272</v>
      </c>
      <c r="R30" s="29">
        <f t="shared" si="13"/>
        <v>5.6673155671278356E-5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2">
      <c r="A31">
        <v>21</v>
      </c>
      <c r="B31" s="10" t="s">
        <v>50</v>
      </c>
      <c r="C31" s="10">
        <v>7000</v>
      </c>
      <c r="D31" s="41">
        <f t="shared" si="5"/>
        <v>0.33014196104324861</v>
      </c>
      <c r="E31" s="36">
        <f t="shared" si="6"/>
        <v>2.9852586219123245E-6</v>
      </c>
      <c r="F31" s="37">
        <v>176715</v>
      </c>
      <c r="G31" s="10"/>
      <c r="H31" s="30">
        <f t="shared" si="2"/>
        <v>1.76715E-7</v>
      </c>
      <c r="I31" s="42">
        <v>36</v>
      </c>
      <c r="J31" s="17">
        <f t="shared" si="7"/>
        <v>1.6978729425081356E-3</v>
      </c>
      <c r="K31" s="47">
        <f t="shared" si="3"/>
        <v>9.0415995780890883E-13</v>
      </c>
      <c r="L31" s="47">
        <f t="shared" si="8"/>
        <v>0</v>
      </c>
      <c r="M31" s="47">
        <f t="shared" si="4"/>
        <v>86803549.1443896</v>
      </c>
      <c r="N31" s="29">
        <f t="shared" si="9"/>
        <v>2.3698587465235369E-5</v>
      </c>
      <c r="O31" s="31">
        <f t="shared" si="10"/>
        <v>7.938537482576403</v>
      </c>
      <c r="P31" s="29">
        <f t="shared" si="11"/>
        <v>2.3698587465235369E-5</v>
      </c>
      <c r="Q31" s="66">
        <f t="shared" si="12"/>
        <v>18.279158067554906</v>
      </c>
      <c r="R31" s="29">
        <f t="shared" si="13"/>
        <v>2.3698587465235369E-5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2">
      <c r="A32">
        <v>22</v>
      </c>
      <c r="B32" s="10" t="s">
        <v>51</v>
      </c>
      <c r="C32" s="10">
        <v>2000</v>
      </c>
      <c r="D32" s="41">
        <f t="shared" si="5"/>
        <v>9.4326274583785313E-2</v>
      </c>
      <c r="E32" s="36">
        <f t="shared" si="6"/>
        <v>8.5293103483209271E-7</v>
      </c>
      <c r="F32" s="37">
        <v>1608</v>
      </c>
      <c r="G32" s="10"/>
      <c r="H32" s="30">
        <f t="shared" si="2"/>
        <v>1.608E-9</v>
      </c>
      <c r="I32" s="42">
        <v>0.23</v>
      </c>
      <c r="J32" s="17">
        <f t="shared" si="7"/>
        <v>1.0847521577135311E-5</v>
      </c>
      <c r="K32" s="47">
        <f t="shared" si="3"/>
        <v>1.6504507166353097E-15</v>
      </c>
      <c r="L32" s="47">
        <f t="shared" si="8"/>
        <v>0</v>
      </c>
      <c r="M32" s="47">
        <f t="shared" si="4"/>
        <v>9539483325.2803535</v>
      </c>
      <c r="N32" s="29">
        <f t="shared" si="9"/>
        <v>8.5118464601807669E-6</v>
      </c>
      <c r="O32" s="31">
        <f t="shared" si="10"/>
        <v>9.9795248532097336</v>
      </c>
      <c r="P32" s="29">
        <f t="shared" si="11"/>
        <v>8.5118464601807669E-6</v>
      </c>
      <c r="Q32" s="66">
        <f t="shared" si="12"/>
        <v>22.978705162164324</v>
      </c>
      <c r="R32" s="29">
        <f t="shared" si="13"/>
        <v>8.5118464601807669E-6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1" x14ac:dyDescent="0.2">
      <c r="A33">
        <v>23</v>
      </c>
      <c r="B33" s="10" t="s">
        <v>52</v>
      </c>
      <c r="C33" s="11">
        <v>16000</v>
      </c>
      <c r="D33" s="41">
        <f t="shared" si="5"/>
        <v>0.75461019667028251</v>
      </c>
      <c r="E33" s="36">
        <f t="shared" si="6"/>
        <v>6.8234482786567417E-6</v>
      </c>
      <c r="F33" s="37">
        <v>11870</v>
      </c>
      <c r="G33" s="10"/>
      <c r="H33" s="30">
        <f t="shared" si="2"/>
        <v>1.187E-8</v>
      </c>
      <c r="I33" s="42">
        <v>9</v>
      </c>
      <c r="J33" s="17">
        <f t="shared" si="7"/>
        <v>4.2446823562703389E-4</v>
      </c>
      <c r="K33" s="47">
        <f t="shared" si="3"/>
        <v>5.1666283303366218E-13</v>
      </c>
      <c r="L33" s="47">
        <f t="shared" si="8"/>
        <v>0</v>
      </c>
      <c r="M33" s="47">
        <f t="shared" si="4"/>
        <v>1292290580.206471</v>
      </c>
      <c r="N33" s="29">
        <f t="shared" si="9"/>
        <v>6.2170894927350849E-5</v>
      </c>
      <c r="O33" s="31">
        <f t="shared" si="10"/>
        <v>9.1113601786675744</v>
      </c>
      <c r="P33" s="29">
        <f t="shared" si="11"/>
        <v>6.2170894927350849E-5</v>
      </c>
      <c r="Q33" s="66">
        <f t="shared" si="12"/>
        <v>20.979682124299522</v>
      </c>
      <c r="R33" s="29">
        <f t="shared" si="13"/>
        <v>6.2170894927350849E-5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1" x14ac:dyDescent="0.2">
      <c r="A34" s="7">
        <v>24</v>
      </c>
      <c r="B34" s="7" t="s">
        <v>53</v>
      </c>
      <c r="C34" s="6">
        <v>11757000</v>
      </c>
      <c r="D34" s="102">
        <f t="shared" si="5"/>
        <v>554.49700514078199</v>
      </c>
      <c r="E34" s="36">
        <f t="shared" si="6"/>
        <v>5.0139550882604567E-3</v>
      </c>
      <c r="F34" s="37">
        <v>31250</v>
      </c>
      <c r="G34" s="10"/>
      <c r="H34" s="30">
        <f t="shared" si="2"/>
        <v>3.1249999999999999E-8</v>
      </c>
      <c r="I34" s="45">
        <v>14963</v>
      </c>
      <c r="J34" s="17">
        <f t="shared" si="7"/>
        <v>0.70570202329858978</v>
      </c>
      <c r="K34" s="47">
        <f t="shared" si="3"/>
        <v>6.311897287313635E-7</v>
      </c>
      <c r="L34" s="47">
        <f t="shared" si="8"/>
        <v>0</v>
      </c>
      <c r="M34" s="47">
        <f t="shared" si="4"/>
        <v>490863653.98562592</v>
      </c>
      <c r="N34" s="29">
        <f t="shared" si="9"/>
        <v>4.3576087505802302E-2</v>
      </c>
      <c r="O34" s="31">
        <f t="shared" si="10"/>
        <v>8.6909608759420713</v>
      </c>
      <c r="P34" s="29">
        <f t="shared" si="11"/>
        <v>4.3576087505802302E-2</v>
      </c>
      <c r="Q34" s="66">
        <f t="shared" si="12"/>
        <v>20.011676956738686</v>
      </c>
      <c r="R34" s="29">
        <f t="shared" si="13"/>
        <v>4.3576087505802302E-2</v>
      </c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1" x14ac:dyDescent="0.2">
      <c r="A35" s="7">
        <v>25</v>
      </c>
      <c r="B35" s="7" t="s">
        <v>54</v>
      </c>
      <c r="C35" s="6">
        <v>19686000</v>
      </c>
      <c r="D35" s="102">
        <f t="shared" si="5"/>
        <v>928.4535207281989</v>
      </c>
      <c r="E35" s="36">
        <f t="shared" si="6"/>
        <v>8.3954001758522884E-3</v>
      </c>
      <c r="F35" s="37">
        <v>6800</v>
      </c>
      <c r="G35" s="10"/>
      <c r="H35" s="30">
        <f t="shared" si="2"/>
        <v>6.7999999999999997E-9</v>
      </c>
      <c r="I35" s="45">
        <v>7273</v>
      </c>
      <c r="J35" s="17">
        <f t="shared" si="7"/>
        <v>0.34301749752393529</v>
      </c>
      <c r="K35" s="47">
        <f t="shared" si="3"/>
        <v>5.1370737093538336E-7</v>
      </c>
      <c r="L35" s="47">
        <f t="shared" si="8"/>
        <v>0</v>
      </c>
      <c r="M35" s="47">
        <f t="shared" si="4"/>
        <v>2255807233.3898249</v>
      </c>
      <c r="N35" s="29">
        <f t="shared" si="9"/>
        <v>7.8524713128962739E-2</v>
      </c>
      <c r="O35" s="31">
        <f t="shared" si="10"/>
        <v>9.3533019849159285</v>
      </c>
      <c r="P35" s="29">
        <f t="shared" si="11"/>
        <v>7.8524713128962739E-2</v>
      </c>
      <c r="Q35" s="66">
        <f t="shared" si="12"/>
        <v>21.536773720739035</v>
      </c>
      <c r="R35" s="29">
        <f t="shared" si="13"/>
        <v>7.8524713128962739E-2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1" x14ac:dyDescent="0.2">
      <c r="A36" s="7">
        <v>26</v>
      </c>
      <c r="B36" s="7" t="s">
        <v>55</v>
      </c>
      <c r="C36" s="6">
        <v>5025000</v>
      </c>
      <c r="D36" s="102">
        <f t="shared" si="5"/>
        <v>236.99476489176061</v>
      </c>
      <c r="E36" s="36">
        <f t="shared" si="6"/>
        <v>2.142989225015633E-3</v>
      </c>
      <c r="F36" s="37">
        <v>3013</v>
      </c>
      <c r="G36" s="10"/>
      <c r="H36" s="30">
        <f t="shared" si="2"/>
        <v>3.0129999999999998E-9</v>
      </c>
      <c r="I36" s="42">
        <v>959</v>
      </c>
      <c r="J36" s="17">
        <f t="shared" si="7"/>
        <v>4.5229448662925061E-2</v>
      </c>
      <c r="K36" s="47">
        <f t="shared" si="3"/>
        <v>1.7290175526516614E-8</v>
      </c>
      <c r="L36" s="47">
        <f t="shared" si="8"/>
        <v>0</v>
      </c>
      <c r="M36" s="47">
        <f t="shared" si="4"/>
        <v>5091101621.9883204</v>
      </c>
      <c r="N36" s="29">
        <f t="shared" si="9"/>
        <v>2.0801593023683264E-2</v>
      </c>
      <c r="O36" s="31">
        <f t="shared" si="10"/>
        <v>9.7068117659488085</v>
      </c>
      <c r="P36" s="29">
        <f t="shared" si="11"/>
        <v>2.0801593023683264E-2</v>
      </c>
      <c r="Q36" s="66">
        <f t="shared" si="12"/>
        <v>22.350760072772932</v>
      </c>
      <c r="R36" s="29">
        <f t="shared" si="13"/>
        <v>2.0801593023683264E-2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1" x14ac:dyDescent="0.2">
      <c r="A37">
        <v>27</v>
      </c>
      <c r="B37" s="10" t="s">
        <v>56</v>
      </c>
      <c r="C37" s="11">
        <v>1513000</v>
      </c>
      <c r="D37" s="41">
        <f t="shared" si="5"/>
        <v>71.35782672263359</v>
      </c>
      <c r="E37" s="36">
        <f t="shared" si="6"/>
        <v>6.4524232785047808E-4</v>
      </c>
      <c r="F37" s="37">
        <v>13081</v>
      </c>
      <c r="G37" s="10"/>
      <c r="H37" s="30">
        <f t="shared" si="2"/>
        <v>1.3081E-8</v>
      </c>
      <c r="I37" s="42">
        <v>950</v>
      </c>
      <c r="J37" s="17">
        <f t="shared" si="7"/>
        <v>4.4804980427298025E-2</v>
      </c>
      <c r="K37" s="47">
        <f t="shared" si="3"/>
        <v>5.1571202990342656E-9</v>
      </c>
      <c r="L37" s="47">
        <f t="shared" si="8"/>
        <v>0</v>
      </c>
      <c r="M37" s="47">
        <f t="shared" si="4"/>
        <v>1172654169.1805527</v>
      </c>
      <c r="N37" s="29">
        <f t="shared" si="9"/>
        <v>5.8518123314749478E-3</v>
      </c>
      <c r="O37" s="31">
        <f t="shared" si="10"/>
        <v>9.0691699519610367</v>
      </c>
      <c r="P37" s="29">
        <f t="shared" si="11"/>
        <v>5.8518123314749478E-3</v>
      </c>
      <c r="Q37" s="66">
        <f t="shared" si="12"/>
        <v>20.882535537215006</v>
      </c>
      <c r="R37" s="29">
        <f t="shared" si="13"/>
        <v>5.8518123314749478E-3</v>
      </c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1" x14ac:dyDescent="0.2">
      <c r="A38">
        <v>28</v>
      </c>
      <c r="B38" s="10" t="s">
        <v>57</v>
      </c>
      <c r="C38" s="11">
        <v>4557000</v>
      </c>
      <c r="D38" s="41">
        <f t="shared" si="5"/>
        <v>214.92241663915485</v>
      </c>
      <c r="E38" s="36">
        <f t="shared" si="6"/>
        <v>1.9434033628649232E-3</v>
      </c>
      <c r="F38" s="37">
        <v>75398</v>
      </c>
      <c r="G38" s="10"/>
      <c r="H38" s="30">
        <f t="shared" si="2"/>
        <v>7.5397999999999998E-8</v>
      </c>
      <c r="I38" s="45">
        <v>11847</v>
      </c>
      <c r="J38" s="17">
        <f t="shared" si="7"/>
        <v>0.55874168749705233</v>
      </c>
      <c r="K38" s="47">
        <f t="shared" si="3"/>
        <v>1.9370112628126545E-7</v>
      </c>
      <c r="L38" s="47">
        <f t="shared" si="8"/>
        <v>0</v>
      </c>
      <c r="M38" s="47">
        <f t="shared" si="4"/>
        <v>203446897.62395301</v>
      </c>
      <c r="N38" s="29">
        <f t="shared" si="9"/>
        <v>1.6146671752848545E-2</v>
      </c>
      <c r="O38" s="31">
        <f t="shared" si="10"/>
        <v>8.3084510716527067</v>
      </c>
      <c r="P38" s="29">
        <f t="shared" si="11"/>
        <v>1.6146671752848545E-2</v>
      </c>
      <c r="Q38" s="66">
        <f t="shared" si="12"/>
        <v>19.130915583457924</v>
      </c>
      <c r="R38" s="29">
        <f t="shared" si="13"/>
        <v>1.6146671752848545E-2</v>
      </c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1" x14ac:dyDescent="0.2">
      <c r="A39">
        <v>29</v>
      </c>
      <c r="B39" s="10" t="s">
        <v>58</v>
      </c>
      <c r="C39" s="11">
        <v>2266000</v>
      </c>
      <c r="D39" s="41">
        <f t="shared" si="5"/>
        <v>106.87166910342876</v>
      </c>
      <c r="E39" s="36">
        <f t="shared" si="6"/>
        <v>9.6637086246476099E-4</v>
      </c>
      <c r="F39" s="37">
        <v>36882</v>
      </c>
      <c r="G39" s="10"/>
      <c r="H39" s="30">
        <f t="shared" si="2"/>
        <v>3.6881999999999999E-8</v>
      </c>
      <c r="I39" s="45">
        <v>3299</v>
      </c>
      <c r="J39" s="17">
        <f t="shared" si="7"/>
        <v>0.15559118992595389</v>
      </c>
      <c r="K39" s="47">
        <f t="shared" si="3"/>
        <v>2.6821740103329615E-8</v>
      </c>
      <c r="L39" s="47">
        <f t="shared" si="8"/>
        <v>0</v>
      </c>
      <c r="M39" s="47">
        <f t="shared" si="4"/>
        <v>415907195.57103217</v>
      </c>
      <c r="N39" s="29">
        <f t="shared" si="9"/>
        <v>8.3291470176189864E-3</v>
      </c>
      <c r="O39" s="31">
        <f t="shared" si="10"/>
        <v>8.6189964341176637</v>
      </c>
      <c r="P39" s="29">
        <f t="shared" si="11"/>
        <v>8.3291470176189864E-3</v>
      </c>
      <c r="Q39" s="66">
        <f t="shared" si="12"/>
        <v>19.845972705768169</v>
      </c>
      <c r="R39" s="29">
        <f t="shared" si="13"/>
        <v>8.3291470176189864E-3</v>
      </c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1" x14ac:dyDescent="0.2">
      <c r="A40">
        <v>30</v>
      </c>
      <c r="B40" s="10" t="s">
        <v>59</v>
      </c>
      <c r="C40" s="10">
        <v>9000</v>
      </c>
      <c r="D40" s="41">
        <f t="shared" si="5"/>
        <v>0.4244682356270339</v>
      </c>
      <c r="E40" s="36">
        <f t="shared" si="6"/>
        <v>3.8381896567444171E-6</v>
      </c>
      <c r="F40" s="37">
        <v>13641</v>
      </c>
      <c r="G40" s="10"/>
      <c r="H40" s="30">
        <f t="shared" si="2"/>
        <v>1.3641E-8</v>
      </c>
      <c r="I40" s="45">
        <v>6</v>
      </c>
      <c r="J40" s="17">
        <f t="shared" si="7"/>
        <v>2.8297882375135595E-4</v>
      </c>
      <c r="K40" s="47">
        <f t="shared" si="3"/>
        <v>1.937485623876233E-13</v>
      </c>
      <c r="L40" s="47">
        <f t="shared" si="8"/>
        <v>0</v>
      </c>
      <c r="M40" s="47">
        <f t="shared" si="4"/>
        <v>1124513539.1137607</v>
      </c>
      <c r="N40" s="29">
        <f t="shared" si="9"/>
        <v>3.4739319051717291E-5</v>
      </c>
      <c r="O40" s="31">
        <f t="shared" si="10"/>
        <v>9.0509646886973947</v>
      </c>
      <c r="P40" s="29">
        <f t="shared" si="11"/>
        <v>3.4739319051717291E-5</v>
      </c>
      <c r="Q40" s="66">
        <f t="shared" si="12"/>
        <v>20.840616369410114</v>
      </c>
      <c r="R40" s="29">
        <f t="shared" si="13"/>
        <v>3.4739319051717291E-5</v>
      </c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1" x14ac:dyDescent="0.2">
      <c r="A41" s="7">
        <v>31</v>
      </c>
      <c r="B41" s="7" t="s">
        <v>60</v>
      </c>
      <c r="C41" s="6">
        <v>33495000</v>
      </c>
      <c r="D41" s="102">
        <f t="shared" si="5"/>
        <v>1579.7292835919445</v>
      </c>
      <c r="E41" s="36">
        <f t="shared" si="6"/>
        <v>1.4284462505850472E-2</v>
      </c>
      <c r="F41" s="37">
        <v>646</v>
      </c>
      <c r="G41" s="10"/>
      <c r="H41" s="30">
        <f t="shared" si="2"/>
        <v>6.4599999999999994E-10</v>
      </c>
      <c r="I41" s="45">
        <v>1834</v>
      </c>
      <c r="J41" s="17">
        <f t="shared" si="7"/>
        <v>8.6497193793331137E-2</v>
      </c>
      <c r="K41" s="47">
        <f t="shared" si="3"/>
        <v>2.204063194484462E-7</v>
      </c>
      <c r="L41" s="47">
        <f t="shared" si="8"/>
        <v>0</v>
      </c>
      <c r="M41" s="47">
        <f t="shared" si="4"/>
        <v>23745339298.840263</v>
      </c>
      <c r="N41" s="29">
        <f t="shared" si="9"/>
        <v>0.14820956034029584</v>
      </c>
      <c r="O41" s="31">
        <f t="shared" si="10"/>
        <v>10.375578379627081</v>
      </c>
      <c r="P41" s="29">
        <f t="shared" si="11"/>
        <v>0.14820956034029584</v>
      </c>
      <c r="Q41" s="66">
        <f t="shared" si="12"/>
        <v>23.890652108120634</v>
      </c>
      <c r="R41" s="29">
        <f t="shared" si="13"/>
        <v>0.14820956034029584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1:31" x14ac:dyDescent="0.2">
      <c r="A42">
        <v>32</v>
      </c>
      <c r="B42" s="10" t="s">
        <v>61</v>
      </c>
      <c r="C42" s="11">
        <v>27000</v>
      </c>
      <c r="D42" s="41">
        <f t="shared" si="5"/>
        <v>1.2734047068811016</v>
      </c>
      <c r="E42" s="36">
        <f t="shared" si="6"/>
        <v>1.151456897023325E-5</v>
      </c>
      <c r="F42" s="37">
        <v>589049</v>
      </c>
      <c r="G42" s="10"/>
      <c r="H42" s="30">
        <f t="shared" si="2"/>
        <v>5.8904899999999997E-7</v>
      </c>
      <c r="I42" s="45">
        <v>372</v>
      </c>
      <c r="J42" s="17">
        <f t="shared" si="7"/>
        <v>1.7544687072584067E-2</v>
      </c>
      <c r="K42" s="47">
        <f t="shared" si="3"/>
        <v>3.6037232604097928E-11</v>
      </c>
      <c r="L42" s="47">
        <f t="shared" si="8"/>
        <v>0</v>
      </c>
      <c r="M42" s="47">
        <f t="shared" si="4"/>
        <v>26041108.95197311</v>
      </c>
      <c r="N42" s="29">
        <f t="shared" si="9"/>
        <v>8.5388122479771079E-5</v>
      </c>
      <c r="O42" s="31">
        <f t="shared" si="10"/>
        <v>7.415659474576179</v>
      </c>
      <c r="P42" s="29">
        <f t="shared" si="11"/>
        <v>8.5388122479771079E-5</v>
      </c>
      <c r="Q42" s="66">
        <f t="shared" si="12"/>
        <v>17.075186960879165</v>
      </c>
      <c r="R42" s="29">
        <f t="shared" si="13"/>
        <v>8.5388122479771079E-5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1" x14ac:dyDescent="0.2">
      <c r="A43">
        <v>33</v>
      </c>
      <c r="B43" s="10" t="s">
        <v>62</v>
      </c>
      <c r="C43" s="11">
        <v>4494000</v>
      </c>
      <c r="D43" s="41">
        <f t="shared" si="5"/>
        <v>211.95113898976561</v>
      </c>
      <c r="E43" s="36">
        <f t="shared" si="6"/>
        <v>1.9165360352677123E-3</v>
      </c>
      <c r="F43" s="37">
        <v>108532</v>
      </c>
      <c r="G43" s="10"/>
      <c r="H43" s="30">
        <f t="shared" si="2"/>
        <v>1.08532E-7</v>
      </c>
      <c r="I43" s="45">
        <v>15699</v>
      </c>
      <c r="J43" s="17">
        <f t="shared" si="7"/>
        <v>0.74041409234542277</v>
      </c>
      <c r="K43" s="47">
        <f t="shared" si="3"/>
        <v>2.5313359466795002E-7</v>
      </c>
      <c r="L43" s="47">
        <f t="shared" si="8"/>
        <v>0</v>
      </c>
      <c r="M43" s="47">
        <f t="shared" si="4"/>
        <v>141336096.14722672</v>
      </c>
      <c r="N43" s="29">
        <f t="shared" si="9"/>
        <v>1.5620253746355253E-2</v>
      </c>
      <c r="O43" s="31">
        <f t="shared" si="10"/>
        <v>8.150253091470482</v>
      </c>
      <c r="P43" s="29">
        <f t="shared" si="11"/>
        <v>1.5620253746355253E-2</v>
      </c>
      <c r="Q43" s="66">
        <f t="shared" si="12"/>
        <v>18.766651272548568</v>
      </c>
      <c r="R43" s="29">
        <f t="shared" si="13"/>
        <v>1.5620253746355253E-2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1:31" x14ac:dyDescent="0.2">
      <c r="A44" s="7">
        <v>34</v>
      </c>
      <c r="B44" s="7" t="s">
        <v>63</v>
      </c>
      <c r="C44" s="6">
        <v>972395000</v>
      </c>
      <c r="D44" s="102">
        <f t="shared" si="5"/>
        <v>45861.198886949962</v>
      </c>
      <c r="E44" s="36">
        <f t="shared" si="6"/>
        <v>0.41469293680777641</v>
      </c>
      <c r="F44" s="37">
        <v>459</v>
      </c>
      <c r="G44" s="10"/>
      <c r="H44" s="30">
        <f t="shared" si="2"/>
        <v>4.5899999999999997E-10</v>
      </c>
      <c r="I44" s="45">
        <v>40361</v>
      </c>
      <c r="J44" s="17">
        <f t="shared" si="7"/>
        <v>1.9035513842380796</v>
      </c>
      <c r="K44" s="47">
        <f t="shared" si="3"/>
        <v>1.4081514409344613E-4</v>
      </c>
      <c r="L44" s="47">
        <f t="shared" si="8"/>
        <v>0</v>
      </c>
      <c r="M44" s="47">
        <f t="shared" si="4"/>
        <v>33419366420.59</v>
      </c>
      <c r="N44" s="29">
        <f t="shared" si="9"/>
        <v>4.3642277255292763</v>
      </c>
      <c r="O44" s="31">
        <f t="shared" si="10"/>
        <v>10.523998212084903</v>
      </c>
      <c r="P44" s="29">
        <f t="shared" si="11"/>
        <v>4.3642277255292763</v>
      </c>
      <c r="Q44" s="66">
        <f t="shared" si="12"/>
        <v>24.23240140184269</v>
      </c>
      <c r="R44" s="29">
        <f t="shared" si="13"/>
        <v>4.3642277255292763</v>
      </c>
      <c r="S44" s="17"/>
      <c r="T44" s="17"/>
      <c r="U44" s="17"/>
      <c r="V44" s="17"/>
      <c r="AD44" s="17"/>
    </row>
    <row r="45" spans="1:31" x14ac:dyDescent="0.2">
      <c r="A45">
        <v>35</v>
      </c>
      <c r="B45" s="10" t="s">
        <v>64</v>
      </c>
      <c r="C45" s="11">
        <v>572000</v>
      </c>
      <c r="D45" s="41">
        <f t="shared" si="5"/>
        <v>26.977314530962598</v>
      </c>
      <c r="E45" s="36">
        <f t="shared" si="6"/>
        <v>2.439382759619785E-4</v>
      </c>
      <c r="F45" s="37">
        <v>108909</v>
      </c>
      <c r="G45" s="10"/>
      <c r="H45" s="30">
        <f t="shared" si="2"/>
        <v>1.08909E-7</v>
      </c>
      <c r="I45" s="45">
        <v>2004</v>
      </c>
      <c r="J45" s="17">
        <f t="shared" si="7"/>
        <v>9.4514927132952883E-2</v>
      </c>
      <c r="K45" s="47">
        <f t="shared" si="3"/>
        <v>4.1128083718922956E-9</v>
      </c>
      <c r="L45" s="47">
        <f t="shared" si="8"/>
        <v>0</v>
      </c>
      <c r="M45" s="47">
        <f t="shared" si="4"/>
        <v>140846846.33088917</v>
      </c>
      <c r="N45" s="29">
        <f t="shared" si="9"/>
        <v>1.9877913254699067E-3</v>
      </c>
      <c r="O45" s="31">
        <f t="shared" si="10"/>
        <v>8.1487471272435101</v>
      </c>
      <c r="P45" s="29">
        <f t="shared" si="11"/>
        <v>1.9877913254699067E-3</v>
      </c>
      <c r="Q45" s="66">
        <f t="shared" si="12"/>
        <v>18.763183661768963</v>
      </c>
      <c r="R45" s="29">
        <f t="shared" si="13"/>
        <v>1.9877913254699067E-3</v>
      </c>
      <c r="S45" s="17"/>
      <c r="T45" s="17"/>
      <c r="U45" s="17"/>
      <c r="V45" s="17"/>
      <c r="AD45" s="17"/>
      <c r="AE45" s="18"/>
    </row>
    <row r="46" spans="1:31" x14ac:dyDescent="0.2">
      <c r="A46" s="7">
        <v>36</v>
      </c>
      <c r="B46" s="7" t="s">
        <v>65</v>
      </c>
      <c r="C46" s="6">
        <v>39032000</v>
      </c>
      <c r="D46" s="102">
        <f t="shared" si="5"/>
        <v>1840.8715747771541</v>
      </c>
      <c r="E46" s="36">
        <f t="shared" si="6"/>
        <v>1.6645802075783121E-2</v>
      </c>
      <c r="F46" s="37">
        <v>1252</v>
      </c>
      <c r="G46" s="10"/>
      <c r="H46" s="30">
        <f t="shared" si="2"/>
        <v>1.252E-9</v>
      </c>
      <c r="I46" s="42">
        <v>3656</v>
      </c>
      <c r="J46" s="17">
        <f t="shared" si="7"/>
        <v>0.17242842993915955</v>
      </c>
      <c r="K46" s="47">
        <f t="shared" si="3"/>
        <v>5.1200207502384698E-7</v>
      </c>
      <c r="L46" s="47">
        <f t="shared" si="8"/>
        <v>0</v>
      </c>
      <c r="M46" s="47">
        <f t="shared" si="4"/>
        <v>12251988168.570934</v>
      </c>
      <c r="N46" s="29">
        <f t="shared" si="9"/>
        <v>0.16792628984299027</v>
      </c>
      <c r="O46" s="31">
        <f t="shared" si="10"/>
        <v>10.088206568747754</v>
      </c>
      <c r="P46" s="29">
        <f t="shared" si="11"/>
        <v>0.16792628984299027</v>
      </c>
      <c r="Q46" s="66">
        <f t="shared" si="12"/>
        <v>23.22895406024319</v>
      </c>
      <c r="R46" s="29">
        <f t="shared" si="13"/>
        <v>0.16792628984299027</v>
      </c>
    </row>
    <row r="47" spans="1:31" x14ac:dyDescent="0.2">
      <c r="A47" s="7">
        <v>37</v>
      </c>
      <c r="B47" s="7" t="s">
        <v>66</v>
      </c>
      <c r="C47" s="6">
        <v>513411000</v>
      </c>
      <c r="D47" s="102">
        <f t="shared" si="5"/>
        <v>24214.073480167899</v>
      </c>
      <c r="E47" s="36">
        <f t="shared" si="6"/>
        <v>0.21895208776208974</v>
      </c>
      <c r="F47" s="37">
        <v>14390</v>
      </c>
      <c r="G47" s="10"/>
      <c r="H47" s="30">
        <f t="shared" si="2"/>
        <v>1.439E-8</v>
      </c>
      <c r="I47" s="45">
        <v>348371</v>
      </c>
      <c r="J47" s="17">
        <f t="shared" si="7"/>
        <v>16.430269301513938</v>
      </c>
      <c r="K47" s="47">
        <f t="shared" si="3"/>
        <v>6.4172933651264962E-4</v>
      </c>
      <c r="L47" s="47">
        <f t="shared" si="8"/>
        <v>0</v>
      </c>
      <c r="M47" s="47">
        <f t="shared" si="4"/>
        <v>1065982570.3301466</v>
      </c>
      <c r="N47" s="29">
        <f t="shared" si="9"/>
        <v>1.9766447329963757</v>
      </c>
      <c r="O47" s="31">
        <f t="shared" si="10"/>
        <v>9.0277501036855607</v>
      </c>
      <c r="P47" s="29">
        <f t="shared" si="11"/>
        <v>1.9766447329963757</v>
      </c>
      <c r="Q47" s="66">
        <f t="shared" si="12"/>
        <v>20.787162812021819</v>
      </c>
      <c r="R47" s="29">
        <f t="shared" si="13"/>
        <v>1.9766447329963757</v>
      </c>
    </row>
    <row r="48" spans="1:31" x14ac:dyDescent="0.2">
      <c r="A48" s="10">
        <v>38</v>
      </c>
      <c r="B48" s="10" t="s">
        <v>67</v>
      </c>
      <c r="C48" s="10">
        <v>2000</v>
      </c>
      <c r="D48" s="41">
        <f t="shared" si="5"/>
        <v>9.4326274583785313E-2</v>
      </c>
      <c r="E48" s="36">
        <f t="shared" si="6"/>
        <v>8.5293103483209271E-7</v>
      </c>
      <c r="F48" s="37">
        <v>12150</v>
      </c>
      <c r="G48" s="10"/>
      <c r="H48" s="30">
        <f t="shared" si="2"/>
        <v>1.215E-8</v>
      </c>
      <c r="I48" s="42">
        <v>1</v>
      </c>
      <c r="J48" s="17">
        <f t="shared" si="7"/>
        <v>4.716313729189266E-5</v>
      </c>
      <c r="K48" s="47">
        <f t="shared" si="3"/>
        <v>7.1758726810230854E-15</v>
      </c>
      <c r="L48" s="47">
        <f t="shared" si="8"/>
        <v>0</v>
      </c>
      <c r="M48" s="47">
        <f t="shared" si="4"/>
        <v>1262509398.1111777</v>
      </c>
      <c r="N48" s="29">
        <f t="shared" si="9"/>
        <v>7.7627254624200136E-6</v>
      </c>
      <c r="O48" s="31">
        <f t="shared" si="10"/>
        <v>9.1012346196878351</v>
      </c>
      <c r="P48" s="29">
        <f t="shared" si="11"/>
        <v>7.7627254624200136E-6</v>
      </c>
      <c r="Q48" s="66">
        <f t="shared" si="12"/>
        <v>20.956367163134541</v>
      </c>
      <c r="R48" s="29">
        <f t="shared" si="13"/>
        <v>7.7627254624200136E-6</v>
      </c>
    </row>
    <row r="49" spans="1:18" x14ac:dyDescent="0.2">
      <c r="A49" s="10"/>
      <c r="B49" s="10"/>
      <c r="C49" s="10"/>
      <c r="D49" s="41"/>
      <c r="E49" s="36"/>
      <c r="F49" s="37"/>
      <c r="G49" s="10"/>
      <c r="J49" s="17"/>
      <c r="K49" s="47"/>
      <c r="L49" s="47">
        <f t="shared" si="8"/>
        <v>0</v>
      </c>
      <c r="M49" s="47"/>
      <c r="N49" s="29"/>
      <c r="O49" s="31"/>
      <c r="P49" s="31"/>
    </row>
    <row r="50" spans="1:18" x14ac:dyDescent="0.2">
      <c r="A50" s="10"/>
      <c r="B50" s="34" t="s">
        <v>99</v>
      </c>
      <c r="C50" s="10"/>
      <c r="D50" s="41"/>
      <c r="E50" s="36"/>
      <c r="F50" s="37"/>
      <c r="G50" s="10"/>
      <c r="J50" s="17"/>
      <c r="K50" s="47"/>
      <c r="L50" s="47">
        <f t="shared" si="8"/>
        <v>0</v>
      </c>
      <c r="M50" s="47"/>
      <c r="N50" s="29"/>
      <c r="O50" s="31"/>
      <c r="P50" s="31"/>
    </row>
    <row r="51" spans="1:18" x14ac:dyDescent="0.2">
      <c r="A51" s="10">
        <v>1</v>
      </c>
      <c r="B51" s="7" t="s">
        <v>70</v>
      </c>
      <c r="C51" s="6">
        <v>8046000</v>
      </c>
      <c r="D51" s="102">
        <f t="shared" ref="D51:D66" si="14">+C51/21203</f>
        <v>379.47460265056833</v>
      </c>
      <c r="E51" s="36">
        <f t="shared" ref="E51:E66" si="15">+(D51/$C$2)</f>
        <v>3.4313415531295089E-3</v>
      </c>
      <c r="F51" s="37">
        <v>47435</v>
      </c>
      <c r="G51" s="10"/>
      <c r="H51" s="30">
        <f t="shared" ref="H51:H66" si="16">+F51*10^-12</f>
        <v>4.7435000000000001E-8</v>
      </c>
      <c r="I51" s="45">
        <v>42746</v>
      </c>
      <c r="J51" s="17">
        <f t="shared" si="7"/>
        <v>2.0160354666792437</v>
      </c>
      <c r="K51" s="47">
        <f t="shared" ref="K51:K66" si="17">+(J51/$J$7)*E51</f>
        <v>1.2340144311253809E-6</v>
      </c>
      <c r="L51" s="47">
        <f t="shared" si="8"/>
        <v>0</v>
      </c>
      <c r="M51" s="47">
        <f t="shared" ref="M51:M66" si="18">+C$6/H51</f>
        <v>323379133.27818716</v>
      </c>
      <c r="N51" s="29">
        <f t="shared" ref="N51:N66" si="19">+LOG10(($C$6/H51))*E51</f>
        <v>2.9199728365734774E-2</v>
      </c>
      <c r="O51" s="31">
        <f t="shared" si="10"/>
        <v>8.5097119927054639</v>
      </c>
      <c r="P51" s="29">
        <f t="shared" ref="P51:P66" si="20">+LOG10(($C$6/$H51))*$E51</f>
        <v>2.9199728365734774E-2</v>
      </c>
      <c r="Q51" s="66">
        <f t="shared" ref="Q51" si="21">+LN(M51)</f>
        <v>19.594335980076256</v>
      </c>
      <c r="R51" s="29">
        <f t="shared" ref="R51:R66" si="22">+LOG(($C$6/H51))*E51</f>
        <v>2.9199728365734774E-2</v>
      </c>
    </row>
    <row r="52" spans="1:18" x14ac:dyDescent="0.2">
      <c r="A52" s="10">
        <v>2</v>
      </c>
      <c r="B52" s="10" t="s">
        <v>71</v>
      </c>
      <c r="C52" s="11">
        <v>609000</v>
      </c>
      <c r="D52" s="41">
        <f t="shared" si="14"/>
        <v>28.722350610762629</v>
      </c>
      <c r="E52" s="36">
        <f t="shared" si="15"/>
        <v>2.5971750010637224E-4</v>
      </c>
      <c r="F52" s="37">
        <v>50000</v>
      </c>
      <c r="G52" s="10"/>
      <c r="H52" s="30">
        <f t="shared" si="16"/>
        <v>4.9999999999999998E-8</v>
      </c>
      <c r="I52" s="42">
        <v>3399</v>
      </c>
      <c r="J52" s="17">
        <f t="shared" si="7"/>
        <v>0.16030750365514315</v>
      </c>
      <c r="K52" s="47">
        <f t="shared" si="17"/>
        <v>7.4269959334318309E-9</v>
      </c>
      <c r="L52" s="47">
        <f t="shared" si="8"/>
        <v>0</v>
      </c>
      <c r="M52" s="47">
        <f t="shared" si="18"/>
        <v>306789783.74101621</v>
      </c>
      <c r="N52" s="29">
        <f t="shared" si="19"/>
        <v>2.2041811006048091E-3</v>
      </c>
      <c r="O52" s="31">
        <f t="shared" si="10"/>
        <v>8.4868408932861463</v>
      </c>
      <c r="P52" s="29">
        <f t="shared" si="20"/>
        <v>2.2041811006048091E-3</v>
      </c>
      <c r="Q52" s="66">
        <f t="shared" ref="Q52:Q66" si="23">+LN(M52)</f>
        <v>19.541673327492951</v>
      </c>
      <c r="R52" s="29">
        <f t="shared" si="22"/>
        <v>2.2041811006048091E-3</v>
      </c>
    </row>
    <row r="53" spans="1:18" x14ac:dyDescent="0.2">
      <c r="A53" s="10">
        <v>3</v>
      </c>
      <c r="B53" s="10" t="s">
        <v>72</v>
      </c>
      <c r="C53" s="11">
        <v>17000</v>
      </c>
      <c r="D53" s="41">
        <f t="shared" si="14"/>
        <v>0.80177333396217521</v>
      </c>
      <c r="E53" s="36">
        <f t="shared" si="15"/>
        <v>7.2499137960727884E-6</v>
      </c>
      <c r="F53" s="37">
        <v>50000</v>
      </c>
      <c r="G53" s="10"/>
      <c r="H53" s="30">
        <f t="shared" si="16"/>
        <v>4.9999999999999998E-8</v>
      </c>
      <c r="I53" s="42">
        <v>95</v>
      </c>
      <c r="J53" s="17">
        <f t="shared" si="7"/>
        <v>4.4804980427298026E-3</v>
      </c>
      <c r="K53" s="47">
        <f t="shared" si="17"/>
        <v>5.7945171899261424E-12</v>
      </c>
      <c r="L53" s="47">
        <f t="shared" si="8"/>
        <v>0</v>
      </c>
      <c r="M53" s="47">
        <f t="shared" si="18"/>
        <v>306789783.74101621</v>
      </c>
      <c r="N53" s="29">
        <f t="shared" si="19"/>
        <v>6.1528864877309945E-5</v>
      </c>
      <c r="O53" s="31">
        <f t="shared" si="10"/>
        <v>8.4868408932861463</v>
      </c>
      <c r="P53" s="29">
        <f t="shared" si="20"/>
        <v>6.1528864877309945E-5</v>
      </c>
      <c r="Q53" s="66">
        <f t="shared" si="23"/>
        <v>19.541673327492951</v>
      </c>
      <c r="R53" s="29">
        <f t="shared" si="22"/>
        <v>6.1528864877309945E-5</v>
      </c>
    </row>
    <row r="54" spans="1:18" x14ac:dyDescent="0.2">
      <c r="A54" s="10">
        <v>4</v>
      </c>
      <c r="B54" s="10" t="s">
        <v>73</v>
      </c>
      <c r="C54" s="11">
        <v>22000</v>
      </c>
      <c r="D54" s="41">
        <f t="shared" si="14"/>
        <v>1.0375890204216385</v>
      </c>
      <c r="E54" s="36">
        <f t="shared" si="15"/>
        <v>9.3822413831530195E-6</v>
      </c>
      <c r="F54" s="37">
        <v>50000</v>
      </c>
      <c r="G54" s="10"/>
      <c r="H54" s="30">
        <f t="shared" si="16"/>
        <v>4.9999999999999998E-8</v>
      </c>
      <c r="I54" s="42">
        <v>123</v>
      </c>
      <c r="J54" s="17">
        <f t="shared" si="7"/>
        <v>5.8010658869027971E-3</v>
      </c>
      <c r="K54" s="47">
        <f t="shared" si="17"/>
        <v>9.7089557374242352E-12</v>
      </c>
      <c r="L54" s="47">
        <f t="shared" si="8"/>
        <v>0</v>
      </c>
      <c r="M54" s="47">
        <f t="shared" si="18"/>
        <v>306789783.74101621</v>
      </c>
      <c r="N54" s="29">
        <f t="shared" si="19"/>
        <v>7.9625589841224621E-5</v>
      </c>
      <c r="O54" s="31">
        <f t="shared" si="10"/>
        <v>8.4868408932861463</v>
      </c>
      <c r="P54" s="29">
        <f t="shared" si="20"/>
        <v>7.9625589841224621E-5</v>
      </c>
      <c r="Q54" s="66">
        <f t="shared" si="23"/>
        <v>19.541673327492951</v>
      </c>
      <c r="R54" s="29">
        <f t="shared" si="22"/>
        <v>7.9625589841224621E-5</v>
      </c>
    </row>
    <row r="55" spans="1:18" x14ac:dyDescent="0.2">
      <c r="A55" s="10">
        <v>5</v>
      </c>
      <c r="B55" s="10" t="s">
        <v>74</v>
      </c>
      <c r="C55" s="11">
        <v>1248000</v>
      </c>
      <c r="D55" s="41">
        <f t="shared" si="14"/>
        <v>58.859595340282034</v>
      </c>
      <c r="E55" s="36">
        <f t="shared" si="15"/>
        <v>5.3222896573522577E-4</v>
      </c>
      <c r="F55" s="37">
        <v>50000</v>
      </c>
      <c r="G55" s="10"/>
      <c r="H55" s="30">
        <f t="shared" si="16"/>
        <v>4.9999999999999998E-8</v>
      </c>
      <c r="I55" s="42">
        <v>6966</v>
      </c>
      <c r="J55" s="17">
        <f t="shared" si="7"/>
        <v>0.32853841437532427</v>
      </c>
      <c r="K55" s="47">
        <f t="shared" si="17"/>
        <v>3.1191968555908248E-8</v>
      </c>
      <c r="L55" s="47">
        <f t="shared" si="8"/>
        <v>0</v>
      </c>
      <c r="M55" s="47">
        <f t="shared" si="18"/>
        <v>306789783.74101621</v>
      </c>
      <c r="N55" s="29">
        <f t="shared" si="19"/>
        <v>4.5169425509931057E-3</v>
      </c>
      <c r="O55" s="31">
        <f t="shared" si="10"/>
        <v>8.4868408932861463</v>
      </c>
      <c r="P55" s="29">
        <f t="shared" si="20"/>
        <v>4.5169425509931057E-3</v>
      </c>
      <c r="Q55" s="66">
        <f t="shared" si="23"/>
        <v>19.541673327492951</v>
      </c>
      <c r="R55" s="29">
        <f t="shared" si="22"/>
        <v>4.5169425509931057E-3</v>
      </c>
    </row>
    <row r="56" spans="1:18" x14ac:dyDescent="0.2">
      <c r="A56" s="10">
        <v>6</v>
      </c>
      <c r="B56" s="10" t="s">
        <v>75</v>
      </c>
      <c r="C56" s="11">
        <v>1256000</v>
      </c>
      <c r="D56" s="41">
        <f t="shared" si="14"/>
        <v>59.236900438617177</v>
      </c>
      <c r="E56" s="36">
        <f t="shared" si="15"/>
        <v>5.3564068987455417E-4</v>
      </c>
      <c r="F56" s="37">
        <v>50000</v>
      </c>
      <c r="G56" s="10"/>
      <c r="H56" s="30">
        <f t="shared" si="16"/>
        <v>4.9999999999999998E-8</v>
      </c>
      <c r="I56" s="42">
        <v>7011</v>
      </c>
      <c r="J56" s="17">
        <f t="shared" si="7"/>
        <v>0.33066075555345942</v>
      </c>
      <c r="K56" s="47">
        <f t="shared" si="17"/>
        <v>3.1594707234257988E-8</v>
      </c>
      <c r="L56" s="47">
        <f t="shared" si="8"/>
        <v>0</v>
      </c>
      <c r="M56" s="47">
        <f t="shared" si="18"/>
        <v>306789783.74101621</v>
      </c>
      <c r="N56" s="29">
        <f t="shared" si="19"/>
        <v>4.5458973109353687E-3</v>
      </c>
      <c r="O56" s="31">
        <f t="shared" si="10"/>
        <v>8.4868408932861463</v>
      </c>
      <c r="P56" s="29">
        <f t="shared" si="20"/>
        <v>4.5458973109353687E-3</v>
      </c>
      <c r="Q56" s="66">
        <f t="shared" si="23"/>
        <v>19.541673327492951</v>
      </c>
      <c r="R56" s="29">
        <f t="shared" si="22"/>
        <v>4.5458973109353687E-3</v>
      </c>
    </row>
    <row r="57" spans="1:18" x14ac:dyDescent="0.2">
      <c r="A57" s="10">
        <v>7</v>
      </c>
      <c r="B57" s="10" t="s">
        <v>76</v>
      </c>
      <c r="C57" s="11">
        <v>44000</v>
      </c>
      <c r="D57" s="41">
        <f t="shared" si="14"/>
        <v>2.0751780408432769</v>
      </c>
      <c r="E57" s="36">
        <f t="shared" si="15"/>
        <v>1.8764482766306039E-5</v>
      </c>
      <c r="F57" s="37">
        <v>50000</v>
      </c>
      <c r="G57" s="10"/>
      <c r="H57" s="30">
        <f t="shared" si="16"/>
        <v>4.9999999999999998E-8</v>
      </c>
      <c r="I57" s="42">
        <v>246</v>
      </c>
      <c r="J57" s="17">
        <f t="shared" si="7"/>
        <v>1.1602131773805594E-2</v>
      </c>
      <c r="K57" s="47">
        <f t="shared" si="17"/>
        <v>3.8835822949696941E-11</v>
      </c>
      <c r="L57" s="47">
        <f t="shared" si="8"/>
        <v>0</v>
      </c>
      <c r="M57" s="47">
        <f t="shared" si="18"/>
        <v>306789783.74101621</v>
      </c>
      <c r="N57" s="29">
        <f t="shared" si="19"/>
        <v>1.5925117968244924E-4</v>
      </c>
      <c r="O57" s="31">
        <f t="shared" si="10"/>
        <v>8.4868408932861463</v>
      </c>
      <c r="P57" s="29">
        <f t="shared" si="20"/>
        <v>1.5925117968244924E-4</v>
      </c>
      <c r="Q57" s="66">
        <f t="shared" si="23"/>
        <v>19.541673327492951</v>
      </c>
      <c r="R57" s="29">
        <f t="shared" si="22"/>
        <v>1.5925117968244924E-4</v>
      </c>
    </row>
    <row r="58" spans="1:18" x14ac:dyDescent="0.2">
      <c r="A58" s="10">
        <v>8</v>
      </c>
      <c r="B58" s="10" t="s">
        <v>77</v>
      </c>
      <c r="C58" s="10">
        <v>2000</v>
      </c>
      <c r="D58" s="41">
        <f t="shared" si="14"/>
        <v>9.4326274583785313E-2</v>
      </c>
      <c r="E58" s="36">
        <f t="shared" si="15"/>
        <v>8.5293103483209271E-7</v>
      </c>
      <c r="F58" s="37">
        <v>88099</v>
      </c>
      <c r="G58" s="10"/>
      <c r="H58" s="30">
        <f t="shared" si="16"/>
        <v>8.8099E-8</v>
      </c>
      <c r="I58" s="42">
        <v>19</v>
      </c>
      <c r="J58" s="17">
        <f t="shared" si="7"/>
        <v>8.960996085459605E-4</v>
      </c>
      <c r="K58" s="47">
        <f t="shared" si="17"/>
        <v>1.3634158093943865E-13</v>
      </c>
      <c r="L58" s="47">
        <f t="shared" si="8"/>
        <v>0</v>
      </c>
      <c r="M58" s="47">
        <f t="shared" si="18"/>
        <v>174116496.06750143</v>
      </c>
      <c r="N58" s="29">
        <f t="shared" si="19"/>
        <v>7.0288681198284582E-6</v>
      </c>
      <c r="O58" s="31">
        <f t="shared" si="10"/>
        <v>8.2408399188008854</v>
      </c>
      <c r="P58" s="29">
        <f t="shared" si="20"/>
        <v>7.0288681198284582E-6</v>
      </c>
      <c r="Q58" s="66">
        <f t="shared" si="23"/>
        <v>18.975235150781181</v>
      </c>
      <c r="R58" s="29">
        <f t="shared" si="22"/>
        <v>7.0288681198284582E-6</v>
      </c>
    </row>
    <row r="59" spans="1:18" x14ac:dyDescent="0.2">
      <c r="A59" s="10">
        <v>9</v>
      </c>
      <c r="B59" s="10" t="s">
        <v>78</v>
      </c>
      <c r="C59" s="11">
        <v>53000</v>
      </c>
      <c r="D59" s="41">
        <f t="shared" si="14"/>
        <v>2.4996462764703109</v>
      </c>
      <c r="E59" s="36">
        <f t="shared" si="15"/>
        <v>2.2602672423050456E-5</v>
      </c>
      <c r="F59" s="37">
        <v>50000</v>
      </c>
      <c r="G59" s="10"/>
      <c r="H59" s="30">
        <f t="shared" si="16"/>
        <v>4.9999999999999998E-8</v>
      </c>
      <c r="I59" s="42">
        <v>296</v>
      </c>
      <c r="J59" s="17">
        <f t="shared" si="7"/>
        <v>1.3960288638400226E-2</v>
      </c>
      <c r="K59" s="47">
        <f t="shared" si="17"/>
        <v>5.6287545309945084E-11</v>
      </c>
      <c r="L59" s="47">
        <f t="shared" si="8"/>
        <v>0</v>
      </c>
      <c r="M59" s="47">
        <f t="shared" si="18"/>
        <v>306789783.74101621</v>
      </c>
      <c r="N59" s="29">
        <f t="shared" si="19"/>
        <v>1.9182528461749568E-4</v>
      </c>
      <c r="O59" s="31">
        <f t="shared" si="10"/>
        <v>8.4868408932861463</v>
      </c>
      <c r="P59" s="29">
        <f t="shared" si="20"/>
        <v>1.9182528461749568E-4</v>
      </c>
      <c r="Q59" s="66">
        <f t="shared" si="23"/>
        <v>19.541673327492951</v>
      </c>
      <c r="R59" s="29">
        <f t="shared" si="22"/>
        <v>1.9182528461749568E-4</v>
      </c>
    </row>
    <row r="60" spans="1:18" x14ac:dyDescent="0.2">
      <c r="A60" s="10">
        <v>10</v>
      </c>
      <c r="B60" s="10" t="s">
        <v>79</v>
      </c>
      <c r="C60" s="10">
        <v>6000</v>
      </c>
      <c r="D60" s="41">
        <f t="shared" si="14"/>
        <v>0.28297882375135597</v>
      </c>
      <c r="E60" s="36">
        <f t="shared" si="15"/>
        <v>2.5587931044962782E-6</v>
      </c>
      <c r="F60" s="37">
        <v>50000</v>
      </c>
      <c r="G60" s="10"/>
      <c r="H60" s="30">
        <f t="shared" si="16"/>
        <v>4.9999999999999998E-8</v>
      </c>
      <c r="I60" s="42">
        <v>33</v>
      </c>
      <c r="J60" s="17">
        <f t="shared" si="7"/>
        <v>1.5563835306324576E-3</v>
      </c>
      <c r="K60" s="47">
        <f t="shared" si="17"/>
        <v>7.1041139542128561E-13</v>
      </c>
      <c r="L60" s="47">
        <f t="shared" si="8"/>
        <v>0</v>
      </c>
      <c r="M60" s="47">
        <f t="shared" si="18"/>
        <v>306789783.74101621</v>
      </c>
      <c r="N60" s="29">
        <f t="shared" si="19"/>
        <v>2.1716069956697624E-5</v>
      </c>
      <c r="O60" s="31">
        <f t="shared" si="10"/>
        <v>8.4868408932861463</v>
      </c>
      <c r="P60" s="29">
        <f t="shared" si="20"/>
        <v>2.1716069956697624E-5</v>
      </c>
      <c r="Q60" s="66">
        <f t="shared" si="23"/>
        <v>19.541673327492951</v>
      </c>
      <c r="R60" s="29">
        <f t="shared" si="22"/>
        <v>2.1716069956697624E-5</v>
      </c>
    </row>
    <row r="61" spans="1:18" x14ac:dyDescent="0.2">
      <c r="A61" s="10">
        <v>11</v>
      </c>
      <c r="B61" s="10" t="s">
        <v>80</v>
      </c>
      <c r="C61" s="10">
        <v>1000</v>
      </c>
      <c r="D61" s="41">
        <f t="shared" si="14"/>
        <v>4.7163137291892657E-2</v>
      </c>
      <c r="E61" s="36">
        <f t="shared" si="15"/>
        <v>4.2646551741604635E-7</v>
      </c>
      <c r="F61" s="37">
        <v>50000</v>
      </c>
      <c r="G61" s="10"/>
      <c r="H61" s="30">
        <f t="shared" si="16"/>
        <v>4.9999999999999998E-8</v>
      </c>
      <c r="I61" s="42">
        <v>6</v>
      </c>
      <c r="J61" s="17">
        <f t="shared" si="7"/>
        <v>2.8297882375135595E-4</v>
      </c>
      <c r="K61" s="47">
        <f t="shared" si="17"/>
        <v>2.1527618043069256E-14</v>
      </c>
      <c r="L61" s="47">
        <f t="shared" si="8"/>
        <v>0</v>
      </c>
      <c r="M61" s="47">
        <f t="shared" si="18"/>
        <v>306789783.74101621</v>
      </c>
      <c r="N61" s="29">
        <f t="shared" si="19"/>
        <v>3.6193449927829375E-6</v>
      </c>
      <c r="O61" s="31">
        <f t="shared" si="10"/>
        <v>8.4868408932861463</v>
      </c>
      <c r="P61" s="29">
        <f t="shared" si="20"/>
        <v>3.6193449927829375E-6</v>
      </c>
      <c r="Q61" s="66">
        <f t="shared" si="23"/>
        <v>19.541673327492951</v>
      </c>
      <c r="R61" s="29">
        <f t="shared" si="22"/>
        <v>3.6193449927829375E-6</v>
      </c>
    </row>
    <row r="62" spans="1:18" x14ac:dyDescent="0.2">
      <c r="A62" s="10">
        <v>12</v>
      </c>
      <c r="B62" s="10" t="s">
        <v>81</v>
      </c>
      <c r="C62" s="11">
        <v>1340000</v>
      </c>
      <c r="D62" s="41">
        <f t="shared" si="14"/>
        <v>63.198603971136158</v>
      </c>
      <c r="E62" s="36">
        <f t="shared" si="15"/>
        <v>5.7146379333750206E-4</v>
      </c>
      <c r="F62" s="37">
        <v>16303</v>
      </c>
      <c r="G62" s="10"/>
      <c r="H62" s="30">
        <f t="shared" si="16"/>
        <v>1.6303E-8</v>
      </c>
      <c r="I62" s="42">
        <v>2611</v>
      </c>
      <c r="J62" s="17">
        <f t="shared" si="7"/>
        <v>0.12314295146913172</v>
      </c>
      <c r="K62" s="47">
        <f t="shared" si="17"/>
        <v>1.2553256392001354E-8</v>
      </c>
      <c r="L62" s="47">
        <f t="shared" si="8"/>
        <v>0</v>
      </c>
      <c r="M62" s="47">
        <f t="shared" si="18"/>
        <v>940899784.5213033</v>
      </c>
      <c r="N62" s="29">
        <f t="shared" si="19"/>
        <v>5.1280551333691754E-3</v>
      </c>
      <c r="O62" s="31">
        <f t="shared" si="10"/>
        <v>8.9735433690732282</v>
      </c>
      <c r="P62" s="29">
        <f t="shared" si="20"/>
        <v>5.1280551333691754E-3</v>
      </c>
      <c r="Q62" s="66">
        <f t="shared" si="23"/>
        <v>20.66234719296358</v>
      </c>
      <c r="R62" s="29">
        <f t="shared" si="22"/>
        <v>5.1280551333691754E-3</v>
      </c>
    </row>
    <row r="63" spans="1:18" x14ac:dyDescent="0.2">
      <c r="A63" s="10">
        <v>13</v>
      </c>
      <c r="B63" s="7" t="s">
        <v>82</v>
      </c>
      <c r="C63" s="6">
        <v>11461000</v>
      </c>
      <c r="D63" s="102">
        <f t="shared" si="14"/>
        <v>540.53671650238175</v>
      </c>
      <c r="E63" s="36">
        <f t="shared" si="15"/>
        <v>4.8877212951053068E-3</v>
      </c>
      <c r="F63" s="37">
        <v>133298</v>
      </c>
      <c r="G63" s="10"/>
      <c r="H63" s="30">
        <f t="shared" si="16"/>
        <v>1.3329800000000001E-7</v>
      </c>
      <c r="I63" s="45">
        <v>160651</v>
      </c>
      <c r="J63" s="17">
        <f t="shared" si="7"/>
        <v>7.5768051690798472</v>
      </c>
      <c r="K63" s="47">
        <f t="shared" si="17"/>
        <v>6.6061841350739368E-6</v>
      </c>
      <c r="L63" s="47">
        <f t="shared" si="8"/>
        <v>0</v>
      </c>
      <c r="M63" s="47">
        <f t="shared" si="18"/>
        <v>115076664.21889907</v>
      </c>
      <c r="N63" s="29">
        <f t="shared" si="19"/>
        <v>3.9399859111308541E-2</v>
      </c>
      <c r="O63" s="31">
        <f t="shared" si="10"/>
        <v>8.0609872643034297</v>
      </c>
      <c r="P63" s="29">
        <f t="shared" si="20"/>
        <v>3.9399859111308541E-2</v>
      </c>
      <c r="Q63" s="66">
        <f t="shared" si="23"/>
        <v>18.561109109599929</v>
      </c>
      <c r="R63" s="29">
        <f t="shared" si="22"/>
        <v>3.9399859111308541E-2</v>
      </c>
    </row>
    <row r="64" spans="1:18" x14ac:dyDescent="0.2">
      <c r="A64" s="10">
        <v>14</v>
      </c>
      <c r="B64" s="10" t="s">
        <v>83</v>
      </c>
      <c r="C64" s="11">
        <v>704000</v>
      </c>
      <c r="D64" s="41">
        <f t="shared" si="14"/>
        <v>33.202848653492431</v>
      </c>
      <c r="E64" s="36">
        <f t="shared" si="15"/>
        <v>3.0023172426089662E-4</v>
      </c>
      <c r="F64" s="37">
        <v>50000</v>
      </c>
      <c r="G64" s="10"/>
      <c r="H64" s="30">
        <f t="shared" si="16"/>
        <v>4.9999999999999998E-8</v>
      </c>
      <c r="I64" s="42">
        <v>3930</v>
      </c>
      <c r="J64" s="17">
        <f t="shared" si="7"/>
        <v>0.18535112955713814</v>
      </c>
      <c r="K64" s="47">
        <f t="shared" si="17"/>
        <v>9.9268152320200961E-9</v>
      </c>
      <c r="L64" s="47">
        <f t="shared" si="8"/>
        <v>0</v>
      </c>
      <c r="M64" s="47">
        <f t="shared" si="18"/>
        <v>306789783.74101621</v>
      </c>
      <c r="N64" s="29">
        <f t="shared" si="19"/>
        <v>2.5480188749191879E-3</v>
      </c>
      <c r="O64" s="31">
        <f t="shared" si="10"/>
        <v>8.4868408932861463</v>
      </c>
      <c r="P64" s="29">
        <f t="shared" si="20"/>
        <v>2.5480188749191879E-3</v>
      </c>
      <c r="Q64" s="66">
        <f t="shared" si="23"/>
        <v>19.541673327492951</v>
      </c>
      <c r="R64" s="29">
        <f t="shared" si="22"/>
        <v>2.5480188749191879E-3</v>
      </c>
    </row>
    <row r="65" spans="1:18" x14ac:dyDescent="0.2">
      <c r="A65" s="10">
        <v>15</v>
      </c>
      <c r="B65" s="10" t="s">
        <v>84</v>
      </c>
      <c r="C65" s="11">
        <v>16000</v>
      </c>
      <c r="D65" s="41">
        <f t="shared" si="14"/>
        <v>0.75461019667028251</v>
      </c>
      <c r="E65" s="36">
        <f t="shared" si="15"/>
        <v>6.8234482786567417E-6</v>
      </c>
      <c r="F65" s="37">
        <v>50000</v>
      </c>
      <c r="G65" s="10"/>
      <c r="H65" s="30">
        <f t="shared" si="16"/>
        <v>4.9999999999999998E-8</v>
      </c>
      <c r="I65" s="42">
        <v>89</v>
      </c>
      <c r="J65" s="17">
        <f t="shared" si="7"/>
        <v>4.1975192189784467E-3</v>
      </c>
      <c r="K65" s="47">
        <f t="shared" si="17"/>
        <v>5.1092213488884376E-12</v>
      </c>
      <c r="L65" s="47">
        <f t="shared" si="8"/>
        <v>0</v>
      </c>
      <c r="M65" s="47">
        <f t="shared" si="18"/>
        <v>306789783.74101621</v>
      </c>
      <c r="N65" s="29">
        <f t="shared" si="19"/>
        <v>5.7909519884527E-5</v>
      </c>
      <c r="O65" s="31">
        <f t="shared" si="10"/>
        <v>8.4868408932861463</v>
      </c>
      <c r="P65" s="29">
        <f t="shared" si="20"/>
        <v>5.7909519884527E-5</v>
      </c>
      <c r="Q65" s="66">
        <f t="shared" si="23"/>
        <v>19.541673327492951</v>
      </c>
      <c r="R65" s="29">
        <f t="shared" si="22"/>
        <v>5.7909519884527E-5</v>
      </c>
    </row>
    <row r="66" spans="1:18" x14ac:dyDescent="0.2">
      <c r="A66" s="10">
        <v>16</v>
      </c>
      <c r="B66" s="10" t="s">
        <v>85</v>
      </c>
      <c r="C66" s="11">
        <v>1002000</v>
      </c>
      <c r="D66" s="41">
        <f t="shared" si="14"/>
        <v>47.257463566476439</v>
      </c>
      <c r="E66" s="36">
        <f t="shared" si="15"/>
        <v>4.2731844845087842E-4</v>
      </c>
      <c r="F66" s="37">
        <v>50000</v>
      </c>
      <c r="G66" s="10"/>
      <c r="H66" s="30">
        <f t="shared" si="16"/>
        <v>4.9999999999999998E-8</v>
      </c>
      <c r="I66" s="42">
        <v>5593</v>
      </c>
      <c r="J66" s="17">
        <f t="shared" si="7"/>
        <v>0.2637834268735556</v>
      </c>
      <c r="K66" s="47">
        <f t="shared" si="17"/>
        <v>2.0107462608386018E-8</v>
      </c>
      <c r="L66" s="47">
        <f t="shared" si="8"/>
        <v>0</v>
      </c>
      <c r="M66" s="47">
        <f t="shared" si="18"/>
        <v>306789783.74101621</v>
      </c>
      <c r="N66" s="29">
        <f t="shared" si="19"/>
        <v>3.6265836827685033E-3</v>
      </c>
      <c r="O66" s="31">
        <f t="shared" si="10"/>
        <v>8.4868408932861463</v>
      </c>
      <c r="P66" s="29">
        <f t="shared" si="20"/>
        <v>3.6265836827685033E-3</v>
      </c>
      <c r="Q66" s="66">
        <f t="shared" si="23"/>
        <v>19.541673327492951</v>
      </c>
      <c r="R66" s="29">
        <f t="shared" si="22"/>
        <v>3.6265836827685033E-3</v>
      </c>
    </row>
    <row r="67" spans="1:18" x14ac:dyDescent="0.2">
      <c r="A67" s="10"/>
      <c r="B67" s="10"/>
      <c r="C67" s="11"/>
      <c r="D67" s="41"/>
      <c r="E67" s="36"/>
      <c r="F67" s="37"/>
      <c r="G67" s="10"/>
      <c r="H67" s="5"/>
      <c r="J67" s="17"/>
      <c r="K67" s="47"/>
      <c r="L67" s="47">
        <f t="shared" si="8"/>
        <v>0</v>
      </c>
      <c r="M67" s="47"/>
      <c r="N67" s="29"/>
      <c r="O67" s="31"/>
      <c r="P67" s="31"/>
    </row>
    <row r="68" spans="1:18" x14ac:dyDescent="0.2">
      <c r="A68" s="10"/>
      <c r="B68" s="10" t="s">
        <v>100</v>
      </c>
      <c r="C68" s="10"/>
      <c r="D68" s="41"/>
      <c r="E68" s="36"/>
      <c r="F68" s="37"/>
      <c r="G68" s="10"/>
      <c r="J68" s="17"/>
      <c r="K68" s="47"/>
      <c r="L68" s="47">
        <f t="shared" si="8"/>
        <v>0</v>
      </c>
      <c r="M68" s="47"/>
      <c r="N68" s="29"/>
      <c r="O68" s="31"/>
      <c r="P68" s="31"/>
    </row>
    <row r="69" spans="1:18" x14ac:dyDescent="0.2">
      <c r="A69" s="10">
        <v>1</v>
      </c>
      <c r="B69" s="7" t="s">
        <v>86</v>
      </c>
      <c r="C69" s="6">
        <v>8469000</v>
      </c>
      <c r="D69" s="102">
        <f t="shared" ref="D69:D70" si="24">+C69/21203</f>
        <v>399.42460972503892</v>
      </c>
      <c r="E69" s="36">
        <f>+(D69/$C$2)</f>
        <v>3.6117364669964965E-3</v>
      </c>
      <c r="F69" s="37">
        <v>30000</v>
      </c>
      <c r="G69" s="10"/>
      <c r="H69" s="30">
        <f>+F69*10^-12</f>
        <v>2.9999999999999997E-8</v>
      </c>
      <c r="I69" s="45">
        <v>29262</v>
      </c>
      <c r="J69" s="17">
        <f t="shared" si="7"/>
        <v>1.380087723435363</v>
      </c>
      <c r="K69" s="47">
        <f>+(J69/$J$7)*E69</f>
        <v>8.8916194617733717E-7</v>
      </c>
      <c r="L69" s="47">
        <f t="shared" si="8"/>
        <v>0</v>
      </c>
      <c r="M69" s="47">
        <f>+C$6/H69</f>
        <v>511316306.23502702</v>
      </c>
      <c r="N69" s="29">
        <f t="shared" ref="N69:N70" si="25">+LOG10(($C$6/H69))*E69</f>
        <v>3.1453491963025666E-2</v>
      </c>
      <c r="O69" s="31">
        <f t="shared" si="10"/>
        <v>8.7086896429025025</v>
      </c>
      <c r="P69" s="29">
        <f t="shared" ref="P69:P76" si="26">+LOG10(($C$6/$H69))*$E69</f>
        <v>3.1453491963025666E-2</v>
      </c>
      <c r="Q69" s="66">
        <f t="shared" ref="Q69:Q70" si="27">+LN(M69)</f>
        <v>20.052498951258944</v>
      </c>
      <c r="R69" s="29">
        <f t="shared" ref="R69:R70" si="28">+LOG(($C$6/H69))*E69</f>
        <v>3.1453491963025666E-2</v>
      </c>
    </row>
    <row r="70" spans="1:18" x14ac:dyDescent="0.2">
      <c r="A70" s="10">
        <v>2</v>
      </c>
      <c r="B70" s="10" t="s">
        <v>87</v>
      </c>
      <c r="C70" s="11">
        <v>566000</v>
      </c>
      <c r="D70" s="41">
        <f t="shared" si="24"/>
        <v>26.694335707211245</v>
      </c>
      <c r="E70" s="36">
        <f>+(D70/$C$2)</f>
        <v>2.4137948285748222E-4</v>
      </c>
      <c r="F70" s="37">
        <v>30000</v>
      </c>
      <c r="G70" s="10"/>
      <c r="H70" s="30">
        <f>+F70*10^-12</f>
        <v>2.9999999999999997E-8</v>
      </c>
      <c r="I70" s="42">
        <v>195</v>
      </c>
      <c r="J70" s="17">
        <f t="shared" si="7"/>
        <v>9.1968117719190678E-3</v>
      </c>
      <c r="K70" s="47">
        <f>+(J70/$J$7)*E70</f>
        <v>3.9600053390225893E-10</v>
      </c>
      <c r="L70" s="47">
        <f t="shared" si="8"/>
        <v>0</v>
      </c>
      <c r="M70" s="47">
        <f>+C$6/H70</f>
        <v>511316306.23502702</v>
      </c>
      <c r="N70" s="29">
        <f t="shared" si="25"/>
        <v>2.1020990023701176E-3</v>
      </c>
      <c r="O70" s="31">
        <f t="shared" si="10"/>
        <v>8.7086896429025025</v>
      </c>
      <c r="P70" s="29">
        <f t="shared" si="26"/>
        <v>2.1020990023701176E-3</v>
      </c>
      <c r="Q70" s="66">
        <f t="shared" si="27"/>
        <v>20.052498951258944</v>
      </c>
      <c r="R70" s="29">
        <f t="shared" si="28"/>
        <v>2.1020990023701176E-3</v>
      </c>
    </row>
    <row r="71" spans="1:18" x14ac:dyDescent="0.2">
      <c r="A71" s="10"/>
      <c r="B71" s="10"/>
      <c r="C71" s="11"/>
      <c r="D71" s="41"/>
      <c r="E71" s="36"/>
      <c r="F71" s="37"/>
      <c r="G71" s="10"/>
      <c r="H71" s="5"/>
      <c r="J71" s="17"/>
      <c r="K71" s="47"/>
      <c r="L71" s="47">
        <f t="shared" si="8"/>
        <v>0</v>
      </c>
      <c r="M71" s="47"/>
      <c r="N71" s="29"/>
      <c r="O71" s="31"/>
      <c r="P71" s="29"/>
    </row>
    <row r="72" spans="1:18" x14ac:dyDescent="0.2">
      <c r="A72" s="10"/>
      <c r="B72" s="10" t="s">
        <v>101</v>
      </c>
      <c r="C72" s="10"/>
      <c r="D72" s="41"/>
      <c r="E72" s="36"/>
      <c r="F72" s="37"/>
      <c r="G72" s="10"/>
      <c r="J72" s="17"/>
      <c r="K72" s="47"/>
      <c r="L72" s="47">
        <f t="shared" si="8"/>
        <v>0</v>
      </c>
      <c r="M72" s="47"/>
      <c r="N72" s="29"/>
      <c r="O72" s="31"/>
      <c r="P72" s="29"/>
    </row>
    <row r="73" spans="1:18" x14ac:dyDescent="0.2">
      <c r="A73" s="10">
        <v>1</v>
      </c>
      <c r="B73" s="10" t="s">
        <v>88</v>
      </c>
      <c r="C73" s="10">
        <v>6000</v>
      </c>
      <c r="D73" s="41">
        <f t="shared" ref="D73" si="29">+C73/21203</f>
        <v>0.28297882375135597</v>
      </c>
      <c r="E73" s="36">
        <f>+(D73/$C$2)</f>
        <v>2.5587931044962782E-6</v>
      </c>
      <c r="F73" s="37">
        <v>1964</v>
      </c>
      <c r="G73" s="10"/>
      <c r="H73" s="30">
        <f>+F73*10^-12</f>
        <v>1.9639999999999998E-9</v>
      </c>
      <c r="I73" s="42">
        <v>2</v>
      </c>
      <c r="J73" s="17">
        <f t="shared" si="7"/>
        <v>9.432627458378532E-5</v>
      </c>
      <c r="K73" s="47">
        <f>+(J73/$J$7)*E73</f>
        <v>4.3055236086138519E-14</v>
      </c>
      <c r="L73" s="47">
        <f t="shared" si="8"/>
        <v>0</v>
      </c>
      <c r="M73" s="47">
        <f>+C$6/H73</f>
        <v>7810330543.3048935</v>
      </c>
      <c r="N73" s="29">
        <f t="shared" ref="N73" si="30">+LOG10(($C$6/H73))*E73</f>
        <v>2.5313294282042589E-5</v>
      </c>
      <c r="O73" s="31">
        <f t="shared" si="10"/>
        <v>9.8926694141712339</v>
      </c>
      <c r="P73" s="29">
        <f>+LOG10(($C$6/$H73))*$E73</f>
        <v>2.5313294282042589E-5</v>
      </c>
      <c r="Q73" s="66">
        <f t="shared" ref="Q73" si="31">+LN(M73)</f>
        <v>22.778713122988822</v>
      </c>
      <c r="R73" s="29">
        <f t="shared" ref="R73" si="32">+LOG(($C$6/H73))*E73</f>
        <v>2.5313294282042589E-5</v>
      </c>
    </row>
    <row r="74" spans="1:18" x14ac:dyDescent="0.2">
      <c r="A74" s="10"/>
      <c r="B74" s="10"/>
      <c r="C74" s="10"/>
      <c r="D74" s="41"/>
      <c r="E74" s="36"/>
      <c r="F74" s="37"/>
      <c r="G74" s="10"/>
      <c r="J74" s="17"/>
      <c r="K74" s="47"/>
      <c r="L74" s="47">
        <f t="shared" si="8"/>
        <v>0</v>
      </c>
      <c r="M74" s="47"/>
      <c r="N74" s="29"/>
      <c r="O74" s="31"/>
      <c r="P74" s="29"/>
    </row>
    <row r="75" spans="1:18" x14ac:dyDescent="0.2">
      <c r="A75" s="10"/>
      <c r="B75" s="10" t="s">
        <v>102</v>
      </c>
      <c r="C75" s="10"/>
      <c r="D75" s="41"/>
      <c r="E75" s="36"/>
      <c r="F75" s="37"/>
      <c r="G75" s="10"/>
      <c r="J75" s="17"/>
      <c r="K75" s="47"/>
      <c r="L75" s="47">
        <f t="shared" si="8"/>
        <v>0</v>
      </c>
      <c r="M75" s="47"/>
      <c r="N75" s="29"/>
      <c r="O75" s="31"/>
      <c r="P75" s="29"/>
    </row>
    <row r="76" spans="1:18" x14ac:dyDescent="0.2">
      <c r="A76" s="10">
        <v>1</v>
      </c>
      <c r="B76" s="10" t="s">
        <v>98</v>
      </c>
      <c r="C76" s="11">
        <v>1214000</v>
      </c>
      <c r="D76" s="41">
        <f t="shared" ref="D76" si="33">+C76/21203</f>
        <v>57.256048672357686</v>
      </c>
      <c r="E76" s="36">
        <f>+(D76/$C$2)</f>
        <v>5.1772913814308028E-4</v>
      </c>
      <c r="F76" s="37">
        <v>143990</v>
      </c>
      <c r="G76" s="10"/>
      <c r="H76" s="30">
        <f>+F76*10^-12</f>
        <v>1.4399000000000001E-7</v>
      </c>
      <c r="I76" s="42">
        <v>9804</v>
      </c>
      <c r="J76" s="17">
        <f t="shared" ref="J76:J140" si="34">+I76/$C$1</f>
        <v>0.46238739800971562</v>
      </c>
      <c r="K76" s="47">
        <f>+(J76/$J$7)*E76</f>
        <v>4.2703819249203461E-8</v>
      </c>
      <c r="L76" s="47">
        <f t="shared" ref="L76:L140" si="35">+IF(M76=$M$5,1,0)</f>
        <v>0</v>
      </c>
      <c r="M76" s="47">
        <f>+C$6/H76</f>
        <v>106531628.49538724</v>
      </c>
      <c r="N76" s="29">
        <f t="shared" ref="N76" si="36">+LOG10(($C$6/H76))*E76</f>
        <v>4.1560595593922835E-3</v>
      </c>
      <c r="O76" s="31">
        <f t="shared" ref="O76" si="37">+LOG10(M76)</f>
        <v>8.0274785659131851</v>
      </c>
      <c r="P76" s="29">
        <f t="shared" si="26"/>
        <v>4.1560595593922835E-3</v>
      </c>
      <c r="Q76" s="66">
        <f t="shared" ref="Q76" si="38">+LN(M76)</f>
        <v>18.483952480200919</v>
      </c>
      <c r="R76" s="29">
        <f t="shared" ref="R76" si="39">+LOG(($C$6/H76))*E76</f>
        <v>4.1560595593922835E-3</v>
      </c>
    </row>
    <row r="77" spans="1:18" s="17" customFormat="1" x14ac:dyDescent="0.2">
      <c r="A77" s="10"/>
      <c r="B77" s="10"/>
      <c r="C77" s="11"/>
      <c r="D77" s="41"/>
      <c r="E77" s="36"/>
      <c r="F77" s="37"/>
      <c r="G77" s="10"/>
      <c r="H77" s="30"/>
      <c r="I77" s="42"/>
      <c r="K77" s="47"/>
      <c r="L77" s="47"/>
      <c r="M77" s="47"/>
      <c r="N77" s="29"/>
      <c r="O77" s="31"/>
      <c r="P77" s="31"/>
      <c r="Q77" s="106"/>
      <c r="R77" s="106"/>
    </row>
    <row r="78" spans="1:18" x14ac:dyDescent="0.2">
      <c r="A78" s="10"/>
      <c r="B78" s="10"/>
      <c r="C78" s="11"/>
      <c r="D78" s="41"/>
      <c r="E78" s="36"/>
      <c r="F78" s="37"/>
      <c r="G78" s="10"/>
      <c r="H78" s="5"/>
      <c r="J78" s="17"/>
      <c r="K78" s="47"/>
      <c r="L78" s="47">
        <f t="shared" si="35"/>
        <v>0</v>
      </c>
      <c r="M78" s="47"/>
      <c r="N78" s="29"/>
      <c r="O78" s="31"/>
      <c r="P78" s="31"/>
    </row>
    <row r="79" spans="1:18" x14ac:dyDescent="0.2">
      <c r="A79" s="10"/>
      <c r="B79" s="10" t="s">
        <v>103</v>
      </c>
      <c r="C79" s="10"/>
      <c r="D79" s="41"/>
      <c r="E79" s="36"/>
      <c r="F79" s="37"/>
      <c r="G79" s="10"/>
      <c r="J79" s="17"/>
      <c r="K79" s="47"/>
      <c r="L79" s="47">
        <f t="shared" si="35"/>
        <v>0</v>
      </c>
      <c r="M79" s="47"/>
      <c r="N79" s="29"/>
      <c r="O79" s="31"/>
      <c r="P79" s="31"/>
    </row>
    <row r="80" spans="1:18" x14ac:dyDescent="0.2">
      <c r="A80" s="10">
        <v>1</v>
      </c>
      <c r="B80" s="10" t="s">
        <v>89</v>
      </c>
      <c r="C80" s="11">
        <v>10000</v>
      </c>
      <c r="D80" s="41">
        <f t="shared" ref="D80:D88" si="40">+C80/21203</f>
        <v>0.47163137291892659</v>
      </c>
      <c r="E80" s="36">
        <f t="shared" ref="E80:E88" si="41">+(D80/$C$2)</f>
        <v>4.2646551741604639E-6</v>
      </c>
      <c r="F80" s="37">
        <v>98175</v>
      </c>
      <c r="G80" s="10"/>
      <c r="H80" s="30">
        <f t="shared" ref="H80:H88" si="42">+F80*10^-12</f>
        <v>9.8175000000000004E-8</v>
      </c>
      <c r="I80" s="42">
        <v>79</v>
      </c>
      <c r="J80" s="17">
        <f t="shared" si="34"/>
        <v>3.72588784605952E-3</v>
      </c>
      <c r="K80" s="47">
        <f t="shared" ref="K80:K88" si="43">+(J80/$J$7)*E80</f>
        <v>2.8344697090041194E-12</v>
      </c>
      <c r="L80" s="47">
        <f t="shared" si="35"/>
        <v>0</v>
      </c>
      <c r="M80" s="47">
        <f t="shared" ref="M80:M88" si="44">+C$6/H80</f>
        <v>156246388.45990127</v>
      </c>
      <c r="N80" s="29">
        <f t="shared" ref="N80:N88" si="45">+LOG10(($C$6/H80))*E80</f>
        <v>3.4943774160045959E-5</v>
      </c>
      <c r="O80" s="31">
        <f t="shared" ref="O80:O88" si="46">+LOG10(M80)</f>
        <v>8.1938099876797086</v>
      </c>
      <c r="P80" s="29">
        <f t="shared" ref="P80:P143" si="47">+LOG10(($C$6/$H80))*$E80</f>
        <v>3.4943774160045959E-5</v>
      </c>
      <c r="Q80" s="66">
        <f t="shared" ref="Q80" si="48">+LN(M80)</f>
        <v>18.866944732457025</v>
      </c>
      <c r="R80" s="29">
        <f t="shared" ref="R80:R88" si="49">+LOG(($C$6/H80))*E80</f>
        <v>3.4943774160045959E-5</v>
      </c>
    </row>
    <row r="81" spans="1:18" x14ac:dyDescent="0.2">
      <c r="A81" s="10">
        <v>2</v>
      </c>
      <c r="B81" s="10" t="s">
        <v>90</v>
      </c>
      <c r="C81" s="11">
        <v>340000</v>
      </c>
      <c r="D81" s="41">
        <f t="shared" si="40"/>
        <v>16.035466679243502</v>
      </c>
      <c r="E81" s="36">
        <f t="shared" si="41"/>
        <v>1.4499827592145574E-4</v>
      </c>
      <c r="F81" s="37">
        <v>98175</v>
      </c>
      <c r="G81" s="10"/>
      <c r="H81" s="30">
        <f t="shared" si="42"/>
        <v>9.8175000000000004E-8</v>
      </c>
      <c r="I81" s="42">
        <v>2699</v>
      </c>
      <c r="J81" s="17">
        <f t="shared" si="34"/>
        <v>0.12729330755081827</v>
      </c>
      <c r="K81" s="47">
        <f t="shared" si="43"/>
        <v>3.2925056622338219E-9</v>
      </c>
      <c r="L81" s="47">
        <f t="shared" si="35"/>
        <v>0</v>
      </c>
      <c r="M81" s="47">
        <f t="shared" si="44"/>
        <v>156246388.45990127</v>
      </c>
      <c r="N81" s="29">
        <f t="shared" si="45"/>
        <v>1.1880883214415623E-3</v>
      </c>
      <c r="O81" s="31">
        <f t="shared" si="46"/>
        <v>8.1938099876797086</v>
      </c>
      <c r="P81" s="29">
        <f t="shared" si="47"/>
        <v>1.1880883214415623E-3</v>
      </c>
      <c r="Q81" s="66">
        <f t="shared" ref="Q81:Q88" si="50">+LN(M81)</f>
        <v>18.866944732457025</v>
      </c>
      <c r="R81" s="29">
        <f t="shared" si="49"/>
        <v>1.1880883214415623E-3</v>
      </c>
    </row>
    <row r="82" spans="1:18" x14ac:dyDescent="0.2">
      <c r="A82" s="10">
        <v>3</v>
      </c>
      <c r="B82" s="10" t="s">
        <v>91</v>
      </c>
      <c r="C82" s="11">
        <v>83000</v>
      </c>
      <c r="D82" s="41">
        <f t="shared" si="40"/>
        <v>3.9145403952270903</v>
      </c>
      <c r="E82" s="36">
        <f t="shared" si="41"/>
        <v>3.5396637945531841E-5</v>
      </c>
      <c r="F82" s="37">
        <v>98175</v>
      </c>
      <c r="G82" s="10"/>
      <c r="H82" s="30">
        <f t="shared" si="42"/>
        <v>9.8175000000000004E-8</v>
      </c>
      <c r="I82" s="42">
        <v>659</v>
      </c>
      <c r="J82" s="17">
        <f t="shared" si="34"/>
        <v>3.1080507475357261E-2</v>
      </c>
      <c r="K82" s="47">
        <f t="shared" si="43"/>
        <v>1.9624935401695984E-10</v>
      </c>
      <c r="L82" s="47">
        <f t="shared" si="35"/>
        <v>0</v>
      </c>
      <c r="M82" s="47">
        <f t="shared" si="44"/>
        <v>156246388.45990127</v>
      </c>
      <c r="N82" s="29">
        <f t="shared" si="45"/>
        <v>2.9003332552838136E-4</v>
      </c>
      <c r="O82" s="31">
        <f t="shared" si="46"/>
        <v>8.1938099876797086</v>
      </c>
      <c r="P82" s="29">
        <f t="shared" si="47"/>
        <v>2.9003332552838136E-4</v>
      </c>
      <c r="Q82" s="66">
        <f t="shared" si="50"/>
        <v>18.866944732457025</v>
      </c>
      <c r="R82" s="29">
        <f t="shared" si="49"/>
        <v>2.9003332552838136E-4</v>
      </c>
    </row>
    <row r="83" spans="1:18" x14ac:dyDescent="0.2">
      <c r="A83" s="10">
        <v>4</v>
      </c>
      <c r="B83" s="10" t="s">
        <v>92</v>
      </c>
      <c r="C83" s="11">
        <v>337000</v>
      </c>
      <c r="D83" s="41">
        <f t="shared" si="40"/>
        <v>15.893977267367825</v>
      </c>
      <c r="E83" s="36">
        <f t="shared" si="41"/>
        <v>1.4371887936920761E-4</v>
      </c>
      <c r="F83" s="37">
        <v>98175</v>
      </c>
      <c r="G83" s="10"/>
      <c r="H83" s="30">
        <f t="shared" si="42"/>
        <v>9.8175000000000004E-8</v>
      </c>
      <c r="I83" s="42">
        <v>2675</v>
      </c>
      <c r="J83" s="17">
        <f t="shared" si="34"/>
        <v>0.12616139225581285</v>
      </c>
      <c r="K83" s="47">
        <f t="shared" si="43"/>
        <v>3.2344349125626433E-9</v>
      </c>
      <c r="L83" s="47">
        <f t="shared" si="35"/>
        <v>0</v>
      </c>
      <c r="M83" s="47">
        <f t="shared" si="44"/>
        <v>156246388.45990127</v>
      </c>
      <c r="N83" s="29">
        <f t="shared" si="45"/>
        <v>1.1776051891935486E-3</v>
      </c>
      <c r="O83" s="31">
        <f t="shared" si="46"/>
        <v>8.1938099876797086</v>
      </c>
      <c r="P83" s="29">
        <f t="shared" si="47"/>
        <v>1.1776051891935486E-3</v>
      </c>
      <c r="Q83" s="66">
        <f t="shared" si="50"/>
        <v>18.866944732457025</v>
      </c>
      <c r="R83" s="29">
        <f t="shared" si="49"/>
        <v>1.1776051891935486E-3</v>
      </c>
    </row>
    <row r="84" spans="1:18" x14ac:dyDescent="0.2">
      <c r="A84" s="10">
        <v>5</v>
      </c>
      <c r="B84" s="10" t="s">
        <v>93</v>
      </c>
      <c r="C84" s="11">
        <v>216000</v>
      </c>
      <c r="D84" s="41">
        <f t="shared" si="40"/>
        <v>10.187237655048813</v>
      </c>
      <c r="E84" s="36">
        <f t="shared" si="41"/>
        <v>9.2116551761865998E-5</v>
      </c>
      <c r="F84" s="37">
        <v>98175</v>
      </c>
      <c r="G84" s="10"/>
      <c r="H84" s="30">
        <f t="shared" si="42"/>
        <v>9.8175000000000004E-8</v>
      </c>
      <c r="I84" s="42">
        <v>1714</v>
      </c>
      <c r="J84" s="17">
        <f t="shared" si="34"/>
        <v>8.0837617318304009E-2</v>
      </c>
      <c r="K84" s="47">
        <f t="shared" si="43"/>
        <v>1.3283401437295452E-9</v>
      </c>
      <c r="L84" s="47">
        <f t="shared" si="35"/>
        <v>0</v>
      </c>
      <c r="M84" s="47">
        <f t="shared" si="44"/>
        <v>156246388.45990127</v>
      </c>
      <c r="N84" s="29">
        <f t="shared" si="45"/>
        <v>7.5478552185699252E-4</v>
      </c>
      <c r="O84" s="31">
        <f t="shared" si="46"/>
        <v>8.1938099876797086</v>
      </c>
      <c r="P84" s="29">
        <f t="shared" si="47"/>
        <v>7.5478552185699252E-4</v>
      </c>
      <c r="Q84" s="66">
        <f t="shared" si="50"/>
        <v>18.866944732457025</v>
      </c>
      <c r="R84" s="29">
        <f t="shared" si="49"/>
        <v>7.5478552185699252E-4</v>
      </c>
    </row>
    <row r="85" spans="1:18" x14ac:dyDescent="0.2">
      <c r="A85" s="10">
        <v>6</v>
      </c>
      <c r="B85" s="10" t="s">
        <v>94</v>
      </c>
      <c r="C85" s="11">
        <v>97000</v>
      </c>
      <c r="D85" s="41">
        <f t="shared" si="40"/>
        <v>4.5748243173135874</v>
      </c>
      <c r="E85" s="36">
        <f t="shared" si="41"/>
        <v>4.1367155189356495E-5</v>
      </c>
      <c r="F85" s="37">
        <v>98175</v>
      </c>
      <c r="G85" s="10"/>
      <c r="H85" s="30">
        <f t="shared" si="42"/>
        <v>9.8175000000000004E-8</v>
      </c>
      <c r="I85" s="42">
        <v>770</v>
      </c>
      <c r="J85" s="17">
        <f t="shared" si="34"/>
        <v>3.6315615714757346E-2</v>
      </c>
      <c r="K85" s="47">
        <f t="shared" si="43"/>
        <v>2.6798296527280713E-10</v>
      </c>
      <c r="L85" s="47">
        <f t="shared" si="35"/>
        <v>0</v>
      </c>
      <c r="M85" s="47">
        <f t="shared" si="44"/>
        <v>156246388.45990127</v>
      </c>
      <c r="N85" s="29">
        <f t="shared" si="45"/>
        <v>3.3895460935244576E-4</v>
      </c>
      <c r="O85" s="31">
        <f t="shared" si="46"/>
        <v>8.1938099876797086</v>
      </c>
      <c r="P85" s="29">
        <f t="shared" si="47"/>
        <v>3.3895460935244576E-4</v>
      </c>
      <c r="Q85" s="66">
        <f t="shared" si="50"/>
        <v>18.866944732457025</v>
      </c>
      <c r="R85" s="29">
        <f t="shared" si="49"/>
        <v>3.3895460935244576E-4</v>
      </c>
    </row>
    <row r="86" spans="1:18" x14ac:dyDescent="0.2">
      <c r="A86" s="10">
        <v>7</v>
      </c>
      <c r="B86" s="10" t="s">
        <v>95</v>
      </c>
      <c r="C86" s="11">
        <v>3310000</v>
      </c>
      <c r="D86" s="41">
        <f t="shared" si="40"/>
        <v>156.10998443616469</v>
      </c>
      <c r="E86" s="36">
        <f t="shared" si="41"/>
        <v>1.4116008626471133E-3</v>
      </c>
      <c r="F86" s="37">
        <v>98175</v>
      </c>
      <c r="G86" s="10"/>
      <c r="H86" s="30">
        <f t="shared" si="42"/>
        <v>9.8175000000000004E-8</v>
      </c>
      <c r="I86" s="45">
        <v>26272</v>
      </c>
      <c r="J86" s="17">
        <f t="shared" si="34"/>
        <v>1.239069942932604</v>
      </c>
      <c r="K86" s="47">
        <f t="shared" si="43"/>
        <v>3.1200809231051271E-7</v>
      </c>
      <c r="L86" s="47">
        <f t="shared" si="35"/>
        <v>0</v>
      </c>
      <c r="M86" s="47">
        <f t="shared" si="44"/>
        <v>156246388.45990127</v>
      </c>
      <c r="N86" s="29">
        <f t="shared" si="45"/>
        <v>1.1566389246975209E-2</v>
      </c>
      <c r="O86" s="31">
        <f t="shared" si="46"/>
        <v>8.1938099876797086</v>
      </c>
      <c r="P86" s="29">
        <f t="shared" si="47"/>
        <v>1.1566389246975209E-2</v>
      </c>
      <c r="Q86" s="66">
        <f t="shared" si="50"/>
        <v>18.866944732457025</v>
      </c>
      <c r="R86" s="29">
        <f t="shared" si="49"/>
        <v>1.1566389246975209E-2</v>
      </c>
    </row>
    <row r="87" spans="1:18" x14ac:dyDescent="0.2">
      <c r="A87" s="10">
        <v>8</v>
      </c>
      <c r="B87" s="10" t="s">
        <v>96</v>
      </c>
      <c r="C87" s="11">
        <v>732000</v>
      </c>
      <c r="D87" s="41">
        <f t="shared" si="40"/>
        <v>34.523416497665423</v>
      </c>
      <c r="E87" s="36">
        <f t="shared" si="41"/>
        <v>3.1217275874854592E-4</v>
      </c>
      <c r="F87" s="37">
        <v>98175</v>
      </c>
      <c r="G87" s="10"/>
      <c r="H87" s="30">
        <f t="shared" si="42"/>
        <v>9.8175000000000004E-8</v>
      </c>
      <c r="I87" s="42">
        <v>5810</v>
      </c>
      <c r="J87" s="17">
        <f t="shared" si="34"/>
        <v>0.27401782766589633</v>
      </c>
      <c r="K87" s="47">
        <f t="shared" si="43"/>
        <v>1.5259206221288351E-8</v>
      </c>
      <c r="L87" s="47">
        <f t="shared" si="35"/>
        <v>0</v>
      </c>
      <c r="M87" s="47">
        <f t="shared" si="44"/>
        <v>156246388.45990127</v>
      </c>
      <c r="N87" s="29">
        <f t="shared" si="45"/>
        <v>2.5578842685153639E-3</v>
      </c>
      <c r="O87" s="31">
        <f t="shared" si="46"/>
        <v>8.1938099876797086</v>
      </c>
      <c r="P87" s="29">
        <f t="shared" si="47"/>
        <v>2.5578842685153639E-3</v>
      </c>
      <c r="Q87" s="66">
        <f t="shared" si="50"/>
        <v>18.866944732457025</v>
      </c>
      <c r="R87" s="29">
        <f t="shared" si="49"/>
        <v>2.5578842685153639E-3</v>
      </c>
    </row>
    <row r="88" spans="1:18" x14ac:dyDescent="0.2">
      <c r="A88" s="10">
        <v>9</v>
      </c>
      <c r="B88" s="10" t="s">
        <v>97</v>
      </c>
      <c r="C88" s="11">
        <v>1081000</v>
      </c>
      <c r="D88" s="41">
        <f t="shared" si="40"/>
        <v>50.98335141253596</v>
      </c>
      <c r="E88" s="36">
        <f t="shared" si="41"/>
        <v>4.6100922432674605E-4</v>
      </c>
      <c r="F88" s="37">
        <v>98175</v>
      </c>
      <c r="G88" s="10"/>
      <c r="H88" s="30">
        <f t="shared" si="42"/>
        <v>9.8175000000000004E-8</v>
      </c>
      <c r="I88" s="42">
        <v>8580</v>
      </c>
      <c r="J88" s="17">
        <f t="shared" si="34"/>
        <v>0.404659717964439</v>
      </c>
      <c r="K88" s="47">
        <f t="shared" si="43"/>
        <v>3.3278037799517745E-8</v>
      </c>
      <c r="L88" s="47">
        <f t="shared" si="35"/>
        <v>0</v>
      </c>
      <c r="M88" s="47">
        <f t="shared" si="44"/>
        <v>156246388.45990127</v>
      </c>
      <c r="N88" s="29">
        <f t="shared" si="45"/>
        <v>3.777421986700967E-3</v>
      </c>
      <c r="O88" s="31">
        <f t="shared" si="46"/>
        <v>8.1938099876797086</v>
      </c>
      <c r="P88" s="29">
        <f t="shared" si="47"/>
        <v>3.777421986700967E-3</v>
      </c>
      <c r="Q88" s="66">
        <f t="shared" si="50"/>
        <v>18.866944732457025</v>
      </c>
      <c r="R88" s="29">
        <f t="shared" si="49"/>
        <v>3.777421986700967E-3</v>
      </c>
    </row>
    <row r="89" spans="1:18" x14ac:dyDescent="0.2">
      <c r="A89" s="10"/>
      <c r="B89" s="10"/>
      <c r="C89" s="10"/>
      <c r="D89" s="41"/>
      <c r="E89" s="36"/>
      <c r="F89" s="37"/>
      <c r="G89" s="10"/>
      <c r="J89" s="17"/>
      <c r="K89" s="47"/>
      <c r="L89" s="47">
        <f t="shared" si="35"/>
        <v>0</v>
      </c>
      <c r="M89" s="47"/>
      <c r="N89" s="29"/>
      <c r="O89" s="31"/>
      <c r="P89" s="29"/>
    </row>
    <row r="90" spans="1:18" x14ac:dyDescent="0.2">
      <c r="A90" s="10"/>
      <c r="B90" s="10"/>
      <c r="C90" s="10"/>
      <c r="D90" s="41"/>
      <c r="E90" s="36"/>
      <c r="F90" s="37"/>
      <c r="G90" s="10"/>
      <c r="J90" s="17"/>
      <c r="K90" s="47"/>
      <c r="L90" s="47">
        <f t="shared" si="35"/>
        <v>0</v>
      </c>
      <c r="M90" s="47"/>
      <c r="N90" s="29"/>
      <c r="O90" s="31"/>
      <c r="P90" s="29"/>
    </row>
    <row r="91" spans="1:18" x14ac:dyDescent="0.2">
      <c r="A91" s="10"/>
      <c r="B91" s="10" t="s">
        <v>104</v>
      </c>
      <c r="C91" s="11">
        <v>1040000</v>
      </c>
      <c r="D91" s="41">
        <f t="shared" ref="D91:D93" si="51">+C91/21203</f>
        <v>49.049662783568365</v>
      </c>
      <c r="E91" s="36">
        <f t="shared" ref="E91:E93" si="52">+(D91/$C$2)</f>
        <v>4.4352413811268821E-4</v>
      </c>
      <c r="F91" s="37">
        <v>523599</v>
      </c>
      <c r="G91" s="10"/>
      <c r="H91" s="30">
        <f>+F91*10^-12</f>
        <v>5.2359900000000003E-7</v>
      </c>
      <c r="I91" s="45">
        <v>29323</v>
      </c>
      <c r="J91" s="17">
        <f t="shared" si="34"/>
        <v>1.3829646748101683</v>
      </c>
      <c r="K91" s="47">
        <f>+(J91/$J$7)*E91</f>
        <v>1.0941741960533277E-7</v>
      </c>
      <c r="L91" s="47">
        <f t="shared" si="35"/>
        <v>0</v>
      </c>
      <c r="M91" s="47">
        <f>+C$6/H91</f>
        <v>29296253.787823904</v>
      </c>
      <c r="N91" s="29">
        <f t="shared" ref="N91:N93" si="53">+($C$6/H91)*E91</f>
        <v>12993.595711175174</v>
      </c>
      <c r="O91" s="31">
        <f t="shared" ref="O91:O93" si="54">+LOG10(M91)</f>
        <v>7.4668120891836622</v>
      </c>
      <c r="P91" s="29">
        <f t="shared" si="47"/>
        <v>3.3117113963045848E-3</v>
      </c>
      <c r="Q91" s="66">
        <f t="shared" ref="Q91:Q93" si="55">+LN(M91)</f>
        <v>17.192970208742029</v>
      </c>
      <c r="R91" s="29">
        <f t="shared" ref="R91:R93" si="56">+LOG(($C$6/H91))*E91</f>
        <v>3.3117113963045848E-3</v>
      </c>
    </row>
    <row r="92" spans="1:18" x14ac:dyDescent="0.2">
      <c r="A92" s="10"/>
      <c r="B92" s="10" t="s">
        <v>105</v>
      </c>
      <c r="C92" s="11">
        <v>1986000</v>
      </c>
      <c r="D92" s="41">
        <f t="shared" si="51"/>
        <v>93.665990661698814</v>
      </c>
      <c r="E92" s="36">
        <f t="shared" si="52"/>
        <v>8.4696051758826804E-4</v>
      </c>
      <c r="F92" s="37">
        <v>88698</v>
      </c>
      <c r="G92" s="10"/>
      <c r="H92" s="30">
        <f>+F92*10^-12</f>
        <v>8.8698000000000005E-8</v>
      </c>
      <c r="I92" s="45">
        <v>10219</v>
      </c>
      <c r="J92" s="17">
        <f t="shared" si="34"/>
        <v>0.48196009998585104</v>
      </c>
      <c r="K92" s="47">
        <f>+(J92/$J$7)*E92</f>
        <v>7.2816931226883278E-8</v>
      </c>
      <c r="L92" s="47">
        <f t="shared" si="35"/>
        <v>0</v>
      </c>
      <c r="M92" s="47">
        <f>+C$6/H92</f>
        <v>172940643.385993</v>
      </c>
      <c r="N92" s="29">
        <f t="shared" si="53"/>
        <v>146473.89683424871</v>
      </c>
      <c r="O92" s="31">
        <f t="shared" si="54"/>
        <v>8.237897070335606</v>
      </c>
      <c r="P92" s="29">
        <f t="shared" si="47"/>
        <v>6.9771735665303215E-3</v>
      </c>
      <c r="Q92" s="66">
        <f t="shared" si="55"/>
        <v>18.968458991774089</v>
      </c>
      <c r="R92" s="29">
        <f t="shared" si="56"/>
        <v>6.9771735665303215E-3</v>
      </c>
    </row>
    <row r="93" spans="1:18" x14ac:dyDescent="0.2">
      <c r="A93" s="10"/>
      <c r="B93" s="10" t="s">
        <v>106</v>
      </c>
      <c r="C93" s="11">
        <v>12000</v>
      </c>
      <c r="D93" s="41">
        <f t="shared" si="51"/>
        <v>0.56595764750271194</v>
      </c>
      <c r="E93" s="36">
        <f t="shared" si="52"/>
        <v>5.1175862089925565E-6</v>
      </c>
      <c r="F93" s="37">
        <v>98175</v>
      </c>
      <c r="G93" s="10"/>
      <c r="H93" s="30">
        <f>+F93*10^-12</f>
        <v>9.8175000000000004E-8</v>
      </c>
      <c r="I93" s="42">
        <v>68</v>
      </c>
      <c r="J93" s="17">
        <f t="shared" si="34"/>
        <v>3.2070933358487007E-3</v>
      </c>
      <c r="K93" s="47">
        <f>+(J93/$J$7)*E93</f>
        <v>2.9277560538574192E-12</v>
      </c>
      <c r="L93" s="47">
        <f t="shared" si="35"/>
        <v>0</v>
      </c>
      <c r="M93" s="47">
        <f>+C$6/H93</f>
        <v>156246388.45990127</v>
      </c>
      <c r="N93" s="29">
        <f t="shared" si="53"/>
        <v>799.60436278728446</v>
      </c>
      <c r="O93" s="31">
        <f t="shared" si="54"/>
        <v>8.1938099876797086</v>
      </c>
      <c r="P93" s="29">
        <f t="shared" si="47"/>
        <v>4.1932528992055148E-5</v>
      </c>
      <c r="Q93" s="66">
        <f t="shared" si="55"/>
        <v>18.866944732457025</v>
      </c>
      <c r="R93" s="29">
        <f t="shared" si="56"/>
        <v>4.1932528992055148E-5</v>
      </c>
    </row>
    <row r="94" spans="1:18" x14ac:dyDescent="0.2">
      <c r="A94" s="10"/>
      <c r="B94" s="10"/>
      <c r="C94" s="11"/>
      <c r="D94" s="41"/>
      <c r="E94" s="36"/>
      <c r="F94" s="37"/>
      <c r="G94" s="11"/>
      <c r="H94" s="5"/>
      <c r="J94" s="17"/>
      <c r="K94" s="47"/>
      <c r="L94" s="47">
        <f t="shared" si="35"/>
        <v>0</v>
      </c>
      <c r="M94" s="47"/>
      <c r="N94" s="29"/>
      <c r="O94" s="31"/>
      <c r="P94" s="29"/>
    </row>
    <row r="95" spans="1:18" x14ac:dyDescent="0.2">
      <c r="A95" s="10"/>
      <c r="B95" s="34" t="s">
        <v>107</v>
      </c>
      <c r="C95" s="38"/>
      <c r="D95" s="41"/>
      <c r="E95" s="36"/>
      <c r="F95" s="37"/>
      <c r="G95" s="10"/>
      <c r="J95" s="17"/>
      <c r="K95" s="47"/>
      <c r="L95" s="47">
        <f t="shared" si="35"/>
        <v>0</v>
      </c>
      <c r="M95" s="47"/>
      <c r="N95" s="29"/>
      <c r="O95" s="31"/>
      <c r="P95" s="29"/>
    </row>
    <row r="96" spans="1:18" x14ac:dyDescent="0.2">
      <c r="A96" s="10"/>
      <c r="B96" s="34" t="s">
        <v>108</v>
      </c>
      <c r="C96" s="10"/>
      <c r="D96" s="41"/>
      <c r="E96" s="36"/>
      <c r="F96" s="48" t="s">
        <v>193</v>
      </c>
      <c r="J96" s="17"/>
      <c r="K96" s="47"/>
      <c r="L96" s="47">
        <f t="shared" si="35"/>
        <v>0</v>
      </c>
      <c r="M96" s="47"/>
      <c r="N96" s="29"/>
      <c r="O96" s="31"/>
      <c r="P96" s="29"/>
    </row>
    <row r="97" spans="1:18" x14ac:dyDescent="0.2">
      <c r="A97" s="10">
        <v>1</v>
      </c>
      <c r="B97" s="10" t="s">
        <v>109</v>
      </c>
      <c r="C97" s="11">
        <v>40020</v>
      </c>
      <c r="D97" s="41">
        <f t="shared" ref="D97:D130" si="57">+C97/21203</f>
        <v>1.887468754421544</v>
      </c>
      <c r="E97" s="36">
        <f t="shared" ref="E97:E133" si="58">+(D97/$C$2)</f>
        <v>1.7067150006990175E-5</v>
      </c>
      <c r="F97" s="40">
        <v>0.9375</v>
      </c>
      <c r="G97" s="36">
        <v>3.85E-2</v>
      </c>
      <c r="H97" s="30">
        <f>+G97*10^-3</f>
        <v>3.8500000000000001E-5</v>
      </c>
      <c r="I97" s="45">
        <v>176227</v>
      </c>
      <c r="J97" s="17">
        <f t="shared" si="34"/>
        <v>8.3114181955383675</v>
      </c>
      <c r="K97" s="47">
        <f t="shared" ref="K97:K133" si="59">+(J97/$J$7)*E97</f>
        <v>2.5304296124322693E-8</v>
      </c>
      <c r="L97" s="47">
        <f t="shared" si="35"/>
        <v>0</v>
      </c>
      <c r="M97" s="47">
        <f t="shared" ref="M97:M133" si="60">+C$6/H97</f>
        <v>398428.29057274829</v>
      </c>
      <c r="N97" s="29">
        <f t="shared" ref="N97:N133" si="61">+LOG10(($C$6/H97))*E97</f>
        <v>9.5582016410868562E-5</v>
      </c>
      <c r="O97" s="31">
        <f t="shared" ref="O97" si="62">+LOG10(M97)</f>
        <v>5.6003501681136649</v>
      </c>
      <c r="P97" s="29">
        <f t="shared" si="47"/>
        <v>9.5582016410868562E-5</v>
      </c>
      <c r="Q97" s="66">
        <f t="shared" ref="Q97" si="63">+LN(M97)</f>
        <v>12.895282812645222</v>
      </c>
      <c r="R97" s="29">
        <f t="shared" ref="R97:R133" si="64">+LOG(($C$6/H97))*E97</f>
        <v>9.5582016410868562E-5</v>
      </c>
    </row>
    <row r="98" spans="1:18" x14ac:dyDescent="0.2">
      <c r="A98" s="10">
        <v>2</v>
      </c>
      <c r="B98" s="10" t="s">
        <v>110</v>
      </c>
      <c r="C98" s="11">
        <v>16080</v>
      </c>
      <c r="D98" s="41">
        <f t="shared" si="57"/>
        <v>0.75838324765363396</v>
      </c>
      <c r="E98" s="36">
        <f t="shared" si="58"/>
        <v>6.8575655200500254E-6</v>
      </c>
      <c r="F98" s="40">
        <v>1.5</v>
      </c>
      <c r="G98" s="36"/>
      <c r="H98" s="88">
        <v>1.0120363636363636E-4</v>
      </c>
      <c r="I98" s="45">
        <v>256667</v>
      </c>
      <c r="J98" s="17">
        <f t="shared" si="34"/>
        <v>12.105220959298213</v>
      </c>
      <c r="K98" s="47">
        <f t="shared" si="59"/>
        <v>1.4808150095898027E-8</v>
      </c>
      <c r="L98" s="47">
        <f t="shared" si="35"/>
        <v>0</v>
      </c>
      <c r="M98" s="47">
        <f t="shared" si="60"/>
        <v>151570.53380902493</v>
      </c>
      <c r="N98" s="29">
        <f t="shared" si="61"/>
        <v>3.5526405288917327E-5</v>
      </c>
      <c r="O98" s="31">
        <f t="shared" ref="O98:O133" si="65">+LOG10(M98)</f>
        <v>5.1806147801352926</v>
      </c>
      <c r="P98" s="29">
        <f t="shared" si="47"/>
        <v>3.5526405288917327E-5</v>
      </c>
      <c r="Q98" s="76">
        <f t="shared" ref="Q98:Q133" si="66">+LN(M98)</f>
        <v>11.928806365284151</v>
      </c>
      <c r="R98" s="29">
        <f t="shared" si="64"/>
        <v>3.5526405288917327E-5</v>
      </c>
    </row>
    <row r="99" spans="1:18" x14ac:dyDescent="0.2">
      <c r="A99" s="10">
        <v>3</v>
      </c>
      <c r="B99" s="10" t="s">
        <v>111</v>
      </c>
      <c r="C99" s="11">
        <v>114300</v>
      </c>
      <c r="D99" s="41">
        <f t="shared" si="57"/>
        <v>5.3907465924633309</v>
      </c>
      <c r="E99" s="36">
        <f t="shared" si="58"/>
        <v>4.8745008640654098E-5</v>
      </c>
      <c r="F99" s="40">
        <v>2</v>
      </c>
      <c r="G99" s="36"/>
      <c r="H99" s="88">
        <v>1.0120363636363636E-4</v>
      </c>
      <c r="I99" s="45">
        <v>4012932</v>
      </c>
      <c r="J99" s="17">
        <f t="shared" si="34"/>
        <v>189.26246285902937</v>
      </c>
      <c r="K99" s="47">
        <f t="shared" si="59"/>
        <v>1.6457079226138305E-6</v>
      </c>
      <c r="L99" s="47">
        <f t="shared" si="35"/>
        <v>0</v>
      </c>
      <c r="M99" s="47">
        <f t="shared" si="60"/>
        <v>151570.53380902493</v>
      </c>
      <c r="N99" s="29">
        <f t="shared" si="61"/>
        <v>2.5252911222159517E-4</v>
      </c>
      <c r="O99" s="31">
        <f t="shared" si="65"/>
        <v>5.1806147801352926</v>
      </c>
      <c r="P99" s="29">
        <f t="shared" si="47"/>
        <v>2.5252911222159517E-4</v>
      </c>
      <c r="Q99" s="76">
        <f t="shared" si="66"/>
        <v>11.928806365284151</v>
      </c>
      <c r="R99" s="29">
        <f t="shared" si="64"/>
        <v>2.5252911222159517E-4</v>
      </c>
    </row>
    <row r="100" spans="1:18" x14ac:dyDescent="0.2">
      <c r="A100" s="10">
        <v>4</v>
      </c>
      <c r="B100" s="10" t="s">
        <v>112</v>
      </c>
      <c r="C100" s="10">
        <v>2190</v>
      </c>
      <c r="D100" s="41">
        <f t="shared" si="57"/>
        <v>0.10328727066924492</v>
      </c>
      <c r="E100" s="36">
        <f t="shared" si="58"/>
        <v>9.3395948314114148E-7</v>
      </c>
      <c r="F100" s="40">
        <v>1</v>
      </c>
      <c r="G100" s="36"/>
      <c r="H100" s="88">
        <v>1.0120363636363636E-4</v>
      </c>
      <c r="I100" s="45">
        <v>11509</v>
      </c>
      <c r="J100" s="17">
        <f t="shared" si="34"/>
        <v>0.54280054709239256</v>
      </c>
      <c r="K100" s="47">
        <f t="shared" si="59"/>
        <v>9.0432894961054684E-11</v>
      </c>
      <c r="L100" s="47">
        <f t="shared" si="35"/>
        <v>0</v>
      </c>
      <c r="M100" s="47">
        <f t="shared" si="60"/>
        <v>151570.53380902493</v>
      </c>
      <c r="N100" s="29">
        <f t="shared" si="61"/>
        <v>4.8384843024085159E-6</v>
      </c>
      <c r="O100" s="31">
        <f t="shared" si="65"/>
        <v>5.1806147801352926</v>
      </c>
      <c r="P100" s="29">
        <f t="shared" si="47"/>
        <v>4.8384843024085159E-6</v>
      </c>
      <c r="Q100" s="76">
        <f t="shared" si="66"/>
        <v>11.928806365284151</v>
      </c>
      <c r="R100" s="29">
        <f t="shared" si="64"/>
        <v>4.8384843024085159E-6</v>
      </c>
    </row>
    <row r="101" spans="1:18" x14ac:dyDescent="0.2">
      <c r="A101" s="10">
        <v>5</v>
      </c>
      <c r="B101" s="10" t="s">
        <v>113</v>
      </c>
      <c r="C101" s="11">
        <v>47120</v>
      </c>
      <c r="D101" s="41">
        <f t="shared" si="57"/>
        <v>2.2223270291939818</v>
      </c>
      <c r="E101" s="36">
        <f t="shared" si="58"/>
        <v>2.0095055180644101E-5</v>
      </c>
      <c r="F101" s="40">
        <v>1.1666000000000001</v>
      </c>
      <c r="G101" s="36">
        <v>0.1767</v>
      </c>
      <c r="H101" s="30">
        <f t="shared" ref="H101:H102" si="67">+G101*10^-3</f>
        <v>1.7670000000000001E-4</v>
      </c>
      <c r="I101" s="45">
        <v>377775</v>
      </c>
      <c r="J101" s="17">
        <f t="shared" si="34"/>
        <v>17.817054190444747</v>
      </c>
      <c r="K101" s="47">
        <f t="shared" si="59"/>
        <v>6.3867986516851566E-8</v>
      </c>
      <c r="L101" s="47">
        <f t="shared" si="35"/>
        <v>0</v>
      </c>
      <c r="M101" s="47">
        <f t="shared" si="60"/>
        <v>86810.917866727832</v>
      </c>
      <c r="N101" s="29">
        <f t="shared" si="61"/>
        <v>9.9240924039092467E-5</v>
      </c>
      <c r="O101" s="31">
        <f t="shared" si="65"/>
        <v>4.9385743481154014</v>
      </c>
      <c r="P101" s="29">
        <f t="shared" si="47"/>
        <v>9.9240924039092467E-5</v>
      </c>
      <c r="Q101" s="76">
        <f t="shared" si="66"/>
        <v>11.371487674613309</v>
      </c>
      <c r="R101" s="29">
        <f t="shared" si="64"/>
        <v>9.9240924039092467E-5</v>
      </c>
    </row>
    <row r="102" spans="1:18" x14ac:dyDescent="0.2">
      <c r="A102" s="10">
        <v>6</v>
      </c>
      <c r="B102" s="10" t="s">
        <v>114</v>
      </c>
      <c r="C102" s="11">
        <v>129440</v>
      </c>
      <c r="D102" s="41">
        <f t="shared" si="57"/>
        <v>6.1047964910625856</v>
      </c>
      <c r="E102" s="36">
        <f t="shared" si="58"/>
        <v>5.5201696574333041E-5</v>
      </c>
      <c r="F102" s="40">
        <v>1.5</v>
      </c>
      <c r="G102" s="36">
        <v>0.26</v>
      </c>
      <c r="H102" s="30">
        <f t="shared" si="67"/>
        <v>2.6000000000000003E-4</v>
      </c>
      <c r="I102" s="45">
        <v>2066103</v>
      </c>
      <c r="J102" s="17">
        <f t="shared" si="34"/>
        <v>97.443899448191289</v>
      </c>
      <c r="K102" s="47">
        <f t="shared" si="59"/>
        <v>9.5954467902150326E-7</v>
      </c>
      <c r="L102" s="47">
        <f t="shared" si="35"/>
        <v>0</v>
      </c>
      <c r="M102" s="47">
        <f t="shared" si="60"/>
        <v>58998.035334810796</v>
      </c>
      <c r="N102" s="29">
        <f t="shared" si="61"/>
        <v>2.6335832682128818E-4</v>
      </c>
      <c r="O102" s="31">
        <f t="shared" si="65"/>
        <v>4.7708375496513469</v>
      </c>
      <c r="P102" s="29">
        <f t="shared" si="47"/>
        <v>2.6335832682128818E-4</v>
      </c>
      <c r="Q102" s="76">
        <f t="shared" si="66"/>
        <v>10.985259422923432</v>
      </c>
      <c r="R102" s="29">
        <f t="shared" si="64"/>
        <v>2.6335832682128818E-4</v>
      </c>
    </row>
    <row r="103" spans="1:18" x14ac:dyDescent="0.2">
      <c r="A103" s="10">
        <v>7</v>
      </c>
      <c r="B103" s="10" t="s">
        <v>115</v>
      </c>
      <c r="C103" s="11">
        <v>112340</v>
      </c>
      <c r="D103" s="41">
        <f t="shared" si="57"/>
        <v>5.298306843371221</v>
      </c>
      <c r="E103" s="36">
        <f t="shared" si="58"/>
        <v>4.7909136226518643E-5</v>
      </c>
      <c r="F103" s="40">
        <v>0.65</v>
      </c>
      <c r="G103" s="36"/>
      <c r="H103" s="88">
        <v>1.0120363636363636E-4</v>
      </c>
      <c r="I103" s="45">
        <v>181347</v>
      </c>
      <c r="J103" s="17">
        <f t="shared" si="34"/>
        <v>8.5528934584728571</v>
      </c>
      <c r="K103" s="47">
        <f t="shared" si="59"/>
        <v>7.3095311959912168E-8</v>
      </c>
      <c r="L103" s="47">
        <f t="shared" si="35"/>
        <v>0</v>
      </c>
      <c r="M103" s="47">
        <f t="shared" si="60"/>
        <v>151570.53380902493</v>
      </c>
      <c r="N103" s="29">
        <f t="shared" si="61"/>
        <v>2.4819877923861768E-4</v>
      </c>
      <c r="O103" s="31">
        <f t="shared" si="65"/>
        <v>5.1806147801352926</v>
      </c>
      <c r="P103" s="29">
        <f t="shared" si="47"/>
        <v>2.4819877923861768E-4</v>
      </c>
      <c r="Q103" s="76">
        <f t="shared" si="66"/>
        <v>11.928806365284151</v>
      </c>
      <c r="R103" s="29">
        <f t="shared" si="64"/>
        <v>2.4819877923861768E-4</v>
      </c>
    </row>
    <row r="104" spans="1:18" x14ac:dyDescent="0.2">
      <c r="A104" s="10">
        <v>8</v>
      </c>
      <c r="B104" s="10" t="s">
        <v>116</v>
      </c>
      <c r="C104" s="10">
        <v>6810</v>
      </c>
      <c r="D104" s="41">
        <f t="shared" si="57"/>
        <v>0.32118096495778897</v>
      </c>
      <c r="E104" s="36">
        <f t="shared" si="58"/>
        <v>2.9042301736032752E-6</v>
      </c>
      <c r="F104" s="40">
        <v>0.66</v>
      </c>
      <c r="G104" s="36"/>
      <c r="H104" s="88">
        <v>1.0120363636363636E-4</v>
      </c>
      <c r="I104" s="42">
        <v>8543</v>
      </c>
      <c r="J104" s="17">
        <f t="shared" si="34"/>
        <v>0.40291468188463897</v>
      </c>
      <c r="K104" s="47">
        <f t="shared" si="59"/>
        <v>2.0873835046910264E-10</v>
      </c>
      <c r="L104" s="47">
        <f t="shared" si="35"/>
        <v>0</v>
      </c>
      <c r="M104" s="47">
        <f t="shared" si="60"/>
        <v>151570.53380902493</v>
      </c>
      <c r="N104" s="29">
        <f t="shared" si="61"/>
        <v>1.5045697762284015E-5</v>
      </c>
      <c r="O104" s="31">
        <f t="shared" si="65"/>
        <v>5.1806147801352926</v>
      </c>
      <c r="P104" s="29">
        <f t="shared" si="47"/>
        <v>1.5045697762284015E-5</v>
      </c>
      <c r="Q104" s="76">
        <f t="shared" si="66"/>
        <v>11.928806365284151</v>
      </c>
      <c r="R104" s="29">
        <f t="shared" si="64"/>
        <v>1.5045697762284015E-5</v>
      </c>
    </row>
    <row r="105" spans="1:18" x14ac:dyDescent="0.2">
      <c r="A105" s="10">
        <v>9</v>
      </c>
      <c r="B105" s="10" t="s">
        <v>117</v>
      </c>
      <c r="C105" s="10">
        <v>200</v>
      </c>
      <c r="D105" s="41">
        <f t="shared" si="57"/>
        <v>9.432627458378532E-3</v>
      </c>
      <c r="E105" s="36">
        <f t="shared" si="58"/>
        <v>8.5293103483209279E-8</v>
      </c>
      <c r="F105" s="40">
        <v>1.75</v>
      </c>
      <c r="G105" s="36">
        <v>6.1499999999999999E-2</v>
      </c>
      <c r="H105" s="30">
        <f t="shared" ref="H105:H106" si="68">+G105*10^-3</f>
        <v>6.1500000000000004E-5</v>
      </c>
      <c r="I105" s="42">
        <v>1697</v>
      </c>
      <c r="J105" s="17">
        <f t="shared" si="34"/>
        <v>8.003584398434184E-2</v>
      </c>
      <c r="K105" s="47">
        <f t="shared" si="59"/>
        <v>1.2177455939696177E-12</v>
      </c>
      <c r="L105" s="47">
        <f t="shared" si="35"/>
        <v>0</v>
      </c>
      <c r="M105" s="47">
        <f t="shared" si="60"/>
        <v>249422.58840733021</v>
      </c>
      <c r="N105" s="29">
        <f t="shared" si="61"/>
        <v>4.6032140213328967E-7</v>
      </c>
      <c r="O105" s="31">
        <f t="shared" si="65"/>
        <v>5.3969357818467483</v>
      </c>
      <c r="P105" s="29">
        <f t="shared" si="47"/>
        <v>4.6032140213328967E-7</v>
      </c>
      <c r="Q105" s="76">
        <f t="shared" si="66"/>
        <v>12.426903879126488</v>
      </c>
      <c r="R105" s="29">
        <f t="shared" si="64"/>
        <v>4.6032140213328967E-7</v>
      </c>
    </row>
    <row r="106" spans="1:18" x14ac:dyDescent="0.2">
      <c r="A106" s="10">
        <v>10</v>
      </c>
      <c r="B106" s="10" t="s">
        <v>118</v>
      </c>
      <c r="C106" s="11">
        <v>144420</v>
      </c>
      <c r="D106" s="41">
        <f t="shared" si="57"/>
        <v>6.8113002876951372</v>
      </c>
      <c r="E106" s="36">
        <f t="shared" si="58"/>
        <v>6.1590150025225409E-5</v>
      </c>
      <c r="F106" s="40">
        <v>1</v>
      </c>
      <c r="G106" s="36">
        <v>0.1308</v>
      </c>
      <c r="H106" s="30">
        <f t="shared" si="68"/>
        <v>1.3080000000000001E-4</v>
      </c>
      <c r="I106" s="45">
        <v>409077</v>
      </c>
      <c r="J106" s="17">
        <f t="shared" si="34"/>
        <v>19.293354713955573</v>
      </c>
      <c r="K106" s="47">
        <f t="shared" si="59"/>
        <v>2.1197133348734573E-7</v>
      </c>
      <c r="L106" s="47">
        <f t="shared" si="35"/>
        <v>0</v>
      </c>
      <c r="M106" s="47">
        <f t="shared" si="60"/>
        <v>117274.382163997</v>
      </c>
      <c r="N106" s="29">
        <f t="shared" si="61"/>
        <v>3.1221298274065873E-4</v>
      </c>
      <c r="O106" s="31">
        <f t="shared" si="65"/>
        <v>5.069203153633917</v>
      </c>
      <c r="P106" s="29">
        <f t="shared" si="47"/>
        <v>3.1221298274065873E-4</v>
      </c>
      <c r="Q106" s="76">
        <f t="shared" si="66"/>
        <v>11.672271614915863</v>
      </c>
      <c r="R106" s="29">
        <f t="shared" si="64"/>
        <v>3.1221298274065873E-4</v>
      </c>
    </row>
    <row r="107" spans="1:18" x14ac:dyDescent="0.2">
      <c r="A107" s="10">
        <v>11</v>
      </c>
      <c r="B107" s="10" t="s">
        <v>119</v>
      </c>
      <c r="C107" s="10">
        <v>120</v>
      </c>
      <c r="D107" s="41">
        <f t="shared" si="57"/>
        <v>5.6595764750271187E-3</v>
      </c>
      <c r="E107" s="36">
        <f t="shared" si="58"/>
        <v>5.1175862089925561E-8</v>
      </c>
      <c r="F107" s="40">
        <v>0.65</v>
      </c>
      <c r="G107" s="36"/>
      <c r="H107" s="88">
        <v>1.0120363636363636E-4</v>
      </c>
      <c r="I107" s="42">
        <v>146</v>
      </c>
      <c r="J107" s="17">
        <f t="shared" si="34"/>
        <v>6.8858180446163281E-3</v>
      </c>
      <c r="K107" s="47">
        <f t="shared" si="59"/>
        <v>6.2860644685762232E-14</v>
      </c>
      <c r="L107" s="47">
        <f t="shared" si="35"/>
        <v>0</v>
      </c>
      <c r="M107" s="47">
        <f t="shared" si="60"/>
        <v>151570.53380902493</v>
      </c>
      <c r="N107" s="29">
        <f t="shared" si="61"/>
        <v>2.6512242752923375E-7</v>
      </c>
      <c r="O107" s="31">
        <f t="shared" si="65"/>
        <v>5.1806147801352926</v>
      </c>
      <c r="P107" s="29">
        <f t="shared" si="47"/>
        <v>2.6512242752923375E-7</v>
      </c>
      <c r="Q107" s="76">
        <f t="shared" si="66"/>
        <v>11.928806365284151</v>
      </c>
      <c r="R107" s="29">
        <f t="shared" si="64"/>
        <v>2.6512242752923375E-7</v>
      </c>
    </row>
    <row r="108" spans="1:18" x14ac:dyDescent="0.2">
      <c r="A108" s="10">
        <v>12</v>
      </c>
      <c r="B108" s="10" t="s">
        <v>120</v>
      </c>
      <c r="C108" s="10">
        <v>2330</v>
      </c>
      <c r="D108" s="41">
        <f t="shared" si="57"/>
        <v>0.10989010989010989</v>
      </c>
      <c r="E108" s="36">
        <f t="shared" si="58"/>
        <v>9.9366465557938802E-7</v>
      </c>
      <c r="F108" s="40">
        <v>0.9</v>
      </c>
      <c r="G108" s="36"/>
      <c r="H108" s="88">
        <v>1.0120363636363636E-4</v>
      </c>
      <c r="I108" s="42">
        <v>9174</v>
      </c>
      <c r="J108" s="17">
        <f t="shared" si="34"/>
        <v>0.43267462151582325</v>
      </c>
      <c r="K108" s="47">
        <f t="shared" si="59"/>
        <v>7.6693646211697252E-11</v>
      </c>
      <c r="L108" s="47">
        <f t="shared" si="35"/>
        <v>0</v>
      </c>
      <c r="M108" s="47">
        <f t="shared" si="60"/>
        <v>151570.53380902493</v>
      </c>
      <c r="N108" s="29">
        <f t="shared" si="61"/>
        <v>5.1477938011926228E-6</v>
      </c>
      <c r="O108" s="31">
        <f t="shared" si="65"/>
        <v>5.1806147801352926</v>
      </c>
      <c r="P108" s="29">
        <f t="shared" si="47"/>
        <v>5.1477938011926228E-6</v>
      </c>
      <c r="Q108" s="76">
        <f t="shared" si="66"/>
        <v>11.928806365284151</v>
      </c>
      <c r="R108" s="29">
        <f t="shared" si="64"/>
        <v>5.1477938011926228E-6</v>
      </c>
    </row>
    <row r="109" spans="1:18" x14ac:dyDescent="0.2">
      <c r="A109" s="10">
        <v>13</v>
      </c>
      <c r="B109" s="10" t="s">
        <v>121</v>
      </c>
      <c r="C109" s="11">
        <v>93090</v>
      </c>
      <c r="D109" s="41">
        <f t="shared" si="57"/>
        <v>4.3904164505022871</v>
      </c>
      <c r="E109" s="36">
        <f t="shared" si="58"/>
        <v>3.9699675016259753E-5</v>
      </c>
      <c r="F109" s="40">
        <v>4</v>
      </c>
      <c r="G109" s="36"/>
      <c r="H109" s="88">
        <v>1.0120363636363636E-4</v>
      </c>
      <c r="I109" s="45">
        <v>21834378</v>
      </c>
      <c r="J109" s="17">
        <f t="shared" si="34"/>
        <v>1029.7777672970806</v>
      </c>
      <c r="K109" s="47">
        <f t="shared" si="59"/>
        <v>7.2927039540227939E-6</v>
      </c>
      <c r="L109" s="47">
        <f t="shared" si="35"/>
        <v>0</v>
      </c>
      <c r="M109" s="47">
        <f t="shared" si="60"/>
        <v>151570.53380902493</v>
      </c>
      <c r="N109" s="29">
        <f t="shared" si="61"/>
        <v>2.0566872315580309E-4</v>
      </c>
      <c r="O109" s="31">
        <f t="shared" si="65"/>
        <v>5.1806147801352926</v>
      </c>
      <c r="P109" s="29">
        <f t="shared" si="47"/>
        <v>2.0566872315580309E-4</v>
      </c>
      <c r="Q109" s="76">
        <f t="shared" si="66"/>
        <v>11.928806365284151</v>
      </c>
      <c r="R109" s="29">
        <f t="shared" si="64"/>
        <v>2.0566872315580309E-4</v>
      </c>
    </row>
    <row r="110" spans="1:18" x14ac:dyDescent="0.2">
      <c r="A110" s="10">
        <v>14</v>
      </c>
      <c r="B110" s="10" t="s">
        <v>122</v>
      </c>
      <c r="C110" s="11">
        <v>34450</v>
      </c>
      <c r="D110" s="41">
        <f t="shared" si="57"/>
        <v>1.6247700797057021</v>
      </c>
      <c r="E110" s="36">
        <f t="shared" si="58"/>
        <v>1.4691737074982797E-5</v>
      </c>
      <c r="F110" s="40">
        <v>1.08</v>
      </c>
      <c r="G110" s="36"/>
      <c r="H110" s="88">
        <v>1.0120363636363636E-4</v>
      </c>
      <c r="I110" s="45">
        <v>223544</v>
      </c>
      <c r="J110" s="17">
        <f t="shared" si="34"/>
        <v>10.543036362778851</v>
      </c>
      <c r="K110" s="47">
        <f t="shared" si="59"/>
        <v>2.7631023542899109E-8</v>
      </c>
      <c r="L110" s="47">
        <f t="shared" si="35"/>
        <v>0</v>
      </c>
      <c r="M110" s="47">
        <f t="shared" si="60"/>
        <v>151570.53380902493</v>
      </c>
      <c r="N110" s="29">
        <f t="shared" si="61"/>
        <v>7.6112230236517533E-5</v>
      </c>
      <c r="O110" s="31">
        <f t="shared" si="65"/>
        <v>5.1806147801352926</v>
      </c>
      <c r="P110" s="29">
        <f t="shared" si="47"/>
        <v>7.6112230236517533E-5</v>
      </c>
      <c r="Q110" s="76">
        <f t="shared" si="66"/>
        <v>11.928806365284151</v>
      </c>
      <c r="R110" s="29">
        <f t="shared" si="64"/>
        <v>7.6112230236517533E-5</v>
      </c>
    </row>
    <row r="111" spans="1:18" x14ac:dyDescent="0.2">
      <c r="A111" s="10">
        <v>15</v>
      </c>
      <c r="B111" s="10" t="s">
        <v>123</v>
      </c>
      <c r="C111" s="10">
        <v>280</v>
      </c>
      <c r="D111" s="41">
        <f t="shared" si="57"/>
        <v>1.3205678441729944E-2</v>
      </c>
      <c r="E111" s="36">
        <f t="shared" si="58"/>
        <v>1.1941034487649298E-7</v>
      </c>
      <c r="F111" s="40">
        <v>2.5</v>
      </c>
      <c r="G111" s="36"/>
      <c r="H111" s="88">
        <v>1.0120363636363636E-4</v>
      </c>
      <c r="I111" s="45">
        <v>18118</v>
      </c>
      <c r="J111" s="17">
        <f t="shared" si="34"/>
        <v>0.8545017214545112</v>
      </c>
      <c r="K111" s="47">
        <f t="shared" si="59"/>
        <v>1.8201744572868678E-11</v>
      </c>
      <c r="L111" s="47">
        <f t="shared" si="35"/>
        <v>0</v>
      </c>
      <c r="M111" s="47">
        <f t="shared" si="60"/>
        <v>151570.53380902493</v>
      </c>
      <c r="N111" s="29">
        <f t="shared" si="61"/>
        <v>6.1861899756821213E-7</v>
      </c>
      <c r="O111" s="31">
        <f t="shared" si="65"/>
        <v>5.1806147801352926</v>
      </c>
      <c r="P111" s="29">
        <f t="shared" si="47"/>
        <v>6.1861899756821213E-7</v>
      </c>
      <c r="Q111" s="76">
        <f t="shared" si="66"/>
        <v>11.928806365284151</v>
      </c>
      <c r="R111" s="29">
        <f t="shared" si="64"/>
        <v>6.1861899756821213E-7</v>
      </c>
    </row>
    <row r="112" spans="1:18" x14ac:dyDescent="0.2">
      <c r="A112" s="10">
        <v>16</v>
      </c>
      <c r="B112" s="10" t="s">
        <v>124</v>
      </c>
      <c r="C112" s="11">
        <v>19930</v>
      </c>
      <c r="D112" s="41">
        <f t="shared" si="57"/>
        <v>0.93996132622742068</v>
      </c>
      <c r="E112" s="36">
        <f t="shared" si="58"/>
        <v>8.4994577621018036E-6</v>
      </c>
      <c r="F112" s="40">
        <v>0.5</v>
      </c>
      <c r="G112" s="36"/>
      <c r="H112" s="88">
        <v>1.0120363636363636E-4</v>
      </c>
      <c r="I112" s="45">
        <v>14510</v>
      </c>
      <c r="J112" s="17">
        <f t="shared" si="34"/>
        <v>0.68433712210536246</v>
      </c>
      <c r="K112" s="47">
        <f t="shared" si="59"/>
        <v>1.0375748590753923E-9</v>
      </c>
      <c r="L112" s="47">
        <f t="shared" si="35"/>
        <v>0</v>
      </c>
      <c r="M112" s="47">
        <f t="shared" si="60"/>
        <v>151570.53380902493</v>
      </c>
      <c r="N112" s="29">
        <f t="shared" si="61"/>
        <v>4.4032416505480239E-5</v>
      </c>
      <c r="O112" s="31">
        <f t="shared" si="65"/>
        <v>5.1806147801352926</v>
      </c>
      <c r="P112" s="29">
        <f t="shared" si="47"/>
        <v>4.4032416505480239E-5</v>
      </c>
      <c r="Q112" s="76">
        <f t="shared" si="66"/>
        <v>11.928806365284151</v>
      </c>
      <c r="R112" s="29">
        <f t="shared" si="64"/>
        <v>4.4032416505480239E-5</v>
      </c>
    </row>
    <row r="113" spans="1:18" x14ac:dyDescent="0.2">
      <c r="A113" s="10">
        <v>17</v>
      </c>
      <c r="B113" s="10" t="s">
        <v>125</v>
      </c>
      <c r="C113" s="10">
        <v>10</v>
      </c>
      <c r="D113" s="41">
        <f t="shared" si="57"/>
        <v>4.7163137291892656E-4</v>
      </c>
      <c r="E113" s="36">
        <f t="shared" si="58"/>
        <v>4.2646551741604631E-9</v>
      </c>
      <c r="F113" s="40">
        <v>1.2</v>
      </c>
      <c r="G113" s="36">
        <v>0.18740000000000001</v>
      </c>
      <c r="H113" s="30">
        <f>+G113*10^-3</f>
        <v>1.874E-4</v>
      </c>
      <c r="I113" s="42">
        <v>87</v>
      </c>
      <c r="J113" s="17">
        <f t="shared" si="34"/>
        <v>4.1031929443946609E-3</v>
      </c>
      <c r="K113" s="47">
        <f t="shared" si="59"/>
        <v>3.1215046162450421E-15</v>
      </c>
      <c r="L113" s="47">
        <f t="shared" si="35"/>
        <v>0</v>
      </c>
      <c r="M113" s="47">
        <f t="shared" si="60"/>
        <v>81854.264605393852</v>
      </c>
      <c r="N113" s="29">
        <f t="shared" si="61"/>
        <v>2.0952427048120509E-8</v>
      </c>
      <c r="O113" s="31">
        <f t="shared" si="65"/>
        <v>4.9130413110704056</v>
      </c>
      <c r="P113" s="29">
        <f t="shared" si="47"/>
        <v>2.0952427048120509E-8</v>
      </c>
      <c r="Q113" s="76">
        <f t="shared" si="66"/>
        <v>11.312695684134638</v>
      </c>
      <c r="R113" s="29">
        <f t="shared" si="64"/>
        <v>2.0952427048120509E-8</v>
      </c>
    </row>
    <row r="114" spans="1:18" x14ac:dyDescent="0.2">
      <c r="A114" s="10">
        <v>18</v>
      </c>
      <c r="B114" s="10" t="s">
        <v>126</v>
      </c>
      <c r="C114" s="10">
        <v>4910</v>
      </c>
      <c r="D114" s="41">
        <f t="shared" si="57"/>
        <v>0.23157100410319295</v>
      </c>
      <c r="E114" s="36">
        <f t="shared" si="58"/>
        <v>2.0939456905127877E-6</v>
      </c>
      <c r="F114" s="40">
        <v>0.8</v>
      </c>
      <c r="G114" s="36"/>
      <c r="H114" s="88">
        <v>1.0120363636363636E-4</v>
      </c>
      <c r="I114" s="42">
        <v>8981</v>
      </c>
      <c r="J114" s="17">
        <f t="shared" si="34"/>
        <v>0.42357213601848798</v>
      </c>
      <c r="K114" s="47">
        <f t="shared" si="59"/>
        <v>1.5821618830599879E-10</v>
      </c>
      <c r="L114" s="47">
        <f t="shared" si="35"/>
        <v>0</v>
      </c>
      <c r="M114" s="47">
        <f t="shared" si="60"/>
        <v>151570.53380902493</v>
      </c>
      <c r="N114" s="29">
        <f t="shared" si="61"/>
        <v>1.084792599307115E-5</v>
      </c>
      <c r="O114" s="31">
        <f t="shared" si="65"/>
        <v>5.1806147801352926</v>
      </c>
      <c r="P114" s="29">
        <f t="shared" si="47"/>
        <v>1.084792599307115E-5</v>
      </c>
      <c r="Q114" s="76">
        <f t="shared" si="66"/>
        <v>11.928806365284151</v>
      </c>
      <c r="R114" s="29">
        <f t="shared" si="64"/>
        <v>1.084792599307115E-5</v>
      </c>
    </row>
    <row r="115" spans="1:18" x14ac:dyDescent="0.2">
      <c r="A115" s="10">
        <v>19</v>
      </c>
      <c r="B115" s="10" t="s">
        <v>127</v>
      </c>
      <c r="C115" s="11">
        <v>18330</v>
      </c>
      <c r="D115" s="41">
        <f t="shared" si="57"/>
        <v>0.86450030656039245</v>
      </c>
      <c r="E115" s="36">
        <f t="shared" si="58"/>
        <v>7.8171129342361305E-6</v>
      </c>
      <c r="F115" s="40">
        <v>1.03</v>
      </c>
      <c r="G115" s="36">
        <v>0.13750000000000001</v>
      </c>
      <c r="H115" s="30">
        <f>+G115*10^-3</f>
        <v>1.3750000000000001E-4</v>
      </c>
      <c r="I115" s="45">
        <v>104803</v>
      </c>
      <c r="J115" s="17">
        <f t="shared" si="34"/>
        <v>4.9428382776022257</v>
      </c>
      <c r="K115" s="47">
        <f t="shared" si="59"/>
        <v>6.8925656037605903E-9</v>
      </c>
      <c r="L115" s="47">
        <f t="shared" si="35"/>
        <v>0</v>
      </c>
      <c r="M115" s="47">
        <f t="shared" si="60"/>
        <v>111559.92136036951</v>
      </c>
      <c r="N115" s="29">
        <f t="shared" si="61"/>
        <v>3.9456941631629511E-5</v>
      </c>
      <c r="O115" s="31">
        <f t="shared" si="65"/>
        <v>5.0475081994558835</v>
      </c>
      <c r="P115" s="29">
        <f t="shared" si="47"/>
        <v>3.9456941631629511E-5</v>
      </c>
      <c r="Q115" s="76">
        <f t="shared" si="66"/>
        <v>11.622317136832335</v>
      </c>
      <c r="R115" s="29">
        <f t="shared" si="64"/>
        <v>3.9456941631629511E-5</v>
      </c>
    </row>
    <row r="116" spans="1:18" x14ac:dyDescent="0.2">
      <c r="A116" s="10">
        <v>20</v>
      </c>
      <c r="B116" s="10" t="s">
        <v>128</v>
      </c>
      <c r="C116" s="11">
        <v>10550</v>
      </c>
      <c r="D116" s="41">
        <f t="shared" si="57"/>
        <v>0.49757109842946751</v>
      </c>
      <c r="E116" s="36">
        <f t="shared" si="58"/>
        <v>4.4992112087392887E-6</v>
      </c>
      <c r="F116" s="40">
        <v>0.7</v>
      </c>
      <c r="G116" s="36"/>
      <c r="H116" s="88">
        <v>1.0120363636363636E-4</v>
      </c>
      <c r="I116" s="45">
        <v>14853</v>
      </c>
      <c r="J116" s="17">
        <f t="shared" si="34"/>
        <v>0.70051407819648159</v>
      </c>
      <c r="K116" s="47">
        <f t="shared" si="59"/>
        <v>5.6222657481226927E-10</v>
      </c>
      <c r="L116" s="47">
        <f t="shared" si="35"/>
        <v>0</v>
      </c>
      <c r="M116" s="47">
        <f t="shared" si="60"/>
        <v>151570.53380902493</v>
      </c>
      <c r="N116" s="29">
        <f t="shared" si="61"/>
        <v>2.3308680086945135E-5</v>
      </c>
      <c r="O116" s="31">
        <f t="shared" si="65"/>
        <v>5.1806147801352926</v>
      </c>
      <c r="P116" s="29">
        <f t="shared" si="47"/>
        <v>2.3308680086945135E-5</v>
      </c>
      <c r="Q116" s="76">
        <f t="shared" si="66"/>
        <v>11.928806365284151</v>
      </c>
      <c r="R116" s="29">
        <f t="shared" si="64"/>
        <v>2.3308680086945135E-5</v>
      </c>
    </row>
    <row r="117" spans="1:18" x14ac:dyDescent="0.2">
      <c r="A117" s="10">
        <v>21</v>
      </c>
      <c r="B117" s="10" t="s">
        <v>129</v>
      </c>
      <c r="C117" s="10">
        <v>3230</v>
      </c>
      <c r="D117" s="41">
        <f t="shared" si="57"/>
        <v>0.15233693345281329</v>
      </c>
      <c r="E117" s="36">
        <f t="shared" si="58"/>
        <v>1.3774836212538299E-6</v>
      </c>
      <c r="F117" s="40">
        <v>0.89900000000000002</v>
      </c>
      <c r="G117" s="36">
        <v>5.9339999999999997E-2</v>
      </c>
      <c r="H117" s="30">
        <f>+G117*10^-3</f>
        <v>5.9339999999999998E-5</v>
      </c>
      <c r="I117" s="45">
        <v>12679</v>
      </c>
      <c r="J117" s="17">
        <f t="shared" si="34"/>
        <v>0.597981417723907</v>
      </c>
      <c r="K117" s="47">
        <f t="shared" si="59"/>
        <v>1.4693736690214714E-10</v>
      </c>
      <c r="L117" s="47">
        <f t="shared" si="35"/>
        <v>0</v>
      </c>
      <c r="M117" s="47">
        <f t="shared" si="60"/>
        <v>258501.67150405812</v>
      </c>
      <c r="N117" s="29">
        <f t="shared" si="61"/>
        <v>7.455579623032491E-6</v>
      </c>
      <c r="O117" s="31">
        <f t="shared" si="65"/>
        <v>5.412463355641342</v>
      </c>
      <c r="P117" s="29">
        <f t="shared" si="47"/>
        <v>7.455579623032491E-6</v>
      </c>
      <c r="Q117" s="76">
        <f t="shared" si="66"/>
        <v>12.462657439076285</v>
      </c>
      <c r="R117" s="29">
        <f t="shared" si="64"/>
        <v>7.455579623032491E-6</v>
      </c>
    </row>
    <row r="118" spans="1:18" x14ac:dyDescent="0.2">
      <c r="A118" s="10">
        <v>22</v>
      </c>
      <c r="B118" s="10" t="s">
        <v>130</v>
      </c>
      <c r="C118" s="11">
        <v>37960</v>
      </c>
      <c r="D118" s="41">
        <f t="shared" si="57"/>
        <v>1.7903126916002452</v>
      </c>
      <c r="E118" s="36">
        <f t="shared" si="58"/>
        <v>1.6188631041113117E-5</v>
      </c>
      <c r="F118" s="40">
        <v>0.7</v>
      </c>
      <c r="G118" s="36"/>
      <c r="H118" s="88">
        <v>1.0120363636363636E-4</v>
      </c>
      <c r="I118" s="45">
        <v>53444</v>
      </c>
      <c r="J118" s="17">
        <f t="shared" si="34"/>
        <v>2.5205867094279113</v>
      </c>
      <c r="K118" s="47">
        <f t="shared" si="59"/>
        <v>7.2789693049360658E-9</v>
      </c>
      <c r="L118" s="47">
        <f t="shared" si="35"/>
        <v>0</v>
      </c>
      <c r="M118" s="47">
        <f t="shared" si="60"/>
        <v>151570.53380902493</v>
      </c>
      <c r="N118" s="29">
        <f t="shared" si="61"/>
        <v>8.3867061241747596E-5</v>
      </c>
      <c r="O118" s="31">
        <f t="shared" si="65"/>
        <v>5.1806147801352926</v>
      </c>
      <c r="P118" s="29">
        <f t="shared" si="47"/>
        <v>8.3867061241747596E-5</v>
      </c>
      <c r="Q118" s="76">
        <f t="shared" si="66"/>
        <v>11.928806365284151</v>
      </c>
      <c r="R118" s="29">
        <f t="shared" si="64"/>
        <v>8.3867061241747596E-5</v>
      </c>
    </row>
    <row r="119" spans="1:18" x14ac:dyDescent="0.2">
      <c r="A119" s="10">
        <v>23</v>
      </c>
      <c r="B119" s="10" t="s">
        <v>131</v>
      </c>
      <c r="C119" s="10">
        <v>360</v>
      </c>
      <c r="D119" s="41">
        <f t="shared" si="57"/>
        <v>1.6978729425081357E-2</v>
      </c>
      <c r="E119" s="36">
        <f t="shared" si="58"/>
        <v>1.5352758626977669E-7</v>
      </c>
      <c r="F119" s="40">
        <v>1.5</v>
      </c>
      <c r="G119" s="36"/>
      <c r="H119" s="88">
        <v>1.0120363636363636E-4</v>
      </c>
      <c r="I119" s="42">
        <v>5746</v>
      </c>
      <c r="J119" s="17">
        <f t="shared" si="34"/>
        <v>0.27099938687921521</v>
      </c>
      <c r="K119" s="47">
        <f t="shared" si="59"/>
        <v>7.4218615965285578E-12</v>
      </c>
      <c r="L119" s="47">
        <f t="shared" si="35"/>
        <v>0</v>
      </c>
      <c r="M119" s="47">
        <f t="shared" si="60"/>
        <v>151570.53380902493</v>
      </c>
      <c r="N119" s="29">
        <f t="shared" si="61"/>
        <v>7.9536728258770136E-7</v>
      </c>
      <c r="O119" s="31">
        <f t="shared" si="65"/>
        <v>5.1806147801352926</v>
      </c>
      <c r="P119" s="29">
        <f t="shared" si="47"/>
        <v>7.9536728258770136E-7</v>
      </c>
      <c r="Q119" s="76">
        <f t="shared" si="66"/>
        <v>11.928806365284151</v>
      </c>
      <c r="R119" s="29">
        <f t="shared" si="64"/>
        <v>7.9536728258770136E-7</v>
      </c>
    </row>
    <row r="120" spans="1:18" x14ac:dyDescent="0.2">
      <c r="A120" s="10">
        <v>24</v>
      </c>
      <c r="B120" s="10" t="s">
        <v>132</v>
      </c>
      <c r="C120" s="11">
        <v>126830</v>
      </c>
      <c r="D120" s="41">
        <f t="shared" si="57"/>
        <v>5.9817007027307456</v>
      </c>
      <c r="E120" s="36">
        <f t="shared" si="58"/>
        <v>5.4088621573877154E-5</v>
      </c>
      <c r="F120" s="40">
        <v>0.5</v>
      </c>
      <c r="G120" s="36">
        <v>1.4500000000000001E-2</v>
      </c>
      <c r="H120" s="30">
        <f>+G120*10^-3</f>
        <v>1.4500000000000002E-5</v>
      </c>
      <c r="I120" s="45">
        <v>92338</v>
      </c>
      <c r="J120" s="17">
        <f t="shared" si="34"/>
        <v>4.3549497712587844</v>
      </c>
      <c r="K120" s="47">
        <f t="shared" si="59"/>
        <v>4.2019142470701939E-8</v>
      </c>
      <c r="L120" s="47">
        <f t="shared" si="35"/>
        <v>0</v>
      </c>
      <c r="M120" s="47">
        <f t="shared" si="60"/>
        <v>1057895.806003504</v>
      </c>
      <c r="N120" s="29">
        <f t="shared" si="61"/>
        <v>3.2585381196203057E-4</v>
      </c>
      <c r="O120" s="31">
        <f t="shared" si="65"/>
        <v>6.0244428953871907</v>
      </c>
      <c r="P120" s="29">
        <f t="shared" si="47"/>
        <v>3.2585381196203057E-4</v>
      </c>
      <c r="Q120" s="76">
        <f t="shared" si="66"/>
        <v>13.871792404512432</v>
      </c>
      <c r="R120" s="29">
        <f t="shared" si="64"/>
        <v>3.2585381196203057E-4</v>
      </c>
    </row>
    <row r="121" spans="1:18" x14ac:dyDescent="0.2">
      <c r="A121" s="10">
        <v>25</v>
      </c>
      <c r="B121" s="10" t="s">
        <v>133</v>
      </c>
      <c r="C121" s="11">
        <v>173890</v>
      </c>
      <c r="D121" s="41">
        <f t="shared" si="57"/>
        <v>8.2011979436872142</v>
      </c>
      <c r="E121" s="36">
        <f t="shared" si="58"/>
        <v>7.4158088823476302E-5</v>
      </c>
      <c r="F121" s="40">
        <v>0.66700000000000004</v>
      </c>
      <c r="G121" s="36">
        <v>4.1000000000000002E-2</v>
      </c>
      <c r="H121" s="31">
        <f>+G121*10^-3</f>
        <v>4.1E-5</v>
      </c>
      <c r="I121" s="45">
        <v>222492</v>
      </c>
      <c r="J121" s="17">
        <f t="shared" si="34"/>
        <v>10.49342074234778</v>
      </c>
      <c r="K121" s="47">
        <f t="shared" si="59"/>
        <v>1.3881414943096835E-7</v>
      </c>
      <c r="L121" s="47">
        <f t="shared" si="35"/>
        <v>0</v>
      </c>
      <c r="M121" s="47">
        <f t="shared" si="60"/>
        <v>374133.88261099532</v>
      </c>
      <c r="N121" s="29">
        <f t="shared" si="61"/>
        <v>4.1328503431487765E-4</v>
      </c>
      <c r="O121" s="31">
        <f t="shared" si="65"/>
        <v>5.5730270409024296</v>
      </c>
      <c r="P121" s="29">
        <f t="shared" si="47"/>
        <v>4.1328503431487765E-4</v>
      </c>
      <c r="Q121" s="76">
        <f t="shared" si="66"/>
        <v>12.832368987234652</v>
      </c>
      <c r="R121" s="29">
        <f t="shared" si="64"/>
        <v>4.1328503431487765E-4</v>
      </c>
    </row>
    <row r="122" spans="1:18" x14ac:dyDescent="0.2">
      <c r="A122" s="10">
        <v>26</v>
      </c>
      <c r="B122" s="10" t="s">
        <v>134</v>
      </c>
      <c r="C122" s="11">
        <v>109280</v>
      </c>
      <c r="D122" s="41">
        <f t="shared" si="57"/>
        <v>5.1539876432580298</v>
      </c>
      <c r="E122" s="36">
        <f t="shared" si="58"/>
        <v>4.6604151743225545E-5</v>
      </c>
      <c r="F122" s="40">
        <v>0.8</v>
      </c>
      <c r="G122" s="36"/>
      <c r="H122" s="88">
        <v>1.0120363636363636E-4</v>
      </c>
      <c r="I122" s="45">
        <v>311602</v>
      </c>
      <c r="J122" s="17">
        <f t="shared" si="34"/>
        <v>14.696127906428336</v>
      </c>
      <c r="K122" s="47">
        <f t="shared" si="59"/>
        <v>1.2217592949287378E-7</v>
      </c>
      <c r="L122" s="47">
        <f t="shared" si="35"/>
        <v>0</v>
      </c>
      <c r="M122" s="47">
        <f t="shared" si="60"/>
        <v>151570.53380902493</v>
      </c>
      <c r="N122" s="29">
        <f t="shared" si="61"/>
        <v>2.4143815733662223E-4</v>
      </c>
      <c r="O122" s="31">
        <f t="shared" si="65"/>
        <v>5.1806147801352926</v>
      </c>
      <c r="P122" s="29">
        <f t="shared" si="47"/>
        <v>2.4143815733662223E-4</v>
      </c>
      <c r="Q122" s="76">
        <f t="shared" si="66"/>
        <v>11.928806365284151</v>
      </c>
      <c r="R122" s="29">
        <f t="shared" si="64"/>
        <v>2.4143815733662223E-4</v>
      </c>
    </row>
    <row r="123" spans="1:18" x14ac:dyDescent="0.2">
      <c r="A123" s="10">
        <v>27</v>
      </c>
      <c r="B123" s="10" t="s">
        <v>135</v>
      </c>
      <c r="C123" s="10">
        <v>8340</v>
      </c>
      <c r="D123" s="41">
        <f t="shared" si="57"/>
        <v>0.39334056501438475</v>
      </c>
      <c r="E123" s="36">
        <f t="shared" si="58"/>
        <v>3.5567224152498263E-6</v>
      </c>
      <c r="F123" s="40">
        <v>0.8</v>
      </c>
      <c r="G123" s="36"/>
      <c r="H123" s="88">
        <v>1.0120363636363636E-4</v>
      </c>
      <c r="I123" s="45">
        <v>23781</v>
      </c>
      <c r="J123" s="17">
        <f t="shared" si="34"/>
        <v>1.1215865679384993</v>
      </c>
      <c r="K123" s="47">
        <f t="shared" si="59"/>
        <v>7.1160811570829973E-10</v>
      </c>
      <c r="L123" s="47">
        <f t="shared" si="35"/>
        <v>0</v>
      </c>
      <c r="M123" s="47">
        <f t="shared" si="60"/>
        <v>151570.53380902493</v>
      </c>
      <c r="N123" s="29">
        <f t="shared" si="61"/>
        <v>1.8426008713281747E-5</v>
      </c>
      <c r="O123" s="31">
        <f t="shared" si="65"/>
        <v>5.1806147801352926</v>
      </c>
      <c r="P123" s="29">
        <f t="shared" si="47"/>
        <v>1.8426008713281747E-5</v>
      </c>
      <c r="Q123" s="76">
        <f t="shared" si="66"/>
        <v>11.928806365284151</v>
      </c>
      <c r="R123" s="29">
        <f t="shared" si="64"/>
        <v>1.8426008713281747E-5</v>
      </c>
    </row>
    <row r="124" spans="1:18" x14ac:dyDescent="0.2">
      <c r="A124" s="10">
        <v>28</v>
      </c>
      <c r="B124" s="10" t="s">
        <v>136</v>
      </c>
      <c r="C124" s="10">
        <v>400</v>
      </c>
      <c r="D124" s="41">
        <f t="shared" si="57"/>
        <v>1.8865254916757064E-2</v>
      </c>
      <c r="E124" s="36">
        <f t="shared" si="58"/>
        <v>1.7058620696641856E-7</v>
      </c>
      <c r="F124" s="40">
        <v>1.2</v>
      </c>
      <c r="G124" s="36"/>
      <c r="H124" s="88">
        <v>1.0120363636363636E-4</v>
      </c>
      <c r="I124" s="42">
        <v>3464</v>
      </c>
      <c r="J124" s="17">
        <f t="shared" si="34"/>
        <v>0.16337310757911616</v>
      </c>
      <c r="K124" s="47">
        <f t="shared" si="59"/>
        <v>4.9714445934127943E-12</v>
      </c>
      <c r="L124" s="47">
        <f t="shared" si="35"/>
        <v>0</v>
      </c>
      <c r="M124" s="47">
        <f t="shared" si="60"/>
        <v>151570.53380902493</v>
      </c>
      <c r="N124" s="29">
        <f t="shared" si="61"/>
        <v>8.8374142509744598E-7</v>
      </c>
      <c r="O124" s="31">
        <f t="shared" si="65"/>
        <v>5.1806147801352926</v>
      </c>
      <c r="P124" s="29">
        <f t="shared" si="47"/>
        <v>8.8374142509744598E-7</v>
      </c>
      <c r="Q124" s="76">
        <f t="shared" si="66"/>
        <v>11.928806365284151</v>
      </c>
      <c r="R124" s="29">
        <f t="shared" si="64"/>
        <v>8.8374142509744598E-7</v>
      </c>
    </row>
    <row r="125" spans="1:18" x14ac:dyDescent="0.2">
      <c r="A125" s="10">
        <v>29</v>
      </c>
      <c r="B125" s="10" t="s">
        <v>137</v>
      </c>
      <c r="C125" s="10">
        <v>40</v>
      </c>
      <c r="D125" s="41">
        <f t="shared" si="57"/>
        <v>1.8865254916757062E-3</v>
      </c>
      <c r="E125" s="36">
        <f t="shared" si="58"/>
        <v>1.7058620696641852E-8</v>
      </c>
      <c r="F125" s="40">
        <v>1.5</v>
      </c>
      <c r="G125" s="36"/>
      <c r="H125" s="88">
        <v>1.0120363636363636E-4</v>
      </c>
      <c r="I125" s="42">
        <v>638</v>
      </c>
      <c r="J125" s="17">
        <f t="shared" si="34"/>
        <v>3.0090081592227515E-2</v>
      </c>
      <c r="K125" s="47">
        <f t="shared" si="59"/>
        <v>9.1564135409854574E-14</v>
      </c>
      <c r="L125" s="47">
        <f t="shared" si="35"/>
        <v>0</v>
      </c>
      <c r="M125" s="47">
        <f t="shared" si="60"/>
        <v>151570.53380902493</v>
      </c>
      <c r="N125" s="29">
        <f t="shared" si="61"/>
        <v>8.837414250974458E-8</v>
      </c>
      <c r="O125" s="31">
        <f t="shared" si="65"/>
        <v>5.1806147801352926</v>
      </c>
      <c r="P125" s="29">
        <f t="shared" si="47"/>
        <v>8.837414250974458E-8</v>
      </c>
      <c r="Q125" s="76">
        <f t="shared" si="66"/>
        <v>11.928806365284151</v>
      </c>
      <c r="R125" s="29">
        <f t="shared" si="64"/>
        <v>8.837414250974458E-8</v>
      </c>
    </row>
    <row r="126" spans="1:18" x14ac:dyDescent="0.2">
      <c r="A126" s="10">
        <v>30</v>
      </c>
      <c r="B126" s="10" t="s">
        <v>138</v>
      </c>
      <c r="C126" s="10">
        <v>1070</v>
      </c>
      <c r="D126" s="41">
        <f t="shared" si="57"/>
        <v>5.0464556902325146E-2</v>
      </c>
      <c r="E126" s="36">
        <f t="shared" si="58"/>
        <v>4.5631810363516963E-7</v>
      </c>
      <c r="F126" s="40">
        <v>4</v>
      </c>
      <c r="G126" s="36"/>
      <c r="H126" s="88">
        <v>1.0120363636363636E-4</v>
      </c>
      <c r="I126" s="45">
        <v>250970</v>
      </c>
      <c r="J126" s="17">
        <f t="shared" si="34"/>
        <v>11.8365325661463</v>
      </c>
      <c r="K126" s="47">
        <f t="shared" si="59"/>
        <v>9.6349689021465464E-10</v>
      </c>
      <c r="L126" s="47">
        <f t="shared" si="35"/>
        <v>0</v>
      </c>
      <c r="M126" s="47">
        <f t="shared" si="60"/>
        <v>151570.53380902493</v>
      </c>
      <c r="N126" s="29">
        <f t="shared" si="61"/>
        <v>2.3640083121356678E-6</v>
      </c>
      <c r="O126" s="31">
        <f t="shared" si="65"/>
        <v>5.1806147801352926</v>
      </c>
      <c r="P126" s="29">
        <f t="shared" si="47"/>
        <v>2.3640083121356678E-6</v>
      </c>
      <c r="Q126" s="76">
        <f t="shared" si="66"/>
        <v>11.928806365284151</v>
      </c>
      <c r="R126" s="29">
        <f t="shared" si="64"/>
        <v>2.3640083121356678E-6</v>
      </c>
    </row>
    <row r="127" spans="1:18" x14ac:dyDescent="0.2">
      <c r="A127" s="10">
        <v>31</v>
      </c>
      <c r="B127" s="10" t="s">
        <v>139</v>
      </c>
      <c r="C127" s="10">
        <v>570</v>
      </c>
      <c r="D127" s="41">
        <f t="shared" si="57"/>
        <v>2.6882988256378814E-2</v>
      </c>
      <c r="E127" s="36">
        <f t="shared" si="58"/>
        <v>2.4308534492714642E-7</v>
      </c>
      <c r="F127" s="40">
        <v>2.2999999999999998</v>
      </c>
      <c r="G127" s="36"/>
      <c r="H127" s="88">
        <v>1.0120363636363636E-4</v>
      </c>
      <c r="I127" s="42">
        <v>8261</v>
      </c>
      <c r="J127" s="17">
        <f t="shared" si="34"/>
        <v>0.38961467716832526</v>
      </c>
      <c r="K127" s="47">
        <f t="shared" si="59"/>
        <v>1.6894767002110537E-11</v>
      </c>
      <c r="L127" s="47">
        <f t="shared" si="35"/>
        <v>0</v>
      </c>
      <c r="M127" s="47">
        <f t="shared" si="60"/>
        <v>151570.53380902493</v>
      </c>
      <c r="N127" s="29">
        <f t="shared" si="61"/>
        <v>1.2593315307638604E-6</v>
      </c>
      <c r="O127" s="31">
        <f t="shared" si="65"/>
        <v>5.1806147801352926</v>
      </c>
      <c r="P127" s="29">
        <f t="shared" si="47"/>
        <v>1.2593315307638604E-6</v>
      </c>
      <c r="Q127" s="76">
        <f t="shared" si="66"/>
        <v>11.928806365284151</v>
      </c>
      <c r="R127" s="29">
        <f t="shared" si="64"/>
        <v>1.2593315307638604E-6</v>
      </c>
    </row>
    <row r="128" spans="1:18" x14ac:dyDescent="0.2">
      <c r="A128" s="10">
        <v>32</v>
      </c>
      <c r="B128" s="10" t="s">
        <v>140</v>
      </c>
      <c r="C128" s="11">
        <v>13390</v>
      </c>
      <c r="D128" s="41">
        <f t="shared" si="57"/>
        <v>0.63151440833844263</v>
      </c>
      <c r="E128" s="36">
        <f t="shared" si="58"/>
        <v>5.7103732782008597E-6</v>
      </c>
      <c r="F128" s="40">
        <v>1.7</v>
      </c>
      <c r="G128" s="36"/>
      <c r="H128" s="88">
        <v>1.0120363636363636E-4</v>
      </c>
      <c r="I128" s="45">
        <v>301165</v>
      </c>
      <c r="J128" s="17">
        <f t="shared" si="34"/>
        <v>14.203886242512851</v>
      </c>
      <c r="K128" s="47">
        <f t="shared" si="59"/>
        <v>1.4468709754588225E-8</v>
      </c>
      <c r="L128" s="47">
        <f t="shared" si="35"/>
        <v>0</v>
      </c>
      <c r="M128" s="47">
        <f t="shared" si="60"/>
        <v>151570.53380902493</v>
      </c>
      <c r="N128" s="29">
        <f t="shared" si="61"/>
        <v>2.9583244205136996E-5</v>
      </c>
      <c r="O128" s="31">
        <f t="shared" si="65"/>
        <v>5.1806147801352926</v>
      </c>
      <c r="P128" s="29">
        <f t="shared" si="47"/>
        <v>2.9583244205136996E-5</v>
      </c>
      <c r="Q128" s="76">
        <f t="shared" si="66"/>
        <v>11.928806365284151</v>
      </c>
      <c r="R128" s="29">
        <f t="shared" si="64"/>
        <v>2.9583244205136996E-5</v>
      </c>
    </row>
    <row r="129" spans="1:18" x14ac:dyDescent="0.2">
      <c r="A129" s="10">
        <v>33</v>
      </c>
      <c r="B129" s="10" t="s">
        <v>141</v>
      </c>
      <c r="C129" s="10">
        <v>740</v>
      </c>
      <c r="D129" s="41">
        <f t="shared" si="57"/>
        <v>3.4900721596000564E-2</v>
      </c>
      <c r="E129" s="36">
        <f t="shared" si="58"/>
        <v>3.1558448288787426E-7</v>
      </c>
      <c r="F129" s="40">
        <v>1.8</v>
      </c>
      <c r="G129" s="36"/>
      <c r="H129" s="88">
        <v>1.0120363636363636E-4</v>
      </c>
      <c r="I129" s="45">
        <v>19466</v>
      </c>
      <c r="J129" s="17">
        <f t="shared" si="34"/>
        <v>0.9180776305239825</v>
      </c>
      <c r="K129" s="47">
        <f t="shared" si="59"/>
        <v>5.1683648915254289E-11</v>
      </c>
      <c r="L129" s="47">
        <f t="shared" si="35"/>
        <v>0</v>
      </c>
      <c r="M129" s="47">
        <f t="shared" si="60"/>
        <v>151570.53380902493</v>
      </c>
      <c r="N129" s="29">
        <f t="shared" si="61"/>
        <v>1.6349216364302747E-6</v>
      </c>
      <c r="O129" s="31">
        <f t="shared" si="65"/>
        <v>5.1806147801352926</v>
      </c>
      <c r="P129" s="29">
        <f t="shared" si="47"/>
        <v>1.6349216364302747E-6</v>
      </c>
      <c r="Q129" s="76">
        <f t="shared" si="66"/>
        <v>11.928806365284151</v>
      </c>
      <c r="R129" s="29">
        <f t="shared" si="64"/>
        <v>1.6349216364302747E-6</v>
      </c>
    </row>
    <row r="130" spans="1:18" x14ac:dyDescent="0.2">
      <c r="A130" s="10">
        <v>34</v>
      </c>
      <c r="B130" s="10" t="s">
        <v>142</v>
      </c>
      <c r="C130" s="10">
        <v>3560</v>
      </c>
      <c r="D130" s="41">
        <f t="shared" si="57"/>
        <v>0.16790076875913787</v>
      </c>
      <c r="E130" s="36">
        <f t="shared" si="58"/>
        <v>1.5182172420011251E-6</v>
      </c>
      <c r="F130" s="40">
        <v>1.2</v>
      </c>
      <c r="G130" s="36"/>
      <c r="H130" s="88">
        <v>1.0120363636363636E-4</v>
      </c>
      <c r="I130" s="45">
        <v>30832</v>
      </c>
      <c r="J130" s="17">
        <f t="shared" si="34"/>
        <v>1.4541338489836344</v>
      </c>
      <c r="K130" s="47">
        <f t="shared" si="59"/>
        <v>3.9381878157232076E-10</v>
      </c>
      <c r="L130" s="47">
        <f t="shared" si="35"/>
        <v>0</v>
      </c>
      <c r="M130" s="47">
        <f t="shared" si="60"/>
        <v>151570.53380902493</v>
      </c>
      <c r="N130" s="29">
        <f t="shared" si="61"/>
        <v>7.8652986833672696E-6</v>
      </c>
      <c r="O130" s="31">
        <f t="shared" si="65"/>
        <v>5.1806147801352926</v>
      </c>
      <c r="P130" s="29">
        <f t="shared" si="47"/>
        <v>7.8652986833672696E-6</v>
      </c>
      <c r="Q130" s="76">
        <f t="shared" si="66"/>
        <v>11.928806365284151</v>
      </c>
      <c r="R130" s="29">
        <f t="shared" si="64"/>
        <v>7.8652986833672696E-6</v>
      </c>
    </row>
    <row r="131" spans="1:18" x14ac:dyDescent="0.2">
      <c r="A131" s="10">
        <v>35</v>
      </c>
      <c r="B131" s="10" t="s">
        <v>143</v>
      </c>
      <c r="C131" s="11">
        <v>52970</v>
      </c>
      <c r="D131" s="41">
        <f t="shared" ref="D131:D162" si="69">+C131/21203</f>
        <v>2.4982313823515541</v>
      </c>
      <c r="E131" s="36">
        <f t="shared" si="58"/>
        <v>2.2589878457527976E-5</v>
      </c>
      <c r="F131" s="40">
        <v>0.6</v>
      </c>
      <c r="G131" s="36"/>
      <c r="H131" s="88">
        <v>1.0120363636363636E-4</v>
      </c>
      <c r="I131" s="45">
        <v>55130</v>
      </c>
      <c r="J131" s="17">
        <f t="shared" si="34"/>
        <v>2.6001037589020424</v>
      </c>
      <c r="K131" s="47">
        <f t="shared" si="59"/>
        <v>1.0477621226063701E-8</v>
      </c>
      <c r="L131" s="47">
        <f t="shared" si="35"/>
        <v>0</v>
      </c>
      <c r="M131" s="47">
        <f t="shared" si="60"/>
        <v>151570.53380902493</v>
      </c>
      <c r="N131" s="29">
        <f t="shared" si="61"/>
        <v>1.1702945821852928E-4</v>
      </c>
      <c r="O131" s="31">
        <f t="shared" si="65"/>
        <v>5.1806147801352926</v>
      </c>
      <c r="P131" s="29">
        <f t="shared" si="47"/>
        <v>1.1702945821852928E-4</v>
      </c>
      <c r="Q131" s="76">
        <f t="shared" si="66"/>
        <v>11.928806365284151</v>
      </c>
      <c r="R131" s="29">
        <f t="shared" si="64"/>
        <v>1.1702945821852928E-4</v>
      </c>
    </row>
    <row r="132" spans="1:18" x14ac:dyDescent="0.2">
      <c r="A132" s="10">
        <v>36</v>
      </c>
      <c r="B132" s="10" t="s">
        <v>144</v>
      </c>
      <c r="C132" s="11">
        <v>120290</v>
      </c>
      <c r="D132" s="41">
        <f t="shared" si="69"/>
        <v>5.6732537848417675</v>
      </c>
      <c r="E132" s="36">
        <f t="shared" si="58"/>
        <v>5.1299537089976211E-5</v>
      </c>
      <c r="F132" s="40">
        <v>0.5</v>
      </c>
      <c r="G132" s="36">
        <v>6.0000000000000001E-3</v>
      </c>
      <c r="H132" s="30">
        <f>+G132*10^-3</f>
        <v>6.0000000000000002E-6</v>
      </c>
      <c r="I132" s="45">
        <v>94624</v>
      </c>
      <c r="J132" s="17">
        <f t="shared" si="34"/>
        <v>4.4627647031080508</v>
      </c>
      <c r="K132" s="47">
        <f t="shared" si="59"/>
        <v>4.0839043011750229E-8</v>
      </c>
      <c r="L132" s="47">
        <f t="shared" si="35"/>
        <v>0</v>
      </c>
      <c r="M132" s="47">
        <f t="shared" si="60"/>
        <v>2556581.5311751347</v>
      </c>
      <c r="N132" s="29">
        <f t="shared" si="61"/>
        <v>3.2870997373345639E-4</v>
      </c>
      <c r="O132" s="92">
        <f t="shared" si="65"/>
        <v>6.4076596472385212</v>
      </c>
      <c r="P132" s="29">
        <f t="shared" si="47"/>
        <v>3.2870997373345639E-4</v>
      </c>
      <c r="Q132" s="76">
        <f t="shared" si="66"/>
        <v>14.754181584710905</v>
      </c>
      <c r="R132" s="29">
        <f t="shared" si="64"/>
        <v>3.2870997373345639E-4</v>
      </c>
    </row>
    <row r="133" spans="1:18" x14ac:dyDescent="0.2">
      <c r="A133" s="10">
        <v>37</v>
      </c>
      <c r="B133" s="10" t="s">
        <v>158</v>
      </c>
      <c r="C133" s="11">
        <v>285570</v>
      </c>
      <c r="D133" s="41">
        <f t="shared" si="69"/>
        <v>13.468377116445787</v>
      </c>
      <c r="E133" s="36">
        <f t="shared" si="58"/>
        <v>1.2178575780850036E-4</v>
      </c>
      <c r="F133" s="40">
        <v>0.25</v>
      </c>
      <c r="G133" s="36"/>
      <c r="H133" s="88">
        <v>1.0120363636363636E-4</v>
      </c>
      <c r="I133" s="45">
        <v>33625</v>
      </c>
      <c r="J133" s="17">
        <f t="shared" si="34"/>
        <v>1.5858604914398906</v>
      </c>
      <c r="K133" s="47">
        <f t="shared" si="59"/>
        <v>3.4452409728051008E-8</v>
      </c>
      <c r="L133" s="47">
        <f t="shared" si="35"/>
        <v>0</v>
      </c>
      <c r="M133" s="47">
        <f t="shared" si="60"/>
        <v>151570.53380902493</v>
      </c>
      <c r="N133" s="29">
        <f t="shared" si="61"/>
        <v>6.3092509691269408E-4</v>
      </c>
      <c r="O133" s="31">
        <f t="shared" si="65"/>
        <v>5.1806147801352926</v>
      </c>
      <c r="P133" s="29">
        <f t="shared" si="47"/>
        <v>6.3092509691269408E-4</v>
      </c>
      <c r="Q133" s="76">
        <f t="shared" si="66"/>
        <v>11.928806365284151</v>
      </c>
      <c r="R133" s="29">
        <f t="shared" si="64"/>
        <v>6.3092509691269408E-4</v>
      </c>
    </row>
    <row r="134" spans="1:18" s="17" customFormat="1" x14ac:dyDescent="0.2">
      <c r="A134" s="10"/>
      <c r="B134" s="10"/>
      <c r="C134" s="11"/>
      <c r="D134" s="41"/>
      <c r="E134" s="36"/>
      <c r="F134" s="40"/>
      <c r="G134" s="36"/>
      <c r="H134" s="24"/>
      <c r="I134" s="45"/>
      <c r="K134" s="47"/>
      <c r="L134" s="47">
        <f t="shared" si="35"/>
        <v>0</v>
      </c>
      <c r="M134" s="47"/>
      <c r="N134" s="29"/>
      <c r="O134" s="31"/>
      <c r="P134" s="29"/>
    </row>
    <row r="135" spans="1:18" x14ac:dyDescent="0.2">
      <c r="A135" s="10">
        <v>1</v>
      </c>
      <c r="B135" s="10" t="s">
        <v>145</v>
      </c>
      <c r="C135" s="11">
        <v>61319</v>
      </c>
      <c r="D135" s="41">
        <f t="shared" si="69"/>
        <v>2.8919964156015658</v>
      </c>
      <c r="E135" s="36">
        <f t="shared" ref="E135:E162" si="70">+(D135/$C$2)</f>
        <v>2.6150439062434544E-5</v>
      </c>
      <c r="F135" s="37">
        <v>12</v>
      </c>
      <c r="G135" s="41">
        <v>11.37</v>
      </c>
      <c r="H135" s="93">
        <f>+G135*10^-3</f>
        <v>1.137E-2</v>
      </c>
      <c r="I135" s="45">
        <v>80233346</v>
      </c>
      <c r="J135" s="17">
        <f t="shared" si="34"/>
        <v>3784.0563127859264</v>
      </c>
      <c r="K135" s="47">
        <f t="shared" ref="K135:K162" si="71">+(J135/$J$7)*E135</f>
        <v>1.7652031619857543E-5</v>
      </c>
      <c r="L135" s="47">
        <f t="shared" si="35"/>
        <v>0</v>
      </c>
      <c r="M135" s="47">
        <f>+C$6/H135</f>
        <v>1349.1195415172215</v>
      </c>
      <c r="N135" s="29">
        <f t="shared" ref="N135:N162" si="72">+LOG10(($C$6/H135))*E135</f>
        <v>8.1852193108798688E-5</v>
      </c>
      <c r="O135" s="31">
        <f t="shared" ref="O135:O162" si="73">+LOG10(M135)</f>
        <v>3.1300504329344303</v>
      </c>
      <c r="P135" s="29">
        <f t="shared" si="47"/>
        <v>8.1852193108798688E-5</v>
      </c>
      <c r="Q135" s="66">
        <f t="shared" ref="Q135" si="74">+LN(M135)</f>
        <v>7.2072074671943787</v>
      </c>
      <c r="R135" s="29">
        <f t="shared" ref="R135:R162" si="75">+LOG(($C$6/H135))*E135</f>
        <v>8.1852193108798688E-5</v>
      </c>
    </row>
    <row r="136" spans="1:18" x14ac:dyDescent="0.2">
      <c r="A136" s="10">
        <v>2</v>
      </c>
      <c r="B136" s="10" t="s">
        <v>146</v>
      </c>
      <c r="C136" s="10">
        <v>2103</v>
      </c>
      <c r="D136" s="41">
        <f t="shared" si="69"/>
        <v>9.9184077724850259E-2</v>
      </c>
      <c r="E136" s="36">
        <f t="shared" si="70"/>
        <v>8.968569831259455E-7</v>
      </c>
      <c r="F136" s="40">
        <v>8</v>
      </c>
      <c r="G136" s="36"/>
      <c r="H136" s="94">
        <v>7.004792354868665E-3</v>
      </c>
      <c r="I136" s="45">
        <v>475392</v>
      </c>
      <c r="J136" s="17">
        <f t="shared" si="34"/>
        <v>22.420978163467435</v>
      </c>
      <c r="K136" s="47">
        <f t="shared" si="71"/>
        <v>3.5870371175541391E-9</v>
      </c>
      <c r="L136" s="47">
        <f t="shared" si="35"/>
        <v>0</v>
      </c>
      <c r="M136" s="47">
        <f t="shared" ref="M136:M162" si="76">+C$6/H136</f>
        <v>2189.8563740278655</v>
      </c>
      <c r="N136" s="29">
        <f t="shared" si="72"/>
        <v>2.9958750858595124E-6</v>
      </c>
      <c r="O136" s="31">
        <f t="shared" si="73"/>
        <v>3.3404156317293259</v>
      </c>
      <c r="P136" s="29">
        <f t="shared" si="47"/>
        <v>2.9958750858595124E-6</v>
      </c>
      <c r="Q136" s="76">
        <f t="shared" ref="Q136:Q162" si="77">+LN(M136)</f>
        <v>7.6915912380242339</v>
      </c>
      <c r="R136" s="29">
        <f t="shared" si="75"/>
        <v>2.9958750858595124E-6</v>
      </c>
    </row>
    <row r="137" spans="1:18" x14ac:dyDescent="0.2">
      <c r="A137" s="10">
        <v>3</v>
      </c>
      <c r="B137" s="10" t="s">
        <v>147</v>
      </c>
      <c r="C137" s="10">
        <v>150</v>
      </c>
      <c r="D137" s="41">
        <f t="shared" si="69"/>
        <v>7.0744705937838982E-3</v>
      </c>
      <c r="E137" s="36">
        <f t="shared" si="70"/>
        <v>6.3969827612406943E-8</v>
      </c>
      <c r="F137" s="40">
        <v>0.7</v>
      </c>
      <c r="G137" s="36"/>
      <c r="H137" s="94">
        <v>7.004792354868665E-3</v>
      </c>
      <c r="I137" s="42">
        <v>105</v>
      </c>
      <c r="J137" s="17">
        <f t="shared" si="34"/>
        <v>4.9521294156487285E-3</v>
      </c>
      <c r="K137" s="47">
        <f t="shared" si="71"/>
        <v>5.650999736305679E-14</v>
      </c>
      <c r="L137" s="47">
        <f t="shared" si="35"/>
        <v>0</v>
      </c>
      <c r="M137" s="47">
        <f t="shared" si="76"/>
        <v>2189.8563740278655</v>
      </c>
      <c r="N137" s="29">
        <f t="shared" si="72"/>
        <v>2.1368581211551441E-7</v>
      </c>
      <c r="O137" s="31">
        <f t="shared" si="73"/>
        <v>3.3404156317293259</v>
      </c>
      <c r="P137" s="29">
        <f t="shared" si="47"/>
        <v>2.1368581211551441E-7</v>
      </c>
      <c r="Q137" s="76">
        <f t="shared" si="77"/>
        <v>7.6915912380242339</v>
      </c>
      <c r="R137" s="29">
        <f t="shared" si="75"/>
        <v>2.1368581211551441E-7</v>
      </c>
    </row>
    <row r="138" spans="1:18" x14ac:dyDescent="0.2">
      <c r="A138" s="10">
        <v>4</v>
      </c>
      <c r="B138" s="10" t="s">
        <v>148</v>
      </c>
      <c r="C138" s="11">
        <v>38682</v>
      </c>
      <c r="D138" s="41">
        <f t="shared" si="69"/>
        <v>1.8243644767249918</v>
      </c>
      <c r="E138" s="36">
        <f t="shared" si="70"/>
        <v>1.6496539144687505E-5</v>
      </c>
      <c r="F138" s="40">
        <v>2</v>
      </c>
      <c r="G138" s="36"/>
      <c r="H138" s="94">
        <v>7.004792354868665E-3</v>
      </c>
      <c r="I138" s="45">
        <v>350220</v>
      </c>
      <c r="J138" s="17">
        <f t="shared" si="34"/>
        <v>16.517473942366646</v>
      </c>
      <c r="K138" s="47">
        <f t="shared" si="71"/>
        <v>4.8606527215058831E-8</v>
      </c>
      <c r="L138" s="47">
        <f t="shared" si="35"/>
        <v>0</v>
      </c>
      <c r="M138" s="47">
        <f t="shared" si="76"/>
        <v>2189.8563740278655</v>
      </c>
      <c r="N138" s="29">
        <f t="shared" si="72"/>
        <v>5.5105297228348869E-5</v>
      </c>
      <c r="O138" s="31">
        <f t="shared" si="73"/>
        <v>3.3404156317293259</v>
      </c>
      <c r="P138" s="29">
        <f t="shared" si="47"/>
        <v>5.5105297228348869E-5</v>
      </c>
      <c r="Q138" s="76">
        <f t="shared" si="77"/>
        <v>7.6915912380242339</v>
      </c>
      <c r="R138" s="29">
        <f t="shared" si="75"/>
        <v>5.5105297228348869E-5</v>
      </c>
    </row>
    <row r="139" spans="1:18" x14ac:dyDescent="0.2">
      <c r="A139" s="10">
        <v>5</v>
      </c>
      <c r="B139" s="10" t="s">
        <v>149</v>
      </c>
      <c r="C139" s="11">
        <v>14205</v>
      </c>
      <c r="D139" s="41">
        <f t="shared" si="69"/>
        <v>0.66995236523133517</v>
      </c>
      <c r="E139" s="36">
        <f t="shared" si="70"/>
        <v>6.0579426748949382E-6</v>
      </c>
      <c r="F139" s="40">
        <v>3</v>
      </c>
      <c r="G139" s="36"/>
      <c r="H139" s="94">
        <v>7.004792354868665E-3</v>
      </c>
      <c r="I139" s="45">
        <v>345328</v>
      </c>
      <c r="J139" s="17">
        <f t="shared" si="34"/>
        <v>16.286751874734708</v>
      </c>
      <c r="K139" s="47">
        <f t="shared" si="71"/>
        <v>1.7600206378868594E-8</v>
      </c>
      <c r="L139" s="47">
        <f t="shared" si="35"/>
        <v>0</v>
      </c>
      <c r="M139" s="47">
        <f t="shared" si="76"/>
        <v>2189.8563740278655</v>
      </c>
      <c r="N139" s="29">
        <f t="shared" si="72"/>
        <v>2.0236046407339218E-5</v>
      </c>
      <c r="O139" s="31">
        <f t="shared" si="73"/>
        <v>3.3404156317293259</v>
      </c>
      <c r="P139" s="29">
        <f t="shared" si="47"/>
        <v>2.0236046407339218E-5</v>
      </c>
      <c r="Q139" s="76">
        <f t="shared" si="77"/>
        <v>7.6915912380242339</v>
      </c>
      <c r="R139" s="29">
        <f t="shared" si="75"/>
        <v>2.0236046407339218E-5</v>
      </c>
    </row>
    <row r="140" spans="1:18" x14ac:dyDescent="0.2">
      <c r="A140" s="10">
        <v>6</v>
      </c>
      <c r="B140" s="10" t="s">
        <v>159</v>
      </c>
      <c r="C140" s="10">
        <v>7170</v>
      </c>
      <c r="D140" s="41">
        <f t="shared" si="69"/>
        <v>0.33815969438287036</v>
      </c>
      <c r="E140" s="36">
        <f t="shared" si="70"/>
        <v>3.0577577598730525E-6</v>
      </c>
      <c r="F140" s="40">
        <v>0.1</v>
      </c>
      <c r="G140" s="36"/>
      <c r="H140" s="94">
        <v>7.004792354868665E-3</v>
      </c>
      <c r="I140" s="42">
        <v>44</v>
      </c>
      <c r="J140" s="17">
        <f t="shared" si="34"/>
        <v>2.0751780408432767E-3</v>
      </c>
      <c r="K140" s="47">
        <f t="shared" si="71"/>
        <v>1.1319221567045815E-12</v>
      </c>
      <c r="L140" s="47">
        <f t="shared" si="35"/>
        <v>0</v>
      </c>
      <c r="M140" s="47">
        <f t="shared" si="76"/>
        <v>2189.8563740278655</v>
      </c>
      <c r="N140" s="29">
        <f t="shared" si="72"/>
        <v>1.0214181819121591E-5</v>
      </c>
      <c r="O140" s="31">
        <f t="shared" si="73"/>
        <v>3.3404156317293259</v>
      </c>
      <c r="P140" s="29">
        <f t="shared" si="47"/>
        <v>1.0214181819121591E-5</v>
      </c>
      <c r="Q140" s="76">
        <f t="shared" si="77"/>
        <v>7.6915912380242339</v>
      </c>
      <c r="R140" s="29">
        <f t="shared" si="75"/>
        <v>1.0214181819121591E-5</v>
      </c>
    </row>
    <row r="141" spans="1:18" x14ac:dyDescent="0.2">
      <c r="A141" s="10">
        <v>7</v>
      </c>
      <c r="B141" s="10" t="s">
        <v>160</v>
      </c>
      <c r="C141" s="10">
        <v>80</v>
      </c>
      <c r="D141" s="41">
        <f t="shared" si="69"/>
        <v>3.7730509833514125E-3</v>
      </c>
      <c r="E141" s="36">
        <f t="shared" si="70"/>
        <v>3.4117241393283705E-8</v>
      </c>
      <c r="F141" s="40">
        <v>5</v>
      </c>
      <c r="G141" s="36"/>
      <c r="H141" s="94">
        <v>7.004792354868665E-3</v>
      </c>
      <c r="I141" s="42">
        <v>6750</v>
      </c>
      <c r="J141" s="17">
        <f t="shared" ref="J141:J162" si="78">+I141/$C$1</f>
        <v>0.31835117672027541</v>
      </c>
      <c r="K141" s="47">
        <f t="shared" si="71"/>
        <v>1.9374856238762327E-12</v>
      </c>
      <c r="L141" s="47">
        <f t="shared" ref="L141:L162" si="79">+IF(M141=$M$5,1,0)</f>
        <v>0</v>
      </c>
      <c r="M141" s="47">
        <f t="shared" si="76"/>
        <v>2189.8563740278655</v>
      </c>
      <c r="N141" s="29">
        <f t="shared" si="72"/>
        <v>1.1396576646160769E-7</v>
      </c>
      <c r="O141" s="31">
        <f t="shared" si="73"/>
        <v>3.3404156317293259</v>
      </c>
      <c r="P141" s="29">
        <f t="shared" si="47"/>
        <v>1.1396576646160769E-7</v>
      </c>
      <c r="Q141" s="76">
        <f t="shared" si="77"/>
        <v>7.6915912380242339</v>
      </c>
      <c r="R141" s="29">
        <f t="shared" si="75"/>
        <v>1.1396576646160769E-7</v>
      </c>
    </row>
    <row r="142" spans="1:18" x14ac:dyDescent="0.2">
      <c r="A142" s="10">
        <v>8</v>
      </c>
      <c r="B142" s="10" t="s">
        <v>161</v>
      </c>
      <c r="C142" s="10">
        <v>1080</v>
      </c>
      <c r="D142" s="41">
        <f t="shared" si="69"/>
        <v>5.0936188275244071E-2</v>
      </c>
      <c r="E142" s="36">
        <f t="shared" si="70"/>
        <v>4.6058275880933004E-7</v>
      </c>
      <c r="F142" s="40">
        <v>5</v>
      </c>
      <c r="G142" s="36"/>
      <c r="H142" s="94">
        <v>7.004792354868665E-3</v>
      </c>
      <c r="I142" s="45">
        <v>91125</v>
      </c>
      <c r="J142" s="17">
        <f t="shared" si="78"/>
        <v>4.2977408857237185</v>
      </c>
      <c r="K142" s="47">
        <f t="shared" si="71"/>
        <v>3.5310675495144347E-10</v>
      </c>
      <c r="L142" s="47">
        <f t="shared" si="79"/>
        <v>0</v>
      </c>
      <c r="M142" s="47">
        <f t="shared" si="76"/>
        <v>2189.8563740278655</v>
      </c>
      <c r="N142" s="29">
        <f t="shared" si="72"/>
        <v>1.5385378472317039E-6</v>
      </c>
      <c r="O142" s="31">
        <f t="shared" si="73"/>
        <v>3.3404156317293259</v>
      </c>
      <c r="P142" s="29">
        <f t="shared" si="47"/>
        <v>1.5385378472317039E-6</v>
      </c>
      <c r="Q142" s="76">
        <f t="shared" si="77"/>
        <v>7.6915912380242339</v>
      </c>
      <c r="R142" s="29">
        <f t="shared" si="75"/>
        <v>1.5385378472317039E-6</v>
      </c>
    </row>
    <row r="143" spans="1:18" x14ac:dyDescent="0.2">
      <c r="A143" s="10">
        <v>9</v>
      </c>
      <c r="B143" s="10" t="s">
        <v>162</v>
      </c>
      <c r="C143" s="10">
        <v>1</v>
      </c>
      <c r="D143" s="41">
        <f t="shared" si="69"/>
        <v>4.716313729189266E-5</v>
      </c>
      <c r="E143" s="36">
        <f t="shared" si="70"/>
        <v>4.2646551741604635E-10</v>
      </c>
      <c r="F143" s="40">
        <v>5</v>
      </c>
      <c r="G143" s="36"/>
      <c r="H143" s="94">
        <v>7.004792354868665E-3</v>
      </c>
      <c r="I143" s="42">
        <v>84</v>
      </c>
      <c r="J143" s="17">
        <f t="shared" si="78"/>
        <v>3.9617035325189833E-3</v>
      </c>
      <c r="K143" s="47">
        <f t="shared" si="71"/>
        <v>3.0138665260296963E-16</v>
      </c>
      <c r="L143" s="47">
        <f t="shared" si="79"/>
        <v>0</v>
      </c>
      <c r="M143" s="47">
        <f t="shared" si="76"/>
        <v>2189.8563740278655</v>
      </c>
      <c r="N143" s="29">
        <f t="shared" si="72"/>
        <v>1.4245720807700964E-9</v>
      </c>
      <c r="O143" s="31">
        <f t="shared" si="73"/>
        <v>3.3404156317293259</v>
      </c>
      <c r="P143" s="29">
        <f t="shared" si="47"/>
        <v>1.4245720807700964E-9</v>
      </c>
      <c r="Q143" s="76">
        <f t="shared" si="77"/>
        <v>7.6915912380242339</v>
      </c>
      <c r="R143" s="29">
        <f t="shared" si="75"/>
        <v>1.4245720807700964E-9</v>
      </c>
    </row>
    <row r="144" spans="1:18" x14ac:dyDescent="0.2">
      <c r="A144" s="10">
        <v>10</v>
      </c>
      <c r="B144" s="10" t="s">
        <v>163</v>
      </c>
      <c r="C144" s="10">
        <v>48</v>
      </c>
      <c r="D144" s="41">
        <f t="shared" si="69"/>
        <v>2.2638305900108476E-3</v>
      </c>
      <c r="E144" s="36">
        <f t="shared" si="70"/>
        <v>2.0470344835970225E-8</v>
      </c>
      <c r="F144" s="40">
        <v>7</v>
      </c>
      <c r="G144" s="36"/>
      <c r="H144" s="94">
        <v>7.004792354868665E-3</v>
      </c>
      <c r="I144" s="42">
        <v>9192</v>
      </c>
      <c r="J144" s="17">
        <f t="shared" si="78"/>
        <v>0.43352355798707731</v>
      </c>
      <c r="K144" s="47">
        <f t="shared" si="71"/>
        <v>1.5830549204151408E-12</v>
      </c>
      <c r="L144" s="47">
        <f t="shared" si="79"/>
        <v>0</v>
      </c>
      <c r="M144" s="47">
        <f t="shared" si="76"/>
        <v>2189.8563740278655</v>
      </c>
      <c r="N144" s="29">
        <f t="shared" si="72"/>
        <v>6.837945987696462E-8</v>
      </c>
      <c r="O144" s="31">
        <f t="shared" si="73"/>
        <v>3.3404156317293259</v>
      </c>
      <c r="P144" s="29">
        <f t="shared" ref="P144:P162" si="80">+LOG10(($C$6/$H144))*$E144</f>
        <v>6.837945987696462E-8</v>
      </c>
      <c r="Q144" s="76">
        <f t="shared" si="77"/>
        <v>7.6915912380242339</v>
      </c>
      <c r="R144" s="29">
        <f t="shared" si="75"/>
        <v>6.837945987696462E-8</v>
      </c>
    </row>
    <row r="145" spans="1:18" x14ac:dyDescent="0.2">
      <c r="A145" s="10">
        <v>11</v>
      </c>
      <c r="B145" s="10" t="s">
        <v>164</v>
      </c>
      <c r="C145" s="10">
        <v>3062</v>
      </c>
      <c r="D145" s="41">
        <f t="shared" si="69"/>
        <v>0.14441352638777533</v>
      </c>
      <c r="E145" s="36">
        <f t="shared" si="70"/>
        <v>1.3058374143279339E-6</v>
      </c>
      <c r="F145" s="40">
        <v>3</v>
      </c>
      <c r="G145" s="36"/>
      <c r="H145" s="94">
        <v>7.004792354868665E-3</v>
      </c>
      <c r="I145" s="45">
        <v>74438</v>
      </c>
      <c r="J145" s="17">
        <f t="shared" si="78"/>
        <v>3.5107296137339055</v>
      </c>
      <c r="K145" s="47">
        <f t="shared" si="71"/>
        <v>8.1779530187452461E-10</v>
      </c>
      <c r="L145" s="47">
        <f t="shared" si="79"/>
        <v>0</v>
      </c>
      <c r="M145" s="47">
        <f t="shared" si="76"/>
        <v>2189.8563740278655</v>
      </c>
      <c r="N145" s="29">
        <f t="shared" si="72"/>
        <v>4.3620397113180351E-6</v>
      </c>
      <c r="O145" s="31">
        <f t="shared" si="73"/>
        <v>3.3404156317293259</v>
      </c>
      <c r="P145" s="29">
        <f t="shared" si="80"/>
        <v>4.3620397113180351E-6</v>
      </c>
      <c r="Q145" s="76">
        <f t="shared" si="77"/>
        <v>7.6915912380242339</v>
      </c>
      <c r="R145" s="29">
        <f t="shared" si="75"/>
        <v>4.3620397113180351E-6</v>
      </c>
    </row>
    <row r="146" spans="1:18" x14ac:dyDescent="0.2">
      <c r="A146" s="10">
        <v>12</v>
      </c>
      <c r="B146" s="10" t="s">
        <v>150</v>
      </c>
      <c r="C146" s="10">
        <v>1</v>
      </c>
      <c r="D146" s="41">
        <f t="shared" si="69"/>
        <v>4.716313729189266E-5</v>
      </c>
      <c r="E146" s="36">
        <f t="shared" si="70"/>
        <v>4.2646551741604635E-10</v>
      </c>
      <c r="F146" s="40">
        <v>7</v>
      </c>
      <c r="G146" s="36"/>
      <c r="H146" s="94">
        <v>7.004792354868665E-3</v>
      </c>
      <c r="I146" s="42">
        <v>192</v>
      </c>
      <c r="J146" s="17">
        <f t="shared" si="78"/>
        <v>9.0553223600433903E-3</v>
      </c>
      <c r="K146" s="47">
        <f t="shared" si="71"/>
        <v>6.8888377737821622E-16</v>
      </c>
      <c r="L146" s="47">
        <f t="shared" si="79"/>
        <v>0</v>
      </c>
      <c r="M146" s="47">
        <f t="shared" si="76"/>
        <v>2189.8563740278655</v>
      </c>
      <c r="N146" s="29">
        <f t="shared" si="72"/>
        <v>1.4245720807700964E-9</v>
      </c>
      <c r="O146" s="31">
        <f t="shared" si="73"/>
        <v>3.3404156317293259</v>
      </c>
      <c r="P146" s="29">
        <f t="shared" si="80"/>
        <v>1.4245720807700964E-9</v>
      </c>
      <c r="Q146" s="76">
        <f t="shared" si="77"/>
        <v>7.6915912380242339</v>
      </c>
      <c r="R146" s="29">
        <f t="shared" si="75"/>
        <v>1.4245720807700964E-9</v>
      </c>
    </row>
    <row r="147" spans="1:18" x14ac:dyDescent="0.2">
      <c r="A147" s="10">
        <v>13</v>
      </c>
      <c r="B147" s="10" t="s">
        <v>151</v>
      </c>
      <c r="C147" s="10">
        <v>8090</v>
      </c>
      <c r="D147" s="41">
        <f t="shared" si="69"/>
        <v>0.3815497806914116</v>
      </c>
      <c r="E147" s="36">
        <f t="shared" si="70"/>
        <v>3.450106035895815E-6</v>
      </c>
      <c r="F147" s="40">
        <v>1.25</v>
      </c>
      <c r="G147" s="36"/>
      <c r="H147" s="94">
        <v>7.004792354868665E-3</v>
      </c>
      <c r="I147" s="45">
        <v>368083</v>
      </c>
      <c r="J147" s="17">
        <f t="shared" si="78"/>
        <v>17.359949063811726</v>
      </c>
      <c r="K147" s="47">
        <f t="shared" si="71"/>
        <v>1.0684126229678288E-8</v>
      </c>
      <c r="L147" s="47">
        <f t="shared" si="79"/>
        <v>0</v>
      </c>
      <c r="M147" s="47">
        <f t="shared" si="76"/>
        <v>2189.8563740278655</v>
      </c>
      <c r="N147" s="29">
        <f t="shared" si="72"/>
        <v>1.1524788133430079E-5</v>
      </c>
      <c r="O147" s="31">
        <f t="shared" si="73"/>
        <v>3.3404156317293259</v>
      </c>
      <c r="P147" s="29">
        <f t="shared" si="80"/>
        <v>1.1524788133430079E-5</v>
      </c>
      <c r="Q147" s="76">
        <f t="shared" si="77"/>
        <v>7.6915912380242339</v>
      </c>
      <c r="R147" s="29">
        <f t="shared" si="75"/>
        <v>1.1524788133430079E-5</v>
      </c>
    </row>
    <row r="148" spans="1:18" x14ac:dyDescent="0.2">
      <c r="A148" s="10">
        <v>14</v>
      </c>
      <c r="B148" s="10" t="s">
        <v>152</v>
      </c>
      <c r="C148" s="11">
        <v>19910</v>
      </c>
      <c r="D148" s="41">
        <f t="shared" si="69"/>
        <v>0.93901806348158279</v>
      </c>
      <c r="E148" s="36">
        <f t="shared" si="70"/>
        <v>8.4909284517534827E-6</v>
      </c>
      <c r="F148" s="40">
        <v>1.25</v>
      </c>
      <c r="G148" s="36"/>
      <c r="H148" s="94">
        <v>7.004792354868665E-3</v>
      </c>
      <c r="I148" s="45">
        <v>905876</v>
      </c>
      <c r="J148" s="17">
        <f t="shared" si="78"/>
        <v>42.723954157430555</v>
      </c>
      <c r="K148" s="47">
        <f t="shared" si="71"/>
        <v>6.4711988120108941E-8</v>
      </c>
      <c r="L148" s="47">
        <f t="shared" si="79"/>
        <v>0</v>
      </c>
      <c r="M148" s="47">
        <f t="shared" si="76"/>
        <v>2189.8563740278655</v>
      </c>
      <c r="N148" s="29">
        <f t="shared" si="72"/>
        <v>2.8363230128132617E-5</v>
      </c>
      <c r="O148" s="31">
        <f t="shared" si="73"/>
        <v>3.3404156317293259</v>
      </c>
      <c r="P148" s="29">
        <f t="shared" si="80"/>
        <v>2.8363230128132617E-5</v>
      </c>
      <c r="Q148" s="76">
        <f t="shared" si="77"/>
        <v>7.6915912380242339</v>
      </c>
      <c r="R148" s="29">
        <f t="shared" si="75"/>
        <v>2.8363230128132617E-5</v>
      </c>
    </row>
    <row r="149" spans="1:18" ht="17" x14ac:dyDescent="0.2">
      <c r="A149" s="10">
        <v>15</v>
      </c>
      <c r="B149" s="10" t="s">
        <v>165</v>
      </c>
      <c r="C149" s="11">
        <v>39611</v>
      </c>
      <c r="D149" s="41">
        <f t="shared" si="69"/>
        <v>1.86817903126916</v>
      </c>
      <c r="E149" s="36">
        <f t="shared" si="70"/>
        <v>1.6892725610367012E-5</v>
      </c>
      <c r="F149" s="40">
        <v>0.27</v>
      </c>
      <c r="G149" s="36" t="s">
        <v>195</v>
      </c>
      <c r="H149" s="97">
        <v>2.6699999999999998E-4</v>
      </c>
      <c r="I149" s="45">
        <v>476270</v>
      </c>
      <c r="J149" s="17">
        <f t="shared" si="78"/>
        <v>22.462387398009717</v>
      </c>
      <c r="K149" s="47">
        <f t="shared" si="71"/>
        <v>6.7688324150308989E-8</v>
      </c>
      <c r="L149" s="47">
        <f t="shared" si="79"/>
        <v>0</v>
      </c>
      <c r="M149" s="47">
        <f t="shared" si="76"/>
        <v>57451.270363486183</v>
      </c>
      <c r="N149" s="29">
        <f t="shared" si="72"/>
        <v>8.0397542852818994E-5</v>
      </c>
      <c r="O149" s="31">
        <f t="shared" si="73"/>
        <v>4.7592996362575901</v>
      </c>
      <c r="P149" s="29">
        <f t="shared" si="80"/>
        <v>8.0397542852818994E-5</v>
      </c>
      <c r="Q149" s="76">
        <f t="shared" si="77"/>
        <v>10.95869239553871</v>
      </c>
      <c r="R149" s="29">
        <f t="shared" si="75"/>
        <v>8.0397542852818994E-5</v>
      </c>
    </row>
    <row r="150" spans="1:18" x14ac:dyDescent="0.2">
      <c r="A150" s="10">
        <v>16</v>
      </c>
      <c r="B150" s="10" t="s">
        <v>153</v>
      </c>
      <c r="C150" s="10">
        <v>180</v>
      </c>
      <c r="D150" s="41">
        <f t="shared" si="69"/>
        <v>8.4893647125406785E-3</v>
      </c>
      <c r="E150" s="36">
        <f t="shared" si="70"/>
        <v>7.6763793134888344E-8</v>
      </c>
      <c r="F150" s="40">
        <v>10</v>
      </c>
      <c r="G150" s="36"/>
      <c r="H150" s="94">
        <v>7.004792354868665E-3</v>
      </c>
      <c r="I150" s="45">
        <v>14039</v>
      </c>
      <c r="J150" s="17">
        <f t="shared" si="78"/>
        <v>0.66212328444088098</v>
      </c>
      <c r="K150" s="47">
        <f t="shared" si="71"/>
        <v>9.0667868911994791E-12</v>
      </c>
      <c r="L150" s="47">
        <f t="shared" si="79"/>
        <v>0</v>
      </c>
      <c r="M150" s="47">
        <f t="shared" si="76"/>
        <v>2189.8563740278655</v>
      </c>
      <c r="N150" s="29">
        <f t="shared" si="72"/>
        <v>2.5642297453861735E-7</v>
      </c>
      <c r="O150" s="31">
        <f t="shared" si="73"/>
        <v>3.3404156317293259</v>
      </c>
      <c r="P150" s="29">
        <f t="shared" si="80"/>
        <v>2.5642297453861735E-7</v>
      </c>
      <c r="Q150" s="76">
        <f t="shared" si="77"/>
        <v>7.6915912380242339</v>
      </c>
      <c r="R150" s="29">
        <f t="shared" si="75"/>
        <v>2.5642297453861735E-7</v>
      </c>
    </row>
    <row r="151" spans="1:18" x14ac:dyDescent="0.2">
      <c r="A151" s="10">
        <v>17</v>
      </c>
      <c r="B151" s="10" t="s">
        <v>166</v>
      </c>
      <c r="C151" s="10">
        <v>80</v>
      </c>
      <c r="D151" s="41">
        <f t="shared" si="69"/>
        <v>3.7730509833514125E-3</v>
      </c>
      <c r="E151" s="36">
        <f t="shared" si="70"/>
        <v>3.4117241393283705E-8</v>
      </c>
      <c r="F151" s="40">
        <v>1</v>
      </c>
      <c r="G151" s="36"/>
      <c r="H151" s="94">
        <v>7.004792354868665E-3</v>
      </c>
      <c r="I151" s="42">
        <v>0.17</v>
      </c>
      <c r="J151" s="17">
        <f t="shared" si="78"/>
        <v>8.0177333396217529E-6</v>
      </c>
      <c r="K151" s="47">
        <f t="shared" si="71"/>
        <v>4.8795934230956992E-17</v>
      </c>
      <c r="L151" s="47">
        <f t="shared" si="79"/>
        <v>0</v>
      </c>
      <c r="M151" s="47">
        <f t="shared" si="76"/>
        <v>2189.8563740278655</v>
      </c>
      <c r="N151" s="29">
        <f t="shared" si="72"/>
        <v>1.1396576646160769E-7</v>
      </c>
      <c r="O151" s="31">
        <f t="shared" si="73"/>
        <v>3.3404156317293259</v>
      </c>
      <c r="P151" s="29">
        <f t="shared" si="80"/>
        <v>1.1396576646160769E-7</v>
      </c>
      <c r="Q151" s="76">
        <f t="shared" si="77"/>
        <v>7.6915912380242339</v>
      </c>
      <c r="R151" s="29">
        <f t="shared" si="75"/>
        <v>1.1396576646160769E-7</v>
      </c>
    </row>
    <row r="152" spans="1:18" x14ac:dyDescent="0.2">
      <c r="A152" s="10">
        <v>18</v>
      </c>
      <c r="B152" s="10" t="s">
        <v>154</v>
      </c>
      <c r="C152" s="10">
        <v>2830</v>
      </c>
      <c r="D152" s="41">
        <f t="shared" si="69"/>
        <v>0.13347167853605621</v>
      </c>
      <c r="E152" s="36">
        <f t="shared" si="70"/>
        <v>1.206897414287411E-6</v>
      </c>
      <c r="F152" s="40">
        <v>8</v>
      </c>
      <c r="G152" s="36"/>
      <c r="H152" s="94">
        <v>7.004792354868665E-3</v>
      </c>
      <c r="I152" s="45">
        <v>83314</v>
      </c>
      <c r="J152" s="17">
        <f t="shared" si="78"/>
        <v>3.9293496203367448</v>
      </c>
      <c r="K152" s="47">
        <f t="shared" si="71"/>
        <v>8.4595867901366152E-10</v>
      </c>
      <c r="L152" s="47">
        <f t="shared" si="79"/>
        <v>0</v>
      </c>
      <c r="M152" s="47">
        <f t="shared" si="76"/>
        <v>2189.8563740278655</v>
      </c>
      <c r="N152" s="29">
        <f t="shared" si="72"/>
        <v>4.0315389885793721E-6</v>
      </c>
      <c r="O152" s="31">
        <f t="shared" si="73"/>
        <v>3.3404156317293259</v>
      </c>
      <c r="P152" s="29">
        <f t="shared" si="80"/>
        <v>4.0315389885793721E-6</v>
      </c>
      <c r="Q152" s="76">
        <f t="shared" si="77"/>
        <v>7.6915912380242339</v>
      </c>
      <c r="R152" s="29">
        <f t="shared" si="75"/>
        <v>4.0315389885793721E-6</v>
      </c>
    </row>
    <row r="153" spans="1:18" x14ac:dyDescent="0.2">
      <c r="A153" s="10">
        <v>19</v>
      </c>
      <c r="B153" s="10" t="s">
        <v>167</v>
      </c>
      <c r="C153" s="10">
        <v>5</v>
      </c>
      <c r="D153" s="41">
        <f t="shared" si="69"/>
        <v>2.3581568645946328E-4</v>
      </c>
      <c r="E153" s="36">
        <f t="shared" si="70"/>
        <v>2.1323275870802316E-9</v>
      </c>
      <c r="F153" s="40">
        <v>10</v>
      </c>
      <c r="G153" s="36"/>
      <c r="H153" s="94">
        <v>7.004792354868665E-3</v>
      </c>
      <c r="I153" s="42">
        <v>873</v>
      </c>
      <c r="J153" s="17">
        <f t="shared" si="78"/>
        <v>4.1173418855822291E-2</v>
      </c>
      <c r="K153" s="47">
        <f t="shared" si="71"/>
        <v>1.5661342126332885E-14</v>
      </c>
      <c r="L153" s="47">
        <f t="shared" si="79"/>
        <v>0</v>
      </c>
      <c r="M153" s="47">
        <f t="shared" si="76"/>
        <v>2189.8563740278655</v>
      </c>
      <c r="N153" s="29">
        <f t="shared" si="72"/>
        <v>7.1228604038504807E-9</v>
      </c>
      <c r="O153" s="31">
        <f t="shared" si="73"/>
        <v>3.3404156317293259</v>
      </c>
      <c r="P153" s="29">
        <f t="shared" si="80"/>
        <v>7.1228604038504807E-9</v>
      </c>
      <c r="Q153" s="76">
        <f t="shared" si="77"/>
        <v>7.6915912380242339</v>
      </c>
      <c r="R153" s="29">
        <f t="shared" si="75"/>
        <v>7.1228604038504807E-9</v>
      </c>
    </row>
    <row r="154" spans="1:18" x14ac:dyDescent="0.2">
      <c r="A154" s="10">
        <v>20</v>
      </c>
      <c r="B154" s="10" t="s">
        <v>155</v>
      </c>
      <c r="C154" s="10">
        <v>7992</v>
      </c>
      <c r="D154" s="41">
        <f t="shared" si="69"/>
        <v>0.37692779323680609</v>
      </c>
      <c r="E154" s="36">
        <f t="shared" si="70"/>
        <v>3.408312415189042E-6</v>
      </c>
      <c r="F154" s="40">
        <v>10</v>
      </c>
      <c r="G154" s="36"/>
      <c r="H154" s="94">
        <v>7.004792354868665E-3</v>
      </c>
      <c r="I154" s="45">
        <v>888965</v>
      </c>
      <c r="J154" s="17">
        <f t="shared" si="78"/>
        <v>41.926378342687357</v>
      </c>
      <c r="K154" s="47">
        <f t="shared" si="71"/>
        <v>2.5490882232911206E-8</v>
      </c>
      <c r="L154" s="47">
        <f t="shared" si="79"/>
        <v>0</v>
      </c>
      <c r="M154" s="47">
        <f t="shared" si="76"/>
        <v>2189.8563740278655</v>
      </c>
      <c r="N154" s="29">
        <f t="shared" si="72"/>
        <v>1.1385180069514608E-5</v>
      </c>
      <c r="O154" s="31">
        <f t="shared" si="73"/>
        <v>3.3404156317293259</v>
      </c>
      <c r="P154" s="29">
        <f t="shared" si="80"/>
        <v>1.1385180069514608E-5</v>
      </c>
      <c r="Q154" s="76">
        <f t="shared" si="77"/>
        <v>7.6915912380242339</v>
      </c>
      <c r="R154" s="29">
        <f t="shared" si="75"/>
        <v>1.1385180069514608E-5</v>
      </c>
    </row>
    <row r="155" spans="1:18" ht="17" x14ac:dyDescent="0.2">
      <c r="A155" s="10">
        <v>21</v>
      </c>
      <c r="B155" s="10" t="s">
        <v>168</v>
      </c>
      <c r="C155" s="10">
        <v>248</v>
      </c>
      <c r="D155" s="41">
        <f t="shared" si="69"/>
        <v>1.1696458048389379E-2</v>
      </c>
      <c r="E155" s="36">
        <f t="shared" si="70"/>
        <v>1.0576344831917949E-7</v>
      </c>
      <c r="F155" s="40">
        <v>0.27</v>
      </c>
      <c r="G155" s="36" t="s">
        <v>195</v>
      </c>
      <c r="H155" s="97">
        <v>2.6699999999999998E-4</v>
      </c>
      <c r="I155" s="42">
        <v>2982</v>
      </c>
      <c r="J155" s="17">
        <f t="shared" si="78"/>
        <v>0.1406404754044239</v>
      </c>
      <c r="K155" s="47">
        <f t="shared" si="71"/>
        <v>2.6534080895165442E-12</v>
      </c>
      <c r="L155" s="47">
        <f t="shared" si="79"/>
        <v>0</v>
      </c>
      <c r="M155" s="47">
        <f t="shared" si="76"/>
        <v>57451.270363486183</v>
      </c>
      <c r="N155" s="29">
        <f t="shared" si="72"/>
        <v>5.0335994111481931E-7</v>
      </c>
      <c r="O155" s="31">
        <f t="shared" si="73"/>
        <v>4.7592996362575901</v>
      </c>
      <c r="P155" s="29">
        <f t="shared" si="80"/>
        <v>5.0335994111481931E-7</v>
      </c>
      <c r="Q155" s="76">
        <f t="shared" si="77"/>
        <v>10.95869239553871</v>
      </c>
      <c r="R155" s="29">
        <f t="shared" si="75"/>
        <v>5.0335994111481931E-7</v>
      </c>
    </row>
    <row r="156" spans="1:18" ht="17" x14ac:dyDescent="0.2">
      <c r="A156" s="10">
        <v>22</v>
      </c>
      <c r="B156" s="10" t="s">
        <v>169</v>
      </c>
      <c r="C156" s="10">
        <v>15</v>
      </c>
      <c r="D156" s="41">
        <f t="shared" si="69"/>
        <v>7.0744705937838984E-4</v>
      </c>
      <c r="E156" s="36">
        <f t="shared" si="70"/>
        <v>6.3969827612406951E-9</v>
      </c>
      <c r="F156" s="40">
        <v>0.27</v>
      </c>
      <c r="G156" s="36" t="s">
        <v>195</v>
      </c>
      <c r="H156" s="97">
        <v>2.6699999999999998E-4</v>
      </c>
      <c r="I156" s="42">
        <v>180</v>
      </c>
      <c r="J156" s="17">
        <f t="shared" si="78"/>
        <v>8.4893647125406785E-3</v>
      </c>
      <c r="K156" s="47">
        <f t="shared" si="71"/>
        <v>9.6874281193811655E-15</v>
      </c>
      <c r="L156" s="47">
        <f t="shared" si="79"/>
        <v>0</v>
      </c>
      <c r="M156" s="47">
        <f t="shared" si="76"/>
        <v>57451.270363486183</v>
      </c>
      <c r="N156" s="29">
        <f t="shared" si="72"/>
        <v>3.0445157728718915E-8</v>
      </c>
      <c r="O156" s="31">
        <f t="shared" si="73"/>
        <v>4.7592996362575901</v>
      </c>
      <c r="P156" s="29">
        <f t="shared" si="80"/>
        <v>3.0445157728718915E-8</v>
      </c>
      <c r="Q156" s="76">
        <f t="shared" si="77"/>
        <v>10.95869239553871</v>
      </c>
      <c r="R156" s="29">
        <f t="shared" si="75"/>
        <v>3.0445157728718915E-8</v>
      </c>
    </row>
    <row r="157" spans="1:18" ht="17" x14ac:dyDescent="0.2">
      <c r="A157" s="10">
        <v>23</v>
      </c>
      <c r="B157" s="10" t="s">
        <v>170</v>
      </c>
      <c r="C157" s="10">
        <v>1931</v>
      </c>
      <c r="D157" s="41">
        <f t="shared" si="69"/>
        <v>9.107201811064472E-2</v>
      </c>
      <c r="E157" s="36">
        <f t="shared" si="70"/>
        <v>8.2350491413038544E-7</v>
      </c>
      <c r="F157" s="40">
        <v>0.27</v>
      </c>
      <c r="G157" s="36" t="s">
        <v>195</v>
      </c>
      <c r="H157" s="98">
        <v>7.004792354868665E-3</v>
      </c>
      <c r="I157" s="45">
        <v>23218</v>
      </c>
      <c r="J157" s="17">
        <f t="shared" si="78"/>
        <v>1.0950337216431636</v>
      </c>
      <c r="K157" s="47">
        <f t="shared" si="71"/>
        <v>1.608613871971682E-10</v>
      </c>
      <c r="L157" s="47">
        <f t="shared" si="79"/>
        <v>0</v>
      </c>
      <c r="M157" s="47">
        <f t="shared" si="76"/>
        <v>2189.8563740278655</v>
      </c>
      <c r="N157" s="29">
        <f t="shared" si="72"/>
        <v>2.7508486879670559E-6</v>
      </c>
      <c r="O157" s="31">
        <f t="shared" si="73"/>
        <v>3.3404156317293259</v>
      </c>
      <c r="P157" s="29">
        <f t="shared" si="80"/>
        <v>2.7508486879670559E-6</v>
      </c>
      <c r="Q157" s="76">
        <f t="shared" si="77"/>
        <v>7.6915912380242339</v>
      </c>
      <c r="R157" s="29">
        <f t="shared" si="75"/>
        <v>2.7508486879670559E-6</v>
      </c>
    </row>
    <row r="158" spans="1:18" x14ac:dyDescent="0.2">
      <c r="A158" s="10">
        <v>24</v>
      </c>
      <c r="B158" s="10" t="s">
        <v>171</v>
      </c>
      <c r="C158" s="10">
        <v>361</v>
      </c>
      <c r="D158" s="41">
        <f t="shared" si="69"/>
        <v>1.7025892562373249E-2</v>
      </c>
      <c r="E158" s="36">
        <f t="shared" si="70"/>
        <v>1.5395405178719272E-7</v>
      </c>
      <c r="F158" s="40">
        <v>1.5</v>
      </c>
      <c r="G158" s="36" t="s">
        <v>190</v>
      </c>
      <c r="H158" s="94">
        <v>7.004792354868665E-3</v>
      </c>
      <c r="I158" s="45">
        <v>223898</v>
      </c>
      <c r="J158" s="17">
        <f t="shared" si="78"/>
        <v>10.559732113380182</v>
      </c>
      <c r="K158" s="47">
        <f t="shared" si="71"/>
        <v>2.9000276924719509E-10</v>
      </c>
      <c r="L158" s="47">
        <f t="shared" si="79"/>
        <v>0</v>
      </c>
      <c r="M158" s="47">
        <f t="shared" si="76"/>
        <v>2189.8563740278655</v>
      </c>
      <c r="N158" s="29">
        <f t="shared" si="72"/>
        <v>5.1427052115800467E-7</v>
      </c>
      <c r="O158" s="31">
        <f t="shared" si="73"/>
        <v>3.3404156317293259</v>
      </c>
      <c r="P158" s="29">
        <f t="shared" si="80"/>
        <v>5.1427052115800467E-7</v>
      </c>
      <c r="Q158" s="76">
        <f t="shared" si="77"/>
        <v>7.6915912380242339</v>
      </c>
      <c r="R158" s="29">
        <f t="shared" si="75"/>
        <v>5.1427052115800467E-7</v>
      </c>
    </row>
    <row r="159" spans="1:18" x14ac:dyDescent="0.2">
      <c r="A159" s="10">
        <v>25</v>
      </c>
      <c r="B159" s="10" t="s">
        <v>172</v>
      </c>
      <c r="C159" s="10">
        <v>41</v>
      </c>
      <c r="D159" s="41">
        <f t="shared" si="69"/>
        <v>1.933688628967599E-3</v>
      </c>
      <c r="E159" s="36">
        <f t="shared" si="70"/>
        <v>1.74850862140579E-8</v>
      </c>
      <c r="F159" s="40">
        <v>1.5</v>
      </c>
      <c r="G159" s="36" t="s">
        <v>190</v>
      </c>
      <c r="H159" s="94">
        <v>7.004792354868665E-3</v>
      </c>
      <c r="I159" s="45">
        <v>25429</v>
      </c>
      <c r="J159" s="17">
        <f t="shared" si="78"/>
        <v>1.1993114181955384</v>
      </c>
      <c r="K159" s="47">
        <f t="shared" si="71"/>
        <v>3.7407429613175891E-12</v>
      </c>
      <c r="L159" s="47">
        <f t="shared" si="79"/>
        <v>0</v>
      </c>
      <c r="M159" s="47">
        <f t="shared" si="76"/>
        <v>2189.8563740278655</v>
      </c>
      <c r="N159" s="29">
        <f t="shared" si="72"/>
        <v>5.8407455311573947E-8</v>
      </c>
      <c r="O159" s="31">
        <f t="shared" si="73"/>
        <v>3.3404156317293259</v>
      </c>
      <c r="P159" s="29">
        <f t="shared" si="80"/>
        <v>5.8407455311573947E-8</v>
      </c>
      <c r="Q159" s="76">
        <f t="shared" si="77"/>
        <v>7.6915912380242339</v>
      </c>
      <c r="R159" s="29">
        <f t="shared" si="75"/>
        <v>5.8407455311573947E-8</v>
      </c>
    </row>
    <row r="160" spans="1:18" x14ac:dyDescent="0.2">
      <c r="A160" s="10">
        <v>26</v>
      </c>
      <c r="B160" s="10" t="s">
        <v>156</v>
      </c>
      <c r="C160" s="10">
        <v>2</v>
      </c>
      <c r="D160" s="41">
        <f t="shared" si="69"/>
        <v>9.432627458378532E-5</v>
      </c>
      <c r="E160" s="36">
        <f t="shared" si="70"/>
        <v>8.5293103483209271E-10</v>
      </c>
      <c r="F160" s="40">
        <v>1.5</v>
      </c>
      <c r="G160" s="36" t="s">
        <v>190</v>
      </c>
      <c r="H160" s="95">
        <f>+C3*(F160^C4)</f>
        <v>1.7366466836238346E-2</v>
      </c>
      <c r="I160" s="42">
        <v>1240</v>
      </c>
      <c r="J160" s="17">
        <f t="shared" si="78"/>
        <v>5.8482290241946892E-2</v>
      </c>
      <c r="K160" s="47">
        <f t="shared" si="71"/>
        <v>8.8980821244686257E-15</v>
      </c>
      <c r="L160" s="47">
        <f t="shared" si="79"/>
        <v>0</v>
      </c>
      <c r="M160" s="47">
        <f t="shared" si="76"/>
        <v>883.28209368655962</v>
      </c>
      <c r="N160" s="29">
        <f t="shared" si="72"/>
        <v>2.5128196323944044E-9</v>
      </c>
      <c r="O160" s="31">
        <f t="shared" si="73"/>
        <v>2.9460994263024745</v>
      </c>
      <c r="P160" s="29">
        <f t="shared" si="80"/>
        <v>2.5128196323944044E-9</v>
      </c>
      <c r="Q160" s="76">
        <f t="shared" si="77"/>
        <v>6.783644621482388</v>
      </c>
      <c r="R160" s="29">
        <f t="shared" si="75"/>
        <v>2.5128196323944044E-9</v>
      </c>
    </row>
    <row r="161" spans="1:18" x14ac:dyDescent="0.2">
      <c r="A161" s="10">
        <v>27</v>
      </c>
      <c r="B161" s="10" t="s">
        <v>173</v>
      </c>
      <c r="C161" s="10">
        <v>809</v>
      </c>
      <c r="D161" s="41">
        <f t="shared" si="69"/>
        <v>3.8154978069141157E-2</v>
      </c>
      <c r="E161" s="36">
        <f t="shared" si="70"/>
        <v>3.4501060358958147E-7</v>
      </c>
      <c r="F161" s="40">
        <v>1.5</v>
      </c>
      <c r="G161" s="36" t="s">
        <v>190</v>
      </c>
      <c r="H161" s="96">
        <v>7.004792354868665E-3</v>
      </c>
      <c r="I161" s="45">
        <v>501754</v>
      </c>
      <c r="J161" s="17">
        <f t="shared" si="78"/>
        <v>23.66429278875631</v>
      </c>
      <c r="K161" s="47">
        <f t="shared" si="71"/>
        <v>1.4564114811729962E-9</v>
      </c>
      <c r="L161" s="47">
        <f t="shared" si="79"/>
        <v>0</v>
      </c>
      <c r="M161" s="47">
        <f t="shared" si="76"/>
        <v>2189.8563740278655</v>
      </c>
      <c r="N161" s="29">
        <f t="shared" si="72"/>
        <v>1.1524788133430078E-6</v>
      </c>
      <c r="O161" s="31">
        <f t="shared" si="73"/>
        <v>3.3404156317293259</v>
      </c>
      <c r="P161" s="29">
        <f t="shared" si="80"/>
        <v>1.1524788133430078E-6</v>
      </c>
      <c r="Q161" s="76">
        <f t="shared" si="77"/>
        <v>7.6915912380242339</v>
      </c>
      <c r="R161" s="29">
        <f t="shared" si="75"/>
        <v>1.1524788133430078E-6</v>
      </c>
    </row>
    <row r="162" spans="1:18" x14ac:dyDescent="0.2">
      <c r="A162" s="10">
        <v>28</v>
      </c>
      <c r="B162" s="10" t="s">
        <v>157</v>
      </c>
      <c r="C162" s="10">
        <v>51</v>
      </c>
      <c r="D162" s="41">
        <f t="shared" si="69"/>
        <v>2.4053200018865255E-3</v>
      </c>
      <c r="E162" s="36">
        <f t="shared" si="70"/>
        <v>2.1749741388218364E-8</v>
      </c>
      <c r="F162" s="40">
        <v>1.5</v>
      </c>
      <c r="G162" s="36" t="s">
        <v>190</v>
      </c>
      <c r="H162" s="95">
        <f>0.0035*(F162^3.1378)</f>
        <v>1.249128729297364E-2</v>
      </c>
      <c r="I162" s="45">
        <v>31631</v>
      </c>
      <c r="J162" s="17">
        <f t="shared" si="78"/>
        <v>1.4918171956798567</v>
      </c>
      <c r="K162" s="47">
        <f t="shared" si="71"/>
        <v>5.7879907337227523E-12</v>
      </c>
      <c r="L162" s="47">
        <f t="shared" si="79"/>
        <v>0</v>
      </c>
      <c r="M162" s="47">
        <f t="shared" si="76"/>
        <v>1228.0150818146089</v>
      </c>
      <c r="N162" s="29">
        <f t="shared" si="72"/>
        <v>6.7189381583728811E-8</v>
      </c>
      <c r="O162" s="31">
        <f t="shared" si="73"/>
        <v>3.0892037006069732</v>
      </c>
      <c r="P162" s="29">
        <f t="shared" si="80"/>
        <v>6.7189381583728811E-8</v>
      </c>
      <c r="Q162" s="76">
        <f t="shared" si="77"/>
        <v>7.1131543902396572</v>
      </c>
      <c r="R162" s="29">
        <f t="shared" si="75"/>
        <v>6.7189381583728811E-8</v>
      </c>
    </row>
    <row r="163" spans="1:18" x14ac:dyDescent="0.2">
      <c r="C163" s="5">
        <f>SUM(C11:C162)</f>
        <v>2344855467</v>
      </c>
    </row>
    <row r="166" spans="1:18" ht="17" x14ac:dyDescent="0.25">
      <c r="E166" s="33"/>
      <c r="F166" s="33"/>
    </row>
  </sheetData>
  <sortState ref="T15:V26">
    <sortCondition ref="T14"/>
  </sortState>
  <hyperlinks>
    <hyperlink ref="B7" r:id="rId1" xr:uid="{00000000-0004-0000-0100-000000000000}"/>
  </hyperlinks>
  <pageMargins left="0.7" right="0.7" top="0.75" bottom="0.75" header="0.3" footer="0.3"/>
  <pageSetup paperSize="9" orientation="portrait" r:id="rId2"/>
  <ignoredErrors>
    <ignoredError sqref="Q11 O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zoomScale="75" zoomScaleNormal="75" workbookViewId="0">
      <selection activeCell="P20" sqref="P20"/>
    </sheetView>
  </sheetViews>
  <sheetFormatPr baseColWidth="10" defaultColWidth="8.83203125" defaultRowHeight="15" x14ac:dyDescent="0.2"/>
  <cols>
    <col min="1" max="1" width="26.5" customWidth="1"/>
    <col min="2" max="2" width="12.5" customWidth="1"/>
    <col min="3" max="3" width="8.83203125" customWidth="1"/>
    <col min="4" max="4" width="12.6640625" customWidth="1"/>
    <col min="5" max="5" width="12.6640625" style="17" customWidth="1"/>
    <col min="6" max="6" width="13.5" style="17" customWidth="1"/>
    <col min="7" max="7" width="12.1640625" customWidth="1"/>
    <col min="8" max="8" width="11.5" customWidth="1"/>
    <col min="9" max="9" width="16.33203125" customWidth="1"/>
    <col min="10" max="10" width="11.6640625" customWidth="1"/>
    <col min="11" max="11" width="15.33203125" customWidth="1"/>
    <col min="12" max="12" width="14" customWidth="1"/>
    <col min="13" max="13" width="12.33203125" customWidth="1"/>
    <col min="14" max="15" width="12.6640625" customWidth="1"/>
    <col min="16" max="16" width="13.83203125" customWidth="1"/>
  </cols>
  <sheetData>
    <row r="1" spans="1:16" x14ac:dyDescent="0.2">
      <c r="F1" s="16">
        <f>+AVERAGE(F3,F4:F9,F12:F16,F18:F20,F22:F25)</f>
        <v>12.842105263157896</v>
      </c>
      <c r="G1" s="16">
        <f>+MIN(G3,G4:G9,G12:G16,G18:G20,G22:G25)</f>
        <v>4</v>
      </c>
      <c r="H1">
        <f>+MAX(H3,H4:H9,H12:H16,H18:H20,H22:H25)</f>
        <v>19.5</v>
      </c>
      <c r="I1" s="118" t="s">
        <v>174</v>
      </c>
      <c r="J1" s="118"/>
      <c r="K1" s="118"/>
      <c r="L1" s="118"/>
    </row>
    <row r="2" spans="1:16" x14ac:dyDescent="0.2">
      <c r="A2" t="s">
        <v>3</v>
      </c>
      <c r="B2" t="s">
        <v>2</v>
      </c>
      <c r="C2" t="s">
        <v>1</v>
      </c>
      <c r="D2" t="s">
        <v>7</v>
      </c>
      <c r="E2" s="17" t="s">
        <v>176</v>
      </c>
      <c r="F2" s="68" t="s">
        <v>189</v>
      </c>
      <c r="G2" s="68" t="s">
        <v>219</v>
      </c>
      <c r="H2" s="17" t="s">
        <v>220</v>
      </c>
      <c r="I2" t="s">
        <v>10</v>
      </c>
      <c r="J2" t="s">
        <v>11</v>
      </c>
      <c r="K2" t="s">
        <v>12</v>
      </c>
      <c r="L2" t="s">
        <v>13</v>
      </c>
      <c r="M2" s="1"/>
    </row>
    <row r="3" spans="1:16" x14ac:dyDescent="0.2">
      <c r="A3" t="s">
        <v>4</v>
      </c>
      <c r="B3" t="s">
        <v>0</v>
      </c>
      <c r="C3">
        <v>1</v>
      </c>
      <c r="D3" t="s">
        <v>8</v>
      </c>
      <c r="E3" s="17">
        <v>633</v>
      </c>
      <c r="F3" s="17">
        <f>+(G3+H3)/2</f>
        <v>14</v>
      </c>
      <c r="G3">
        <v>9</v>
      </c>
      <c r="H3">
        <v>19</v>
      </c>
      <c r="I3" s="12">
        <v>0.1</v>
      </c>
      <c r="J3" s="12">
        <v>0.2</v>
      </c>
      <c r="K3" s="12">
        <v>0.6</v>
      </c>
      <c r="L3" s="12">
        <v>0.1</v>
      </c>
      <c r="O3" s="5"/>
    </row>
    <row r="4" spans="1:16" x14ac:dyDescent="0.2">
      <c r="A4" t="s">
        <v>4</v>
      </c>
      <c r="B4" t="s">
        <v>0</v>
      </c>
      <c r="C4">
        <v>2</v>
      </c>
      <c r="D4" s="17" t="s">
        <v>8</v>
      </c>
      <c r="E4" s="17">
        <v>1021</v>
      </c>
      <c r="F4" s="17">
        <f t="shared" ref="F4:F25" si="0">+(G4+H4)/2</f>
        <v>12.5</v>
      </c>
      <c r="G4" s="7">
        <v>5.5</v>
      </c>
      <c r="H4" s="7">
        <v>19.5</v>
      </c>
      <c r="I4" s="13">
        <v>0.4</v>
      </c>
      <c r="J4" s="14">
        <v>0.2</v>
      </c>
      <c r="K4" s="14">
        <v>0.2</v>
      </c>
      <c r="L4" s="14">
        <v>0.2</v>
      </c>
      <c r="O4" s="5"/>
    </row>
    <row r="5" spans="1:16" x14ac:dyDescent="0.2">
      <c r="A5" t="s">
        <v>4</v>
      </c>
      <c r="B5" t="s">
        <v>0</v>
      </c>
      <c r="C5">
        <v>3</v>
      </c>
      <c r="D5" s="17" t="s">
        <v>8</v>
      </c>
      <c r="E5" s="17">
        <v>639</v>
      </c>
      <c r="F5" s="17">
        <f t="shared" si="0"/>
        <v>14.25</v>
      </c>
      <c r="G5">
        <v>9.5</v>
      </c>
      <c r="H5">
        <v>19</v>
      </c>
      <c r="I5" s="2">
        <v>0.1</v>
      </c>
      <c r="J5" s="4">
        <v>0.05</v>
      </c>
      <c r="K5" s="4">
        <v>0.8</v>
      </c>
      <c r="L5" s="4">
        <v>0.05</v>
      </c>
      <c r="O5" s="5"/>
    </row>
    <row r="6" spans="1:16" x14ac:dyDescent="0.2">
      <c r="A6" t="s">
        <v>4</v>
      </c>
      <c r="B6" t="s">
        <v>0</v>
      </c>
      <c r="C6">
        <v>4</v>
      </c>
      <c r="D6" s="17" t="s">
        <v>8</v>
      </c>
      <c r="E6" s="17">
        <v>739</v>
      </c>
      <c r="F6" s="17">
        <f t="shared" si="0"/>
        <v>13.75</v>
      </c>
      <c r="G6">
        <v>8</v>
      </c>
      <c r="H6">
        <v>19.5</v>
      </c>
      <c r="I6" s="4">
        <v>0.1</v>
      </c>
      <c r="J6" s="4">
        <v>0.1</v>
      </c>
      <c r="K6" s="4">
        <v>0.8</v>
      </c>
      <c r="L6" s="4">
        <v>0.05</v>
      </c>
      <c r="O6" s="5"/>
      <c r="P6" s="5"/>
    </row>
    <row r="7" spans="1:16" x14ac:dyDescent="0.2">
      <c r="A7" t="s">
        <v>4</v>
      </c>
      <c r="B7" t="s">
        <v>0</v>
      </c>
      <c r="C7">
        <v>5</v>
      </c>
      <c r="D7" s="17" t="s">
        <v>8</v>
      </c>
      <c r="E7" s="17">
        <v>1259</v>
      </c>
      <c r="F7" s="17">
        <f t="shared" si="0"/>
        <v>12.75</v>
      </c>
      <c r="G7">
        <v>6.5</v>
      </c>
      <c r="H7">
        <v>19</v>
      </c>
      <c r="I7" s="4">
        <v>0.1</v>
      </c>
      <c r="J7" s="4">
        <v>0.1</v>
      </c>
      <c r="K7" s="4">
        <v>0.7</v>
      </c>
      <c r="L7" s="4">
        <v>0.05</v>
      </c>
    </row>
    <row r="8" spans="1:16" x14ac:dyDescent="0.2">
      <c r="A8" t="s">
        <v>4</v>
      </c>
      <c r="B8" t="s">
        <v>0</v>
      </c>
      <c r="C8">
        <v>6</v>
      </c>
      <c r="D8" s="17" t="s">
        <v>8</v>
      </c>
      <c r="E8" s="17">
        <v>687</v>
      </c>
      <c r="F8" s="17">
        <f t="shared" si="0"/>
        <v>13.75</v>
      </c>
      <c r="G8">
        <v>9.5</v>
      </c>
      <c r="H8">
        <v>18</v>
      </c>
      <c r="I8" s="4">
        <v>0.1</v>
      </c>
      <c r="J8" s="4">
        <v>0.1</v>
      </c>
      <c r="K8" s="4">
        <v>0.7</v>
      </c>
      <c r="L8" s="4">
        <v>0.05</v>
      </c>
    </row>
    <row r="9" spans="1:16" x14ac:dyDescent="0.2">
      <c r="A9" t="s">
        <v>4</v>
      </c>
      <c r="B9" t="s">
        <v>0</v>
      </c>
      <c r="C9">
        <v>7</v>
      </c>
      <c r="D9" s="17" t="s">
        <v>8</v>
      </c>
      <c r="E9" s="17">
        <v>624</v>
      </c>
      <c r="F9" s="17">
        <f t="shared" si="0"/>
        <v>10</v>
      </c>
      <c r="G9">
        <v>4</v>
      </c>
      <c r="H9">
        <v>16</v>
      </c>
      <c r="I9" s="4">
        <v>0.1</v>
      </c>
      <c r="J9" s="4">
        <v>0.2</v>
      </c>
      <c r="K9" s="4">
        <v>0.6</v>
      </c>
      <c r="L9" s="1" t="s">
        <v>18</v>
      </c>
    </row>
    <row r="10" spans="1:16" x14ac:dyDescent="0.2">
      <c r="A10" t="s">
        <v>4</v>
      </c>
      <c r="B10" t="s">
        <v>0</v>
      </c>
      <c r="C10">
        <v>8</v>
      </c>
      <c r="D10" s="17" t="s">
        <v>8</v>
      </c>
      <c r="E10" s="17">
        <v>798</v>
      </c>
      <c r="F10" s="17">
        <f t="shared" si="0"/>
        <v>10.25</v>
      </c>
      <c r="G10" s="7">
        <v>4</v>
      </c>
      <c r="H10" s="7">
        <v>16.5</v>
      </c>
      <c r="I10" s="14">
        <v>0.1</v>
      </c>
      <c r="J10" s="14">
        <v>0.6</v>
      </c>
      <c r="K10" s="15" t="s">
        <v>18</v>
      </c>
      <c r="L10" s="15" t="s">
        <v>18</v>
      </c>
    </row>
    <row r="11" spans="1:16" x14ac:dyDescent="0.2">
      <c r="A11" t="s">
        <v>4</v>
      </c>
      <c r="B11" t="s">
        <v>0</v>
      </c>
      <c r="C11">
        <v>9</v>
      </c>
      <c r="D11" s="17" t="s">
        <v>8</v>
      </c>
      <c r="E11" s="17">
        <v>1266</v>
      </c>
      <c r="F11" s="17">
        <f t="shared" si="0"/>
        <v>13.5</v>
      </c>
      <c r="G11" s="7">
        <v>10</v>
      </c>
      <c r="H11" s="7">
        <v>17</v>
      </c>
      <c r="I11" s="14">
        <v>0.1</v>
      </c>
      <c r="J11" s="14">
        <v>0.6</v>
      </c>
      <c r="K11" s="15" t="s">
        <v>19</v>
      </c>
      <c r="L11" s="15" t="s">
        <v>18</v>
      </c>
    </row>
    <row r="12" spans="1:16" x14ac:dyDescent="0.2">
      <c r="A12" t="s">
        <v>4</v>
      </c>
      <c r="B12" t="s">
        <v>0</v>
      </c>
      <c r="C12">
        <v>10</v>
      </c>
      <c r="D12" s="17" t="s">
        <v>8</v>
      </c>
      <c r="E12" s="17">
        <v>336</v>
      </c>
      <c r="F12" s="17">
        <f t="shared" si="0"/>
        <v>14</v>
      </c>
      <c r="G12">
        <v>10</v>
      </c>
      <c r="H12">
        <v>18</v>
      </c>
      <c r="I12" s="4">
        <v>0.1</v>
      </c>
      <c r="J12" s="4">
        <v>0.1</v>
      </c>
      <c r="K12" s="4">
        <v>0.9</v>
      </c>
      <c r="L12" s="1" t="s">
        <v>18</v>
      </c>
    </row>
    <row r="13" spans="1:16" x14ac:dyDescent="0.2">
      <c r="A13" t="s">
        <v>4</v>
      </c>
      <c r="B13" t="s">
        <v>0</v>
      </c>
      <c r="C13">
        <v>11</v>
      </c>
      <c r="D13" s="17" t="s">
        <v>8</v>
      </c>
      <c r="E13" s="17">
        <v>1412</v>
      </c>
      <c r="F13" s="17">
        <f t="shared" si="0"/>
        <v>13</v>
      </c>
      <c r="G13">
        <v>8</v>
      </c>
      <c r="H13">
        <v>18</v>
      </c>
      <c r="I13" s="4">
        <v>0.1</v>
      </c>
      <c r="J13" s="4">
        <v>0.4</v>
      </c>
      <c r="K13" s="4">
        <v>0.5</v>
      </c>
      <c r="L13" s="1" t="s">
        <v>18</v>
      </c>
    </row>
    <row r="14" spans="1:16" x14ac:dyDescent="0.2">
      <c r="A14" t="s">
        <v>4</v>
      </c>
      <c r="B14" t="s">
        <v>0</v>
      </c>
      <c r="C14">
        <v>12</v>
      </c>
      <c r="D14" s="17" t="s">
        <v>8</v>
      </c>
      <c r="E14" s="17">
        <v>2277</v>
      </c>
      <c r="F14" s="17">
        <f t="shared" si="0"/>
        <v>12.5</v>
      </c>
      <c r="G14">
        <v>6.5</v>
      </c>
      <c r="H14">
        <v>18.5</v>
      </c>
      <c r="I14" s="4">
        <v>0.1</v>
      </c>
      <c r="J14" s="4">
        <v>0.1</v>
      </c>
      <c r="K14" s="4">
        <v>0.8</v>
      </c>
      <c r="L14" s="1" t="s">
        <v>18</v>
      </c>
    </row>
    <row r="15" spans="1:16" x14ac:dyDescent="0.2">
      <c r="A15" t="s">
        <v>4</v>
      </c>
      <c r="B15" t="s">
        <v>0</v>
      </c>
      <c r="C15">
        <v>13</v>
      </c>
      <c r="D15" s="17" t="s">
        <v>8</v>
      </c>
      <c r="E15" s="17">
        <v>928</v>
      </c>
      <c r="F15" s="17">
        <f t="shared" si="0"/>
        <v>13</v>
      </c>
      <c r="G15">
        <v>7.5</v>
      </c>
      <c r="H15">
        <v>18.5</v>
      </c>
      <c r="I15" s="4">
        <v>0.1</v>
      </c>
      <c r="J15" s="4">
        <v>0.4</v>
      </c>
      <c r="K15" s="4">
        <v>0.5</v>
      </c>
      <c r="L15" s="1" t="s">
        <v>18</v>
      </c>
    </row>
    <row r="16" spans="1:16" x14ac:dyDescent="0.2">
      <c r="A16" t="s">
        <v>4</v>
      </c>
      <c r="B16" t="s">
        <v>0</v>
      </c>
      <c r="C16">
        <v>14</v>
      </c>
      <c r="D16" s="17" t="s">
        <v>8</v>
      </c>
      <c r="E16" s="17">
        <v>574</v>
      </c>
      <c r="F16" s="17">
        <f t="shared" si="0"/>
        <v>12.75</v>
      </c>
      <c r="G16">
        <v>7</v>
      </c>
      <c r="H16">
        <v>18.5</v>
      </c>
      <c r="I16" s="4">
        <v>0.1</v>
      </c>
      <c r="J16" s="4">
        <v>0.1</v>
      </c>
      <c r="K16" s="4">
        <v>0.9</v>
      </c>
      <c r="L16" s="1" t="s">
        <v>18</v>
      </c>
    </row>
    <row r="17" spans="1:12" x14ac:dyDescent="0.2">
      <c r="A17" t="s">
        <v>4</v>
      </c>
      <c r="B17" t="s">
        <v>0</v>
      </c>
      <c r="C17">
        <v>15</v>
      </c>
      <c r="D17" s="17" t="s">
        <v>8</v>
      </c>
      <c r="E17" s="17">
        <v>846</v>
      </c>
      <c r="F17" s="17">
        <f t="shared" si="0"/>
        <v>12.25</v>
      </c>
      <c r="G17" s="7">
        <v>6.5</v>
      </c>
      <c r="H17" s="7">
        <v>18</v>
      </c>
      <c r="I17" s="14">
        <v>0.1</v>
      </c>
      <c r="J17" s="14">
        <v>0.6</v>
      </c>
      <c r="K17" s="15" t="s">
        <v>20</v>
      </c>
      <c r="L17" s="15" t="s">
        <v>18</v>
      </c>
    </row>
    <row r="18" spans="1:12" x14ac:dyDescent="0.2">
      <c r="A18" t="s">
        <v>4</v>
      </c>
      <c r="B18" t="s">
        <v>0</v>
      </c>
      <c r="C18">
        <v>16</v>
      </c>
      <c r="D18" s="17" t="s">
        <v>8</v>
      </c>
      <c r="E18" s="17">
        <v>1630</v>
      </c>
      <c r="F18" s="17">
        <f t="shared" si="0"/>
        <v>13.5</v>
      </c>
      <c r="G18">
        <v>8.5</v>
      </c>
      <c r="H18">
        <v>18.5</v>
      </c>
      <c r="I18" s="4">
        <v>0.1</v>
      </c>
      <c r="J18" s="4">
        <v>0.4</v>
      </c>
      <c r="K18" s="1" t="s">
        <v>21</v>
      </c>
      <c r="L18" s="1" t="s">
        <v>18</v>
      </c>
    </row>
    <row r="19" spans="1:12" x14ac:dyDescent="0.2">
      <c r="A19" t="s">
        <v>4</v>
      </c>
      <c r="B19" t="s">
        <v>0</v>
      </c>
      <c r="C19">
        <v>17</v>
      </c>
      <c r="D19" s="17" t="s">
        <v>8</v>
      </c>
      <c r="E19" s="17">
        <v>1596</v>
      </c>
      <c r="F19" s="17">
        <f t="shared" si="0"/>
        <v>12.75</v>
      </c>
      <c r="G19">
        <v>6.5</v>
      </c>
      <c r="H19">
        <v>19</v>
      </c>
      <c r="I19" s="4">
        <v>0.1</v>
      </c>
      <c r="J19" s="4">
        <v>0.1</v>
      </c>
      <c r="K19" s="1" t="s">
        <v>21</v>
      </c>
      <c r="L19" s="1" t="s">
        <v>18</v>
      </c>
    </row>
    <row r="20" spans="1:12" x14ac:dyDescent="0.2">
      <c r="A20" t="s">
        <v>4</v>
      </c>
      <c r="B20" t="s">
        <v>0</v>
      </c>
      <c r="C20">
        <v>18</v>
      </c>
      <c r="D20" s="17" t="s">
        <v>8</v>
      </c>
      <c r="E20" s="17">
        <v>1650</v>
      </c>
      <c r="F20" s="17">
        <f t="shared" si="0"/>
        <v>12.5</v>
      </c>
      <c r="G20">
        <v>7</v>
      </c>
      <c r="H20">
        <v>18</v>
      </c>
      <c r="I20" s="4">
        <v>0.1</v>
      </c>
      <c r="J20" s="4">
        <v>0.2</v>
      </c>
      <c r="K20" s="1" t="s">
        <v>24</v>
      </c>
      <c r="L20" s="1" t="s">
        <v>18</v>
      </c>
    </row>
    <row r="21" spans="1:12" x14ac:dyDescent="0.2">
      <c r="A21" t="s">
        <v>4</v>
      </c>
      <c r="B21" t="s">
        <v>0</v>
      </c>
      <c r="C21">
        <v>19</v>
      </c>
      <c r="D21" s="17" t="s">
        <v>8</v>
      </c>
      <c r="E21" s="17">
        <v>281</v>
      </c>
      <c r="F21" s="17">
        <f t="shared" si="0"/>
        <v>13.25</v>
      </c>
      <c r="G21" s="7">
        <v>9.5</v>
      </c>
      <c r="H21" s="7">
        <v>17</v>
      </c>
      <c r="I21" s="14">
        <v>0.1</v>
      </c>
      <c r="J21" s="14">
        <v>0.4</v>
      </c>
      <c r="K21" s="15" t="s">
        <v>24</v>
      </c>
      <c r="L21" s="15" t="s">
        <v>19</v>
      </c>
    </row>
    <row r="22" spans="1:12" x14ac:dyDescent="0.2">
      <c r="A22" t="s">
        <v>4</v>
      </c>
      <c r="B22" t="s">
        <v>0</v>
      </c>
      <c r="C22">
        <v>20</v>
      </c>
      <c r="D22" s="17" t="s">
        <v>8</v>
      </c>
      <c r="E22" s="17">
        <v>416</v>
      </c>
      <c r="F22" s="17">
        <f t="shared" si="0"/>
        <v>13.5</v>
      </c>
      <c r="G22">
        <v>10</v>
      </c>
      <c r="H22">
        <v>17</v>
      </c>
      <c r="I22" s="4">
        <v>0.1</v>
      </c>
      <c r="J22" s="4">
        <v>0.2</v>
      </c>
      <c r="K22" s="1" t="s">
        <v>21</v>
      </c>
      <c r="L22" s="1" t="s">
        <v>18</v>
      </c>
    </row>
    <row r="23" spans="1:12" x14ac:dyDescent="0.2">
      <c r="A23" t="s">
        <v>4</v>
      </c>
      <c r="B23" t="s">
        <v>0</v>
      </c>
      <c r="C23">
        <v>21</v>
      </c>
      <c r="D23" s="17" t="s">
        <v>8</v>
      </c>
      <c r="E23" s="17">
        <v>524</v>
      </c>
      <c r="F23" s="17">
        <f t="shared" si="0"/>
        <v>12</v>
      </c>
      <c r="G23">
        <v>6.5</v>
      </c>
      <c r="H23">
        <v>17.5</v>
      </c>
      <c r="I23" s="4">
        <v>0.1</v>
      </c>
      <c r="J23" s="4">
        <v>0.2</v>
      </c>
      <c r="K23" s="1" t="s">
        <v>24</v>
      </c>
      <c r="L23" s="1" t="s">
        <v>18</v>
      </c>
    </row>
    <row r="24" spans="1:12" x14ac:dyDescent="0.2">
      <c r="A24" t="s">
        <v>4</v>
      </c>
      <c r="B24" t="s">
        <v>0</v>
      </c>
      <c r="C24">
        <v>22</v>
      </c>
      <c r="D24" s="17" t="s">
        <v>8</v>
      </c>
      <c r="E24" s="17">
        <v>243</v>
      </c>
      <c r="F24" s="17">
        <f t="shared" si="0"/>
        <v>12.5</v>
      </c>
      <c r="G24">
        <v>7.5</v>
      </c>
      <c r="H24">
        <v>17.5</v>
      </c>
      <c r="I24" s="4">
        <v>0.1</v>
      </c>
      <c r="J24" s="4">
        <v>0.3</v>
      </c>
      <c r="K24" s="1" t="s">
        <v>21</v>
      </c>
      <c r="L24" s="1" t="s">
        <v>18</v>
      </c>
    </row>
    <row r="25" spans="1:12" x14ac:dyDescent="0.2">
      <c r="A25" t="s">
        <v>4</v>
      </c>
      <c r="B25" t="s">
        <v>0</v>
      </c>
      <c r="C25">
        <v>23</v>
      </c>
      <c r="D25" s="17" t="s">
        <v>8</v>
      </c>
      <c r="E25" s="17">
        <v>824</v>
      </c>
      <c r="F25" s="17">
        <f t="shared" si="0"/>
        <v>11</v>
      </c>
      <c r="G25">
        <v>4.5</v>
      </c>
      <c r="H25">
        <v>17.5</v>
      </c>
      <c r="I25" s="4">
        <v>0.1</v>
      </c>
      <c r="J25" s="4">
        <v>0.3</v>
      </c>
      <c r="K25" s="1" t="s">
        <v>21</v>
      </c>
      <c r="L25" s="1" t="s">
        <v>18</v>
      </c>
    </row>
    <row r="26" spans="1:12" x14ac:dyDescent="0.2">
      <c r="E26" s="17">
        <f>+SUM(E3:E25)</f>
        <v>21203</v>
      </c>
      <c r="F26" s="17">
        <f>+AVERAGE(F3:F25)</f>
        <v>12.75</v>
      </c>
      <c r="I26" s="1"/>
      <c r="J26" s="1"/>
      <c r="K26" s="1"/>
      <c r="L26" s="1"/>
    </row>
    <row r="27" spans="1:12" s="17" customFormat="1" x14ac:dyDescent="0.2">
      <c r="I27" s="3"/>
      <c r="J27" s="3"/>
      <c r="K27" s="3"/>
      <c r="L27" s="3"/>
    </row>
    <row r="28" spans="1:12" x14ac:dyDescent="0.2">
      <c r="A28" t="s">
        <v>5</v>
      </c>
      <c r="B28" t="s">
        <v>6</v>
      </c>
      <c r="C28">
        <v>1</v>
      </c>
      <c r="D28" t="s">
        <v>9</v>
      </c>
      <c r="E28" s="17">
        <v>16</v>
      </c>
      <c r="F28" s="17">
        <f t="shared" ref="F28:F33" si="1">+(G28+H28)/2</f>
        <v>27.5</v>
      </c>
      <c r="G28">
        <v>25</v>
      </c>
      <c r="H28">
        <v>30</v>
      </c>
      <c r="I28" s="1" t="s">
        <v>18</v>
      </c>
      <c r="J28" s="1" t="s">
        <v>23</v>
      </c>
      <c r="K28" s="1" t="s">
        <v>14</v>
      </c>
      <c r="L28" s="1" t="s">
        <v>25</v>
      </c>
    </row>
    <row r="29" spans="1:12" x14ac:dyDescent="0.2">
      <c r="A29" t="s">
        <v>5</v>
      </c>
      <c r="B29" t="s">
        <v>6</v>
      </c>
      <c r="C29">
        <v>2</v>
      </c>
      <c r="D29" t="s">
        <v>9</v>
      </c>
      <c r="E29" s="17">
        <v>67</v>
      </c>
      <c r="F29" s="17">
        <f t="shared" si="1"/>
        <v>25.5</v>
      </c>
      <c r="G29">
        <v>21</v>
      </c>
      <c r="H29">
        <v>30</v>
      </c>
      <c r="I29" s="1" t="s">
        <v>18</v>
      </c>
      <c r="J29" s="1" t="s">
        <v>20</v>
      </c>
      <c r="K29" s="1" t="s">
        <v>21</v>
      </c>
      <c r="L29" s="1" t="s">
        <v>25</v>
      </c>
    </row>
    <row r="30" spans="1:12" x14ac:dyDescent="0.2">
      <c r="A30" t="s">
        <v>5</v>
      </c>
      <c r="B30" t="s">
        <v>6</v>
      </c>
      <c r="C30">
        <v>3</v>
      </c>
      <c r="D30" t="s">
        <v>9</v>
      </c>
      <c r="E30" s="17">
        <v>79</v>
      </c>
      <c r="F30" s="17">
        <f t="shared" si="1"/>
        <v>20</v>
      </c>
      <c r="G30">
        <v>10</v>
      </c>
      <c r="H30">
        <v>30</v>
      </c>
      <c r="I30" s="1" t="s">
        <v>18</v>
      </c>
      <c r="J30" s="4" t="s">
        <v>22</v>
      </c>
      <c r="K30" s="1" t="s">
        <v>17</v>
      </c>
      <c r="L30" s="1" t="s">
        <v>14</v>
      </c>
    </row>
    <row r="31" spans="1:12" x14ac:dyDescent="0.2">
      <c r="A31" t="s">
        <v>5</v>
      </c>
      <c r="B31" t="s">
        <v>6</v>
      </c>
      <c r="C31">
        <v>4</v>
      </c>
      <c r="D31" t="s">
        <v>9</v>
      </c>
      <c r="E31" s="17">
        <v>187</v>
      </c>
      <c r="F31" s="17">
        <f t="shared" si="1"/>
        <v>20</v>
      </c>
      <c r="G31">
        <v>11</v>
      </c>
      <c r="H31">
        <v>29</v>
      </c>
      <c r="I31" s="1" t="s">
        <v>18</v>
      </c>
      <c r="J31" s="1" t="s">
        <v>16</v>
      </c>
      <c r="K31" s="1" t="s">
        <v>16</v>
      </c>
      <c r="L31" s="1" t="s">
        <v>26</v>
      </c>
    </row>
    <row r="32" spans="1:12" x14ac:dyDescent="0.2">
      <c r="A32" t="s">
        <v>5</v>
      </c>
      <c r="B32" t="s">
        <v>6</v>
      </c>
      <c r="C32">
        <v>5</v>
      </c>
      <c r="D32" t="s">
        <v>9</v>
      </c>
      <c r="E32" s="17">
        <v>59</v>
      </c>
      <c r="F32" s="17">
        <f t="shared" si="1"/>
        <v>18.5</v>
      </c>
      <c r="G32">
        <v>16</v>
      </c>
      <c r="H32">
        <v>21</v>
      </c>
      <c r="I32" s="1" t="s">
        <v>18</v>
      </c>
      <c r="J32" s="1" t="s">
        <v>21</v>
      </c>
      <c r="K32" s="1" t="s">
        <v>15</v>
      </c>
      <c r="L32" s="1" t="s">
        <v>27</v>
      </c>
    </row>
    <row r="33" spans="1:12" x14ac:dyDescent="0.2">
      <c r="A33" t="s">
        <v>5</v>
      </c>
      <c r="B33" t="s">
        <v>6</v>
      </c>
      <c r="C33">
        <v>6</v>
      </c>
      <c r="D33" t="s">
        <v>9</v>
      </c>
      <c r="E33" s="17">
        <v>47</v>
      </c>
      <c r="F33" s="17">
        <f t="shared" si="1"/>
        <v>20</v>
      </c>
      <c r="G33">
        <v>18</v>
      </c>
      <c r="H33">
        <v>22</v>
      </c>
      <c r="I33" s="1" t="s">
        <v>18</v>
      </c>
      <c r="J33" s="1" t="s">
        <v>28</v>
      </c>
      <c r="K33" s="1" t="s">
        <v>28</v>
      </c>
      <c r="L33" s="1" t="s">
        <v>14</v>
      </c>
    </row>
    <row r="34" spans="1:12" x14ac:dyDescent="0.2">
      <c r="E34" s="17">
        <f>+SUM(E28:E33)</f>
        <v>455</v>
      </c>
      <c r="F34" s="20">
        <f>+AVERAGE(F28:F33)</f>
        <v>21.916666666666668</v>
      </c>
    </row>
  </sheetData>
  <mergeCells count="1"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38"/>
  <sheetViews>
    <sheetView zoomScale="75" zoomScaleNormal="75" workbookViewId="0">
      <selection activeCell="A39" sqref="A39"/>
    </sheetView>
  </sheetViews>
  <sheetFormatPr baseColWidth="10" defaultColWidth="8.83203125" defaultRowHeight="15" x14ac:dyDescent="0.2"/>
  <cols>
    <col min="1" max="1" width="18" customWidth="1"/>
    <col min="2" max="2" width="22.5" style="10" customWidth="1"/>
    <col min="3" max="3" width="26" style="10" customWidth="1"/>
    <col min="4" max="4" width="9.1640625" style="51"/>
  </cols>
  <sheetData>
    <row r="2" spans="1:4" x14ac:dyDescent="0.2">
      <c r="B2" s="10" t="s">
        <v>68</v>
      </c>
      <c r="C2" s="39" t="s">
        <v>210</v>
      </c>
    </row>
    <row r="3" spans="1:4" ht="17" x14ac:dyDescent="0.2">
      <c r="A3" s="17" t="s">
        <v>29</v>
      </c>
      <c r="B3" s="10" t="s">
        <v>30</v>
      </c>
      <c r="C3" s="37">
        <v>16828</v>
      </c>
      <c r="D3" s="51" t="s">
        <v>212</v>
      </c>
    </row>
    <row r="4" spans="1:4" ht="17" x14ac:dyDescent="0.2">
      <c r="B4" s="10" t="s">
        <v>31</v>
      </c>
      <c r="C4" s="37">
        <v>2749</v>
      </c>
      <c r="D4" s="51" t="s">
        <v>212</v>
      </c>
    </row>
    <row r="5" spans="1:4" ht="17" x14ac:dyDescent="0.2">
      <c r="B5" s="10" t="s">
        <v>32</v>
      </c>
      <c r="C5" s="37">
        <v>6187</v>
      </c>
      <c r="D5" s="51" t="s">
        <v>212</v>
      </c>
    </row>
    <row r="6" spans="1:4" ht="17" x14ac:dyDescent="0.2">
      <c r="B6" s="10" t="s">
        <v>33</v>
      </c>
      <c r="C6" s="37">
        <v>1500</v>
      </c>
      <c r="D6" s="51" t="s">
        <v>212</v>
      </c>
    </row>
    <row r="7" spans="1:4" ht="17" x14ac:dyDescent="0.2">
      <c r="B7" s="10" t="s">
        <v>34</v>
      </c>
      <c r="C7" s="37">
        <v>3534</v>
      </c>
      <c r="D7" s="51" t="s">
        <v>212</v>
      </c>
    </row>
    <row r="8" spans="1:4" ht="17" x14ac:dyDescent="0.2">
      <c r="B8" s="10" t="s">
        <v>35</v>
      </c>
      <c r="C8" s="37">
        <v>100531</v>
      </c>
      <c r="D8" s="51" t="s">
        <v>212</v>
      </c>
    </row>
    <row r="9" spans="1:4" ht="17" x14ac:dyDescent="0.2">
      <c r="B9" s="10" t="s">
        <v>36</v>
      </c>
      <c r="C9" s="37">
        <v>30015</v>
      </c>
      <c r="D9" s="51" t="s">
        <v>212</v>
      </c>
    </row>
    <row r="10" spans="1:4" ht="17" x14ac:dyDescent="0.2">
      <c r="B10" s="10" t="s">
        <v>37</v>
      </c>
      <c r="C10" s="37">
        <v>3937</v>
      </c>
      <c r="D10" s="51" t="s">
        <v>212</v>
      </c>
    </row>
    <row r="11" spans="1:4" ht="17" x14ac:dyDescent="0.2">
      <c r="B11" s="10" t="s">
        <v>38</v>
      </c>
      <c r="C11" s="37">
        <v>780</v>
      </c>
      <c r="D11" s="51" t="s">
        <v>212</v>
      </c>
    </row>
    <row r="12" spans="1:4" ht="17" x14ac:dyDescent="0.2">
      <c r="B12" s="10" t="s">
        <v>39</v>
      </c>
      <c r="C12" s="37">
        <v>35605</v>
      </c>
      <c r="D12" s="51" t="s">
        <v>212</v>
      </c>
    </row>
    <row r="13" spans="1:4" ht="17" x14ac:dyDescent="0.2">
      <c r="B13" s="53" t="s">
        <v>40</v>
      </c>
      <c r="C13" s="37">
        <v>994625</v>
      </c>
      <c r="D13" s="51" t="s">
        <v>212</v>
      </c>
    </row>
    <row r="14" spans="1:4" ht="17" x14ac:dyDescent="0.2">
      <c r="B14" s="10" t="s">
        <v>41</v>
      </c>
      <c r="C14" s="37">
        <v>158</v>
      </c>
      <c r="D14" s="51" t="s">
        <v>212</v>
      </c>
    </row>
    <row r="15" spans="1:4" ht="17" x14ac:dyDescent="0.2">
      <c r="B15" s="10" t="s">
        <v>42</v>
      </c>
      <c r="C15" s="37">
        <v>50265</v>
      </c>
      <c r="D15" s="51" t="s">
        <v>212</v>
      </c>
    </row>
    <row r="16" spans="1:4" ht="17" x14ac:dyDescent="0.2">
      <c r="B16" s="10" t="s">
        <v>43</v>
      </c>
      <c r="C16" s="37">
        <v>60495</v>
      </c>
      <c r="D16" s="51" t="s">
        <v>212</v>
      </c>
    </row>
    <row r="17" spans="2:4" ht="17" x14ac:dyDescent="0.2">
      <c r="B17" s="10" t="s">
        <v>44</v>
      </c>
      <c r="C17" s="37">
        <v>9802</v>
      </c>
      <c r="D17" s="51" t="s">
        <v>212</v>
      </c>
    </row>
    <row r="18" spans="2:4" ht="17" x14ac:dyDescent="0.2">
      <c r="B18" s="10" t="s">
        <v>45</v>
      </c>
      <c r="C18" s="37">
        <v>190</v>
      </c>
      <c r="D18" s="51" t="s">
        <v>212</v>
      </c>
    </row>
    <row r="19" spans="2:4" ht="17" x14ac:dyDescent="0.2">
      <c r="B19" s="10" t="s">
        <v>46</v>
      </c>
      <c r="C19" s="37">
        <v>9772</v>
      </c>
      <c r="D19" s="51" t="s">
        <v>212</v>
      </c>
    </row>
    <row r="20" spans="2:4" ht="17" x14ac:dyDescent="0.2">
      <c r="B20" s="10" t="s">
        <v>47</v>
      </c>
      <c r="C20" s="37">
        <v>144013</v>
      </c>
      <c r="D20" s="51" t="s">
        <v>212</v>
      </c>
    </row>
    <row r="21" spans="2:4" ht="17" x14ac:dyDescent="0.2">
      <c r="B21" s="10" t="s">
        <v>48</v>
      </c>
      <c r="C21" s="37">
        <v>63513</v>
      </c>
      <c r="D21" s="51" t="s">
        <v>212</v>
      </c>
    </row>
    <row r="22" spans="2:4" ht="17" x14ac:dyDescent="0.2">
      <c r="B22" s="10" t="s">
        <v>49</v>
      </c>
      <c r="C22" s="37">
        <v>21205.75</v>
      </c>
      <c r="D22" s="51" t="s">
        <v>212</v>
      </c>
    </row>
    <row r="23" spans="2:4" ht="17" x14ac:dyDescent="0.2">
      <c r="B23" s="10" t="s">
        <v>50</v>
      </c>
      <c r="C23" s="37">
        <v>176715</v>
      </c>
      <c r="D23" s="51" t="s">
        <v>212</v>
      </c>
    </row>
    <row r="24" spans="2:4" ht="17" x14ac:dyDescent="0.2">
      <c r="B24" s="10" t="s">
        <v>51</v>
      </c>
      <c r="C24" s="37">
        <v>1608</v>
      </c>
      <c r="D24" s="51" t="s">
        <v>212</v>
      </c>
    </row>
    <row r="25" spans="2:4" ht="17" x14ac:dyDescent="0.2">
      <c r="B25" s="10" t="s">
        <v>52</v>
      </c>
      <c r="C25" s="37">
        <v>11870</v>
      </c>
      <c r="D25" s="51" t="s">
        <v>212</v>
      </c>
    </row>
    <row r="26" spans="2:4" ht="17" x14ac:dyDescent="0.2">
      <c r="B26" s="10" t="s">
        <v>53</v>
      </c>
      <c r="C26" s="37">
        <v>31250</v>
      </c>
      <c r="D26" s="51" t="s">
        <v>212</v>
      </c>
    </row>
    <row r="27" spans="2:4" ht="17" x14ac:dyDescent="0.2">
      <c r="B27" s="10" t="s">
        <v>54</v>
      </c>
      <c r="C27" s="37">
        <v>6800</v>
      </c>
      <c r="D27" s="51" t="s">
        <v>212</v>
      </c>
    </row>
    <row r="28" spans="2:4" ht="17" x14ac:dyDescent="0.2">
      <c r="B28" s="10" t="s">
        <v>55</v>
      </c>
      <c r="C28" s="37">
        <v>3013</v>
      </c>
      <c r="D28" s="51" t="s">
        <v>212</v>
      </c>
    </row>
    <row r="29" spans="2:4" ht="17" x14ac:dyDescent="0.2">
      <c r="B29" s="10" t="s">
        <v>56</v>
      </c>
      <c r="C29" s="37">
        <v>13081</v>
      </c>
      <c r="D29" s="51" t="s">
        <v>212</v>
      </c>
    </row>
    <row r="30" spans="2:4" ht="17" x14ac:dyDescent="0.2">
      <c r="B30" s="10" t="s">
        <v>57</v>
      </c>
      <c r="C30" s="37">
        <v>75398</v>
      </c>
      <c r="D30" s="51" t="s">
        <v>212</v>
      </c>
    </row>
    <row r="31" spans="2:4" ht="17" x14ac:dyDescent="0.2">
      <c r="B31" s="10" t="s">
        <v>58</v>
      </c>
      <c r="C31" s="37">
        <v>36882</v>
      </c>
      <c r="D31" s="51" t="s">
        <v>212</v>
      </c>
    </row>
    <row r="32" spans="2:4" ht="17" x14ac:dyDescent="0.2">
      <c r="B32" s="10" t="s">
        <v>59</v>
      </c>
      <c r="C32" s="37">
        <v>13641</v>
      </c>
      <c r="D32" s="51" t="s">
        <v>212</v>
      </c>
    </row>
    <row r="33" spans="1:4" ht="17" x14ac:dyDescent="0.2">
      <c r="B33" s="10" t="s">
        <v>60</v>
      </c>
      <c r="C33" s="37">
        <v>646</v>
      </c>
      <c r="D33" s="51" t="s">
        <v>212</v>
      </c>
    </row>
    <row r="34" spans="1:4" ht="17" x14ac:dyDescent="0.2">
      <c r="B34" s="10" t="s">
        <v>61</v>
      </c>
      <c r="C34" s="37">
        <v>589049</v>
      </c>
      <c r="D34" s="51" t="s">
        <v>212</v>
      </c>
    </row>
    <row r="35" spans="1:4" ht="17" x14ac:dyDescent="0.2">
      <c r="B35" s="10" t="s">
        <v>62</v>
      </c>
      <c r="C35" s="37">
        <v>108532</v>
      </c>
      <c r="D35" s="51" t="s">
        <v>212</v>
      </c>
    </row>
    <row r="36" spans="1:4" ht="17" x14ac:dyDescent="0.2">
      <c r="B36" s="10" t="s">
        <v>63</v>
      </c>
      <c r="C36" s="37">
        <v>459</v>
      </c>
      <c r="D36" s="51" t="s">
        <v>212</v>
      </c>
    </row>
    <row r="37" spans="1:4" ht="17" x14ac:dyDescent="0.2">
      <c r="B37" s="10" t="s">
        <v>64</v>
      </c>
      <c r="C37" s="37">
        <v>108909</v>
      </c>
      <c r="D37" s="51" t="s">
        <v>212</v>
      </c>
    </row>
    <row r="38" spans="1:4" ht="17" x14ac:dyDescent="0.2">
      <c r="B38" s="10" t="s">
        <v>65</v>
      </c>
      <c r="C38" s="37">
        <v>1252</v>
      </c>
      <c r="D38" s="51" t="s">
        <v>212</v>
      </c>
    </row>
    <row r="39" spans="1:4" ht="17" x14ac:dyDescent="0.2">
      <c r="B39" s="10" t="s">
        <v>66</v>
      </c>
      <c r="C39" s="37">
        <v>14390</v>
      </c>
      <c r="D39" s="51" t="s">
        <v>212</v>
      </c>
    </row>
    <row r="40" spans="1:4" ht="17" x14ac:dyDescent="0.2">
      <c r="B40" s="10" t="s">
        <v>67</v>
      </c>
      <c r="C40" s="37">
        <v>12150</v>
      </c>
      <c r="D40" s="51" t="s">
        <v>212</v>
      </c>
    </row>
    <row r="41" spans="1:4" ht="17" x14ac:dyDescent="0.2">
      <c r="A41" s="10" t="s">
        <v>99</v>
      </c>
      <c r="B41" s="10" t="s">
        <v>70</v>
      </c>
      <c r="C41" s="37">
        <v>47435</v>
      </c>
      <c r="D41" s="51" t="s">
        <v>212</v>
      </c>
    </row>
    <row r="42" spans="1:4" ht="17" x14ac:dyDescent="0.2">
      <c r="B42" s="10" t="s">
        <v>71</v>
      </c>
      <c r="C42" s="37">
        <v>50000</v>
      </c>
      <c r="D42" s="51" t="s">
        <v>212</v>
      </c>
    </row>
    <row r="43" spans="1:4" ht="17" x14ac:dyDescent="0.2">
      <c r="B43" s="10" t="s">
        <v>72</v>
      </c>
      <c r="C43" s="37">
        <v>50000</v>
      </c>
      <c r="D43" s="51" t="s">
        <v>212</v>
      </c>
    </row>
    <row r="44" spans="1:4" ht="17" x14ac:dyDescent="0.2">
      <c r="B44" s="10" t="s">
        <v>73</v>
      </c>
      <c r="C44" s="37">
        <v>50000</v>
      </c>
      <c r="D44" s="51" t="s">
        <v>212</v>
      </c>
    </row>
    <row r="45" spans="1:4" ht="17" x14ac:dyDescent="0.2">
      <c r="B45" s="10" t="s">
        <v>74</v>
      </c>
      <c r="C45" s="37">
        <v>50000</v>
      </c>
      <c r="D45" s="51" t="s">
        <v>212</v>
      </c>
    </row>
    <row r="46" spans="1:4" ht="17" x14ac:dyDescent="0.2">
      <c r="B46" s="10" t="s">
        <v>75</v>
      </c>
      <c r="C46" s="37">
        <v>50000</v>
      </c>
      <c r="D46" s="51" t="s">
        <v>212</v>
      </c>
    </row>
    <row r="47" spans="1:4" ht="17" x14ac:dyDescent="0.2">
      <c r="B47" s="10" t="s">
        <v>76</v>
      </c>
      <c r="C47" s="37">
        <v>50000</v>
      </c>
      <c r="D47" s="51" t="s">
        <v>212</v>
      </c>
    </row>
    <row r="48" spans="1:4" ht="17" x14ac:dyDescent="0.2">
      <c r="B48" s="10" t="s">
        <v>77</v>
      </c>
      <c r="C48" s="37">
        <v>88099</v>
      </c>
      <c r="D48" s="51" t="s">
        <v>212</v>
      </c>
    </row>
    <row r="49" spans="1:4" ht="17" x14ac:dyDescent="0.2">
      <c r="B49" s="10" t="s">
        <v>78</v>
      </c>
      <c r="C49" s="37">
        <v>50000</v>
      </c>
      <c r="D49" s="51" t="s">
        <v>212</v>
      </c>
    </row>
    <row r="50" spans="1:4" ht="17" x14ac:dyDescent="0.2">
      <c r="B50" s="10" t="s">
        <v>79</v>
      </c>
      <c r="C50" s="37">
        <v>50000</v>
      </c>
      <c r="D50" s="51" t="s">
        <v>212</v>
      </c>
    </row>
    <row r="51" spans="1:4" ht="17" x14ac:dyDescent="0.2">
      <c r="B51" s="10" t="s">
        <v>80</v>
      </c>
      <c r="C51" s="37">
        <v>50000</v>
      </c>
      <c r="D51" s="51" t="s">
        <v>212</v>
      </c>
    </row>
    <row r="52" spans="1:4" ht="17" x14ac:dyDescent="0.2">
      <c r="B52" s="10" t="s">
        <v>81</v>
      </c>
      <c r="C52" s="37">
        <v>16303</v>
      </c>
      <c r="D52" s="51" t="s">
        <v>212</v>
      </c>
    </row>
    <row r="53" spans="1:4" ht="17" x14ac:dyDescent="0.2">
      <c r="B53" s="10" t="s">
        <v>82</v>
      </c>
      <c r="C53" s="37">
        <v>133298</v>
      </c>
      <c r="D53" s="51" t="s">
        <v>212</v>
      </c>
    </row>
    <row r="54" spans="1:4" ht="17" x14ac:dyDescent="0.2">
      <c r="B54" s="10" t="s">
        <v>83</v>
      </c>
      <c r="C54" s="37">
        <v>50000</v>
      </c>
      <c r="D54" s="51" t="s">
        <v>212</v>
      </c>
    </row>
    <row r="55" spans="1:4" ht="17" x14ac:dyDescent="0.2">
      <c r="B55" s="10" t="s">
        <v>84</v>
      </c>
      <c r="C55" s="37">
        <v>50000</v>
      </c>
      <c r="D55" s="51" t="s">
        <v>212</v>
      </c>
    </row>
    <row r="56" spans="1:4" ht="17" x14ac:dyDescent="0.2">
      <c r="B56" s="10" t="s">
        <v>85</v>
      </c>
      <c r="C56" s="37">
        <v>50000</v>
      </c>
      <c r="D56" s="51" t="s">
        <v>212</v>
      </c>
    </row>
    <row r="57" spans="1:4" ht="17" x14ac:dyDescent="0.2">
      <c r="A57" s="10" t="s">
        <v>100</v>
      </c>
      <c r="B57" s="10" t="s">
        <v>86</v>
      </c>
      <c r="C57" s="37">
        <v>30000</v>
      </c>
      <c r="D57" s="51" t="s">
        <v>212</v>
      </c>
    </row>
    <row r="58" spans="1:4" ht="17" x14ac:dyDescent="0.2">
      <c r="B58" s="10" t="s">
        <v>87</v>
      </c>
      <c r="C58" s="37">
        <v>30000</v>
      </c>
      <c r="D58" s="51" t="s">
        <v>212</v>
      </c>
    </row>
    <row r="59" spans="1:4" ht="17" x14ac:dyDescent="0.2">
      <c r="A59" s="10" t="s">
        <v>101</v>
      </c>
      <c r="B59" s="10" t="s">
        <v>88</v>
      </c>
      <c r="C59" s="37">
        <v>1964</v>
      </c>
      <c r="D59" s="51" t="s">
        <v>212</v>
      </c>
    </row>
    <row r="60" spans="1:4" ht="17" x14ac:dyDescent="0.2">
      <c r="A60" s="10" t="s">
        <v>102</v>
      </c>
      <c r="B60" s="10" t="s">
        <v>98</v>
      </c>
      <c r="C60" s="37">
        <v>143990</v>
      </c>
      <c r="D60" s="51" t="s">
        <v>212</v>
      </c>
    </row>
    <row r="61" spans="1:4" ht="17" x14ac:dyDescent="0.2">
      <c r="A61" s="10" t="s">
        <v>103</v>
      </c>
      <c r="B61" s="10" t="s">
        <v>89</v>
      </c>
      <c r="C61" s="37">
        <v>98175</v>
      </c>
      <c r="D61" s="51" t="s">
        <v>212</v>
      </c>
    </row>
    <row r="62" spans="1:4" ht="17" x14ac:dyDescent="0.2">
      <c r="B62" s="10" t="s">
        <v>90</v>
      </c>
      <c r="C62" s="37">
        <v>98175</v>
      </c>
      <c r="D62" s="51" t="s">
        <v>212</v>
      </c>
    </row>
    <row r="63" spans="1:4" ht="17" x14ac:dyDescent="0.2">
      <c r="B63" s="10" t="s">
        <v>91</v>
      </c>
      <c r="C63" s="37">
        <v>98175</v>
      </c>
      <c r="D63" s="51" t="s">
        <v>212</v>
      </c>
    </row>
    <row r="64" spans="1:4" ht="17" x14ac:dyDescent="0.2">
      <c r="B64" s="10" t="s">
        <v>92</v>
      </c>
      <c r="C64" s="37">
        <v>98175</v>
      </c>
      <c r="D64" s="51" t="s">
        <v>212</v>
      </c>
    </row>
    <row r="65" spans="1:4" ht="17" x14ac:dyDescent="0.2">
      <c r="B65" s="10" t="s">
        <v>93</v>
      </c>
      <c r="C65" s="37">
        <v>98175</v>
      </c>
      <c r="D65" s="51" t="s">
        <v>212</v>
      </c>
    </row>
    <row r="66" spans="1:4" ht="17" x14ac:dyDescent="0.2">
      <c r="B66" s="10" t="s">
        <v>94</v>
      </c>
      <c r="C66" s="37">
        <v>98175</v>
      </c>
      <c r="D66" s="51" t="s">
        <v>212</v>
      </c>
    </row>
    <row r="67" spans="1:4" ht="17" x14ac:dyDescent="0.2">
      <c r="B67" s="10" t="s">
        <v>95</v>
      </c>
      <c r="C67" s="37">
        <v>98175</v>
      </c>
      <c r="D67" s="51" t="s">
        <v>212</v>
      </c>
    </row>
    <row r="68" spans="1:4" ht="17" x14ac:dyDescent="0.2">
      <c r="B68" s="10" t="s">
        <v>96</v>
      </c>
      <c r="C68" s="37">
        <v>98175</v>
      </c>
      <c r="D68" s="51" t="s">
        <v>212</v>
      </c>
    </row>
    <row r="69" spans="1:4" ht="17" x14ac:dyDescent="0.2">
      <c r="B69" s="10" t="s">
        <v>97</v>
      </c>
      <c r="C69" s="37">
        <v>98175</v>
      </c>
      <c r="D69" s="51" t="s">
        <v>212</v>
      </c>
    </row>
    <row r="70" spans="1:4" ht="17" x14ac:dyDescent="0.2">
      <c r="A70" s="17"/>
      <c r="B70" s="10" t="s">
        <v>104</v>
      </c>
      <c r="C70" s="37">
        <v>523599</v>
      </c>
      <c r="D70" s="51" t="s">
        <v>212</v>
      </c>
    </row>
    <row r="71" spans="1:4" ht="17" x14ac:dyDescent="0.2">
      <c r="B71" s="10" t="s">
        <v>105</v>
      </c>
      <c r="C71" s="37">
        <v>88698</v>
      </c>
      <c r="D71" s="51" t="s">
        <v>212</v>
      </c>
    </row>
    <row r="72" spans="1:4" ht="17" x14ac:dyDescent="0.2">
      <c r="B72" s="10" t="s">
        <v>106</v>
      </c>
      <c r="C72" s="37">
        <v>98175</v>
      </c>
      <c r="D72" s="51" t="s">
        <v>212</v>
      </c>
    </row>
    <row r="73" spans="1:4" s="17" customFormat="1" x14ac:dyDescent="0.2">
      <c r="B73" s="10"/>
      <c r="C73" s="37"/>
      <c r="D73" s="51"/>
    </row>
    <row r="74" spans="1:4" x14ac:dyDescent="0.2">
      <c r="A74" s="34" t="s">
        <v>108</v>
      </c>
      <c r="B74" s="10" t="s">
        <v>109</v>
      </c>
      <c r="C74" s="40">
        <v>0.9375</v>
      </c>
      <c r="D74" s="51" t="s">
        <v>209</v>
      </c>
    </row>
    <row r="75" spans="1:4" x14ac:dyDescent="0.2">
      <c r="B75" s="10" t="s">
        <v>110</v>
      </c>
      <c r="C75" s="40">
        <v>1.5</v>
      </c>
      <c r="D75" s="51" t="s">
        <v>209</v>
      </c>
    </row>
    <row r="76" spans="1:4" x14ac:dyDescent="0.2">
      <c r="B76" s="10" t="s">
        <v>111</v>
      </c>
      <c r="C76" s="40">
        <v>2</v>
      </c>
      <c r="D76" s="51" t="s">
        <v>209</v>
      </c>
    </row>
    <row r="77" spans="1:4" x14ac:dyDescent="0.2">
      <c r="B77" s="10" t="s">
        <v>112</v>
      </c>
      <c r="C77" s="40">
        <v>1</v>
      </c>
      <c r="D77" s="51" t="s">
        <v>209</v>
      </c>
    </row>
    <row r="78" spans="1:4" x14ac:dyDescent="0.2">
      <c r="B78" s="10" t="s">
        <v>113</v>
      </c>
      <c r="C78" s="40">
        <v>1.1666000000000001</v>
      </c>
      <c r="D78" s="51" t="s">
        <v>209</v>
      </c>
    </row>
    <row r="79" spans="1:4" x14ac:dyDescent="0.2">
      <c r="B79" s="10" t="s">
        <v>114</v>
      </c>
      <c r="C79" s="40">
        <v>1.5</v>
      </c>
      <c r="D79" s="51" t="s">
        <v>209</v>
      </c>
    </row>
    <row r="80" spans="1:4" x14ac:dyDescent="0.2">
      <c r="B80" s="10" t="s">
        <v>115</v>
      </c>
      <c r="C80" s="40">
        <v>0.65</v>
      </c>
      <c r="D80" s="51" t="s">
        <v>209</v>
      </c>
    </row>
    <row r="81" spans="2:4" x14ac:dyDescent="0.2">
      <c r="B81" s="10" t="s">
        <v>116</v>
      </c>
      <c r="C81" s="40">
        <v>0.66</v>
      </c>
      <c r="D81" s="51" t="s">
        <v>209</v>
      </c>
    </row>
    <row r="82" spans="2:4" x14ac:dyDescent="0.2">
      <c r="B82" s="10" t="s">
        <v>117</v>
      </c>
      <c r="C82" s="40">
        <v>1.75</v>
      </c>
      <c r="D82" s="51" t="s">
        <v>209</v>
      </c>
    </row>
    <row r="83" spans="2:4" x14ac:dyDescent="0.2">
      <c r="B83" s="10" t="s">
        <v>118</v>
      </c>
      <c r="C83" s="40">
        <v>1</v>
      </c>
      <c r="D83" s="51" t="s">
        <v>209</v>
      </c>
    </row>
    <row r="84" spans="2:4" x14ac:dyDescent="0.2">
      <c r="B84" s="10" t="s">
        <v>119</v>
      </c>
      <c r="C84" s="40">
        <v>0.65</v>
      </c>
      <c r="D84" s="51" t="s">
        <v>209</v>
      </c>
    </row>
    <row r="85" spans="2:4" x14ac:dyDescent="0.2">
      <c r="B85" s="10" t="s">
        <v>120</v>
      </c>
      <c r="C85" s="40">
        <v>0.9</v>
      </c>
      <c r="D85" s="51" t="s">
        <v>209</v>
      </c>
    </row>
    <row r="86" spans="2:4" x14ac:dyDescent="0.2">
      <c r="B86" s="10" t="s">
        <v>121</v>
      </c>
      <c r="C86" s="40">
        <v>4</v>
      </c>
      <c r="D86" s="51" t="s">
        <v>209</v>
      </c>
    </row>
    <row r="87" spans="2:4" x14ac:dyDescent="0.2">
      <c r="B87" s="10" t="s">
        <v>122</v>
      </c>
      <c r="C87" s="40">
        <v>1.08</v>
      </c>
      <c r="D87" s="51" t="s">
        <v>209</v>
      </c>
    </row>
    <row r="88" spans="2:4" x14ac:dyDescent="0.2">
      <c r="B88" s="10" t="s">
        <v>123</v>
      </c>
      <c r="C88" s="40">
        <v>2.5</v>
      </c>
      <c r="D88" s="51" t="s">
        <v>209</v>
      </c>
    </row>
    <row r="89" spans="2:4" x14ac:dyDescent="0.2">
      <c r="B89" s="10" t="s">
        <v>124</v>
      </c>
      <c r="C89" s="40">
        <v>0.5</v>
      </c>
      <c r="D89" s="51" t="s">
        <v>209</v>
      </c>
    </row>
    <row r="90" spans="2:4" x14ac:dyDescent="0.2">
      <c r="B90" s="10" t="s">
        <v>125</v>
      </c>
      <c r="C90" s="40">
        <v>1.2</v>
      </c>
      <c r="D90" s="51" t="s">
        <v>209</v>
      </c>
    </row>
    <row r="91" spans="2:4" x14ac:dyDescent="0.2">
      <c r="B91" s="10" t="s">
        <v>126</v>
      </c>
      <c r="C91" s="40">
        <v>0.8</v>
      </c>
      <c r="D91" s="51" t="s">
        <v>209</v>
      </c>
    </row>
    <row r="92" spans="2:4" x14ac:dyDescent="0.2">
      <c r="B92" s="10" t="s">
        <v>127</v>
      </c>
      <c r="C92" s="40">
        <v>1.03</v>
      </c>
      <c r="D92" s="51" t="s">
        <v>209</v>
      </c>
    </row>
    <row r="93" spans="2:4" x14ac:dyDescent="0.2">
      <c r="B93" s="10" t="s">
        <v>128</v>
      </c>
      <c r="C93" s="40">
        <v>0.7</v>
      </c>
      <c r="D93" s="51" t="s">
        <v>209</v>
      </c>
    </row>
    <row r="94" spans="2:4" x14ac:dyDescent="0.2">
      <c r="B94" s="10" t="s">
        <v>129</v>
      </c>
      <c r="C94" s="40">
        <v>0.89900000000000002</v>
      </c>
      <c r="D94" s="51" t="s">
        <v>209</v>
      </c>
    </row>
    <row r="95" spans="2:4" x14ac:dyDescent="0.2">
      <c r="B95" s="10" t="s">
        <v>130</v>
      </c>
      <c r="C95" s="40">
        <v>0.7</v>
      </c>
      <c r="D95" s="51" t="s">
        <v>209</v>
      </c>
    </row>
    <row r="96" spans="2:4" x14ac:dyDescent="0.2">
      <c r="B96" s="10" t="s">
        <v>131</v>
      </c>
      <c r="C96" s="40">
        <v>1.5</v>
      </c>
      <c r="D96" s="51" t="s">
        <v>209</v>
      </c>
    </row>
    <row r="97" spans="2:4" x14ac:dyDescent="0.2">
      <c r="B97" s="10" t="s">
        <v>132</v>
      </c>
      <c r="C97" s="40">
        <v>0.5</v>
      </c>
      <c r="D97" s="51" t="s">
        <v>209</v>
      </c>
    </row>
    <row r="98" spans="2:4" x14ac:dyDescent="0.2">
      <c r="B98" s="10" t="s">
        <v>133</v>
      </c>
      <c r="C98" s="40">
        <v>0.66700000000000004</v>
      </c>
      <c r="D98" s="51" t="s">
        <v>209</v>
      </c>
    </row>
    <row r="99" spans="2:4" x14ac:dyDescent="0.2">
      <c r="B99" s="10" t="s">
        <v>134</v>
      </c>
      <c r="C99" s="40">
        <v>0.8</v>
      </c>
      <c r="D99" s="51" t="s">
        <v>209</v>
      </c>
    </row>
    <row r="100" spans="2:4" x14ac:dyDescent="0.2">
      <c r="B100" s="10" t="s">
        <v>135</v>
      </c>
      <c r="C100" s="40">
        <v>0.8</v>
      </c>
      <c r="D100" s="51" t="s">
        <v>209</v>
      </c>
    </row>
    <row r="101" spans="2:4" x14ac:dyDescent="0.2">
      <c r="B101" s="10" t="s">
        <v>136</v>
      </c>
      <c r="C101" s="40">
        <v>1.2</v>
      </c>
      <c r="D101" s="51" t="s">
        <v>209</v>
      </c>
    </row>
    <row r="102" spans="2:4" x14ac:dyDescent="0.2">
      <c r="B102" s="10" t="s">
        <v>137</v>
      </c>
      <c r="C102" s="40">
        <v>1.5</v>
      </c>
      <c r="D102" s="51" t="s">
        <v>209</v>
      </c>
    </row>
    <row r="103" spans="2:4" x14ac:dyDescent="0.2">
      <c r="B103" s="10" t="s">
        <v>138</v>
      </c>
      <c r="C103" s="40">
        <v>4</v>
      </c>
      <c r="D103" s="51" t="s">
        <v>209</v>
      </c>
    </row>
    <row r="104" spans="2:4" x14ac:dyDescent="0.2">
      <c r="B104" s="10" t="s">
        <v>139</v>
      </c>
      <c r="C104" s="40">
        <v>2.2999999999999998</v>
      </c>
      <c r="D104" s="51" t="s">
        <v>209</v>
      </c>
    </row>
    <row r="105" spans="2:4" x14ac:dyDescent="0.2">
      <c r="B105" s="10" t="s">
        <v>140</v>
      </c>
      <c r="C105" s="40">
        <v>1.7</v>
      </c>
      <c r="D105" s="51" t="s">
        <v>209</v>
      </c>
    </row>
    <row r="106" spans="2:4" x14ac:dyDescent="0.2">
      <c r="B106" s="10" t="s">
        <v>141</v>
      </c>
      <c r="C106" s="40">
        <v>1.8</v>
      </c>
      <c r="D106" s="51" t="s">
        <v>209</v>
      </c>
    </row>
    <row r="107" spans="2:4" x14ac:dyDescent="0.2">
      <c r="B107" s="10" t="s">
        <v>142</v>
      </c>
      <c r="C107" s="40">
        <v>1.2</v>
      </c>
      <c r="D107" s="51" t="s">
        <v>209</v>
      </c>
    </row>
    <row r="108" spans="2:4" x14ac:dyDescent="0.2">
      <c r="B108" s="10" t="s">
        <v>143</v>
      </c>
      <c r="C108" s="40">
        <v>0.6</v>
      </c>
      <c r="D108" s="51" t="s">
        <v>209</v>
      </c>
    </row>
    <row r="109" spans="2:4" x14ac:dyDescent="0.2">
      <c r="B109" s="10" t="s">
        <v>144</v>
      </c>
      <c r="C109" s="40">
        <v>0.5</v>
      </c>
      <c r="D109" s="51" t="s">
        <v>209</v>
      </c>
    </row>
    <row r="110" spans="2:4" x14ac:dyDescent="0.2">
      <c r="B110" s="10" t="s">
        <v>158</v>
      </c>
      <c r="C110" s="40">
        <v>0.25</v>
      </c>
      <c r="D110" s="51" t="s">
        <v>209</v>
      </c>
    </row>
    <row r="111" spans="2:4" x14ac:dyDescent="0.2">
      <c r="B111" s="10" t="s">
        <v>145</v>
      </c>
      <c r="C111" s="37">
        <v>12</v>
      </c>
      <c r="D111" s="51" t="s">
        <v>209</v>
      </c>
    </row>
    <row r="112" spans="2:4" x14ac:dyDescent="0.2">
      <c r="B112" s="10" t="s">
        <v>146</v>
      </c>
      <c r="C112" s="40">
        <v>8</v>
      </c>
      <c r="D112" s="51" t="s">
        <v>209</v>
      </c>
    </row>
    <row r="113" spans="2:4" x14ac:dyDescent="0.2">
      <c r="B113" s="10" t="s">
        <v>147</v>
      </c>
      <c r="C113" s="40">
        <v>0.7</v>
      </c>
      <c r="D113" s="51" t="s">
        <v>209</v>
      </c>
    </row>
    <row r="114" spans="2:4" x14ac:dyDescent="0.2">
      <c r="B114" s="10" t="s">
        <v>148</v>
      </c>
      <c r="C114" s="40">
        <v>2</v>
      </c>
      <c r="D114" s="51" t="s">
        <v>209</v>
      </c>
    </row>
    <row r="115" spans="2:4" x14ac:dyDescent="0.2">
      <c r="B115" s="10" t="s">
        <v>149</v>
      </c>
      <c r="C115" s="40">
        <v>3</v>
      </c>
      <c r="D115" s="51" t="s">
        <v>209</v>
      </c>
    </row>
    <row r="116" spans="2:4" x14ac:dyDescent="0.2">
      <c r="B116" s="10" t="s">
        <v>159</v>
      </c>
      <c r="C116" s="40">
        <v>0.1</v>
      </c>
      <c r="D116" s="51" t="s">
        <v>209</v>
      </c>
    </row>
    <row r="117" spans="2:4" x14ac:dyDescent="0.2">
      <c r="B117" s="10" t="s">
        <v>160</v>
      </c>
      <c r="C117" s="40">
        <v>5</v>
      </c>
      <c r="D117" s="51" t="s">
        <v>209</v>
      </c>
    </row>
    <row r="118" spans="2:4" x14ac:dyDescent="0.2">
      <c r="B118" s="10" t="s">
        <v>161</v>
      </c>
      <c r="C118" s="40">
        <v>5</v>
      </c>
      <c r="D118" s="51" t="s">
        <v>209</v>
      </c>
    </row>
    <row r="119" spans="2:4" x14ac:dyDescent="0.2">
      <c r="B119" s="10" t="s">
        <v>162</v>
      </c>
      <c r="C119" s="40">
        <v>5</v>
      </c>
      <c r="D119" s="51" t="s">
        <v>209</v>
      </c>
    </row>
    <row r="120" spans="2:4" x14ac:dyDescent="0.2">
      <c r="B120" s="10" t="s">
        <v>163</v>
      </c>
      <c r="C120" s="40">
        <v>7</v>
      </c>
      <c r="D120" s="51" t="s">
        <v>209</v>
      </c>
    </row>
    <row r="121" spans="2:4" x14ac:dyDescent="0.2">
      <c r="B121" s="10" t="s">
        <v>164</v>
      </c>
      <c r="C121" s="40">
        <v>3</v>
      </c>
      <c r="D121" s="51" t="s">
        <v>209</v>
      </c>
    </row>
    <row r="122" spans="2:4" x14ac:dyDescent="0.2">
      <c r="B122" s="10" t="s">
        <v>150</v>
      </c>
      <c r="C122" s="40">
        <v>7</v>
      </c>
      <c r="D122" s="51" t="s">
        <v>209</v>
      </c>
    </row>
    <row r="123" spans="2:4" x14ac:dyDescent="0.2">
      <c r="B123" s="10" t="s">
        <v>151</v>
      </c>
      <c r="C123" s="40">
        <v>1.25</v>
      </c>
      <c r="D123" s="51" t="s">
        <v>209</v>
      </c>
    </row>
    <row r="124" spans="2:4" x14ac:dyDescent="0.2">
      <c r="B124" s="10" t="s">
        <v>152</v>
      </c>
      <c r="C124" s="40">
        <v>1.25</v>
      </c>
      <c r="D124" s="51" t="s">
        <v>209</v>
      </c>
    </row>
    <row r="125" spans="2:4" ht="17" x14ac:dyDescent="0.2">
      <c r="B125" s="10" t="s">
        <v>165</v>
      </c>
      <c r="C125" s="40">
        <v>0.27</v>
      </c>
      <c r="D125" s="51" t="s">
        <v>211</v>
      </c>
    </row>
    <row r="126" spans="2:4" x14ac:dyDescent="0.2">
      <c r="B126" s="10" t="s">
        <v>153</v>
      </c>
      <c r="C126" s="40">
        <v>10</v>
      </c>
      <c r="D126" s="51" t="s">
        <v>209</v>
      </c>
    </row>
    <row r="127" spans="2:4" x14ac:dyDescent="0.2">
      <c r="B127" s="10" t="s">
        <v>166</v>
      </c>
      <c r="C127" s="40">
        <v>1</v>
      </c>
      <c r="D127" s="51" t="s">
        <v>209</v>
      </c>
    </row>
    <row r="128" spans="2:4" x14ac:dyDescent="0.2">
      <c r="B128" s="10" t="s">
        <v>154</v>
      </c>
      <c r="C128" s="40">
        <v>8</v>
      </c>
      <c r="D128" s="51" t="s">
        <v>209</v>
      </c>
    </row>
    <row r="129" spans="2:4" x14ac:dyDescent="0.2">
      <c r="B129" s="10" t="s">
        <v>167</v>
      </c>
      <c r="C129" s="40">
        <v>10</v>
      </c>
      <c r="D129" s="51" t="s">
        <v>209</v>
      </c>
    </row>
    <row r="130" spans="2:4" x14ac:dyDescent="0.2">
      <c r="B130" s="10" t="s">
        <v>155</v>
      </c>
      <c r="C130" s="40">
        <v>10</v>
      </c>
      <c r="D130" s="51" t="s">
        <v>209</v>
      </c>
    </row>
    <row r="131" spans="2:4" ht="17" x14ac:dyDescent="0.2">
      <c r="B131" s="10" t="s">
        <v>168</v>
      </c>
      <c r="C131" s="40">
        <v>0.27</v>
      </c>
      <c r="D131" s="51" t="s">
        <v>211</v>
      </c>
    </row>
    <row r="132" spans="2:4" ht="17" x14ac:dyDescent="0.2">
      <c r="B132" s="10" t="s">
        <v>169</v>
      </c>
      <c r="C132" s="40">
        <v>0.27</v>
      </c>
      <c r="D132" s="51" t="s">
        <v>211</v>
      </c>
    </row>
    <row r="133" spans="2:4" ht="17" x14ac:dyDescent="0.2">
      <c r="B133" s="10" t="s">
        <v>170</v>
      </c>
      <c r="C133" s="40">
        <v>0.27</v>
      </c>
      <c r="D133" s="51" t="s">
        <v>211</v>
      </c>
    </row>
    <row r="134" spans="2:4" x14ac:dyDescent="0.2">
      <c r="B134" s="10" t="s">
        <v>171</v>
      </c>
      <c r="C134" s="40">
        <v>1.5</v>
      </c>
      <c r="D134" s="51" t="s">
        <v>209</v>
      </c>
    </row>
    <row r="135" spans="2:4" x14ac:dyDescent="0.2">
      <c r="B135" s="10" t="s">
        <v>172</v>
      </c>
      <c r="C135" s="40">
        <v>1.5</v>
      </c>
      <c r="D135" s="51" t="s">
        <v>209</v>
      </c>
    </row>
    <row r="136" spans="2:4" x14ac:dyDescent="0.2">
      <c r="B136" s="10" t="s">
        <v>156</v>
      </c>
      <c r="C136" s="40">
        <v>1.5</v>
      </c>
      <c r="D136" s="51" t="s">
        <v>209</v>
      </c>
    </row>
    <row r="137" spans="2:4" x14ac:dyDescent="0.2">
      <c r="B137" s="10" t="s">
        <v>173</v>
      </c>
      <c r="C137" s="40">
        <v>1.5</v>
      </c>
      <c r="D137" s="51" t="s">
        <v>209</v>
      </c>
    </row>
    <row r="138" spans="2:4" x14ac:dyDescent="0.2">
      <c r="B138" s="10" t="s">
        <v>157</v>
      </c>
      <c r="C138" s="40">
        <v>1.5</v>
      </c>
      <c r="D138" s="51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D51"/>
  <sheetViews>
    <sheetView zoomScale="75" zoomScaleNormal="75" workbookViewId="0">
      <selection activeCell="O67" sqref="O67"/>
    </sheetView>
  </sheetViews>
  <sheetFormatPr baseColWidth="10" defaultColWidth="8.83203125" defaultRowHeight="15" x14ac:dyDescent="0.2"/>
  <cols>
    <col min="1" max="1" width="9.1640625" style="17"/>
    <col min="2" max="2" width="16" customWidth="1"/>
    <col min="3" max="4" width="12.5" style="17" customWidth="1"/>
    <col min="5" max="5" width="16.5" customWidth="1"/>
    <col min="7" max="7" width="9.1640625" style="17"/>
    <col min="9" max="9" width="16.1640625" bestFit="1" customWidth="1"/>
    <col min="10" max="10" width="12.83203125" customWidth="1"/>
    <col min="16" max="17" width="9.1640625" style="17"/>
    <col min="18" max="23" width="15.5" customWidth="1"/>
    <col min="26" max="26" width="18.6640625" customWidth="1"/>
  </cols>
  <sheetData>
    <row r="2" spans="1:30" x14ac:dyDescent="0.2">
      <c r="B2" s="107" t="s">
        <v>231</v>
      </c>
      <c r="C2" s="107" t="s">
        <v>2</v>
      </c>
      <c r="D2" s="107" t="s">
        <v>227</v>
      </c>
      <c r="E2" s="107" t="s">
        <v>228</v>
      </c>
      <c r="F2" s="107" t="s">
        <v>229</v>
      </c>
      <c r="G2" s="25" t="s">
        <v>232</v>
      </c>
      <c r="I2" s="107" t="s">
        <v>231</v>
      </c>
      <c r="J2" s="107" t="s">
        <v>2</v>
      </c>
      <c r="K2" s="107" t="s">
        <v>227</v>
      </c>
      <c r="L2" s="107" t="s">
        <v>228</v>
      </c>
      <c r="M2" s="107" t="s">
        <v>229</v>
      </c>
      <c r="N2" s="25" t="s">
        <v>232</v>
      </c>
      <c r="R2" s="17"/>
      <c r="Z2" s="17"/>
      <c r="AA2" s="17"/>
      <c r="AB2" s="17"/>
      <c r="AC2" s="17"/>
      <c r="AD2" s="17"/>
    </row>
    <row r="3" spans="1:30" x14ac:dyDescent="0.2">
      <c r="B3" s="25" t="s">
        <v>106</v>
      </c>
      <c r="C3" s="25" t="s">
        <v>0</v>
      </c>
      <c r="D3" s="29">
        <v>9.8175000000000004E-8</v>
      </c>
      <c r="E3" s="29">
        <v>9.8175000000000004E-8</v>
      </c>
      <c r="F3" s="29">
        <v>9.8175000000000004E-8</v>
      </c>
      <c r="G3" s="17">
        <v>1</v>
      </c>
      <c r="J3" s="20"/>
      <c r="R3" s="17"/>
      <c r="U3" s="29"/>
      <c r="V3" s="29"/>
      <c r="Y3" s="17"/>
    </row>
    <row r="4" spans="1:30" x14ac:dyDescent="0.2">
      <c r="B4" s="108" t="s">
        <v>108</v>
      </c>
      <c r="C4" s="108" t="s">
        <v>0</v>
      </c>
      <c r="D4" s="109">
        <v>2.5999999999999998E-4</v>
      </c>
      <c r="E4" s="109">
        <v>6.0000000000000002E-6</v>
      </c>
      <c r="F4" s="114">
        <v>1.012039E-4</v>
      </c>
      <c r="G4" s="110">
        <v>37</v>
      </c>
      <c r="H4" s="110"/>
      <c r="I4" s="110" t="s">
        <v>108</v>
      </c>
      <c r="J4" s="110" t="s">
        <v>6</v>
      </c>
      <c r="K4" s="109">
        <v>2.5999999999999998E-4</v>
      </c>
      <c r="L4" s="109">
        <v>6.0000000000000002E-6</v>
      </c>
      <c r="M4" s="114">
        <v>9.2584000000000007E-5</v>
      </c>
      <c r="N4" s="110">
        <v>32</v>
      </c>
      <c r="R4" s="17"/>
      <c r="U4" s="29"/>
      <c r="V4" s="29"/>
      <c r="Y4" s="17"/>
      <c r="AB4" s="29"/>
      <c r="AC4" s="29"/>
    </row>
    <row r="5" spans="1:30" x14ac:dyDescent="0.2">
      <c r="B5" s="111" t="s">
        <v>29</v>
      </c>
      <c r="C5" s="111" t="s">
        <v>0</v>
      </c>
      <c r="D5" s="112">
        <v>9.9462500000000003E-7</v>
      </c>
      <c r="E5" s="112">
        <v>1.58E-10</v>
      </c>
      <c r="F5" s="112">
        <v>7.2667100000000004E-8</v>
      </c>
      <c r="G5" s="113">
        <v>38</v>
      </c>
      <c r="H5" s="113"/>
      <c r="I5" s="113" t="s">
        <v>29</v>
      </c>
      <c r="J5" s="113" t="s">
        <v>6</v>
      </c>
      <c r="K5" s="112">
        <v>9.9462500000000003E-7</v>
      </c>
      <c r="L5" s="112">
        <v>1.8999999999999999E-10</v>
      </c>
      <c r="M5" s="112">
        <v>8.4337280000000006E-8</v>
      </c>
      <c r="N5" s="17">
        <v>24</v>
      </c>
      <c r="R5" s="17"/>
      <c r="U5" s="29"/>
      <c r="V5" s="29"/>
      <c r="Y5" s="17"/>
      <c r="AB5" s="29"/>
      <c r="AC5" s="29"/>
    </row>
    <row r="6" spans="1:30" x14ac:dyDescent="0.2">
      <c r="B6" s="17" t="s">
        <v>99</v>
      </c>
      <c r="C6" s="17" t="s">
        <v>0</v>
      </c>
      <c r="D6" s="29">
        <v>1.3329800000000001E-7</v>
      </c>
      <c r="E6" s="29">
        <v>1.6303E-8</v>
      </c>
      <c r="F6" s="29">
        <v>5.5320939999999997E-8</v>
      </c>
      <c r="G6" s="17">
        <v>16</v>
      </c>
      <c r="I6" s="17" t="s">
        <v>99</v>
      </c>
      <c r="J6" s="17" t="s">
        <v>6</v>
      </c>
      <c r="K6" s="29">
        <v>1.3329800000000001E-7</v>
      </c>
      <c r="L6" s="29">
        <v>1.6303E-8</v>
      </c>
      <c r="M6" s="29">
        <v>5.4703600000000003E-8</v>
      </c>
      <c r="N6" s="17">
        <v>10</v>
      </c>
      <c r="R6" s="17"/>
      <c r="U6" s="29"/>
      <c r="V6" s="29"/>
      <c r="Y6" s="17"/>
      <c r="AB6" s="29"/>
      <c r="AC6" s="29"/>
    </row>
    <row r="7" spans="1:30" x14ac:dyDescent="0.2">
      <c r="B7" s="25" t="s">
        <v>104</v>
      </c>
      <c r="C7" s="25" t="s">
        <v>0</v>
      </c>
      <c r="D7" s="29">
        <v>5.2359900000000003E-7</v>
      </c>
      <c r="E7" s="29">
        <v>5.2359900000000003E-7</v>
      </c>
      <c r="F7" s="29">
        <v>5.2359900000000003E-7</v>
      </c>
      <c r="G7" s="17">
        <v>1</v>
      </c>
      <c r="R7" s="17"/>
      <c r="U7" s="29"/>
      <c r="V7" s="29"/>
      <c r="Y7" s="17"/>
    </row>
    <row r="8" spans="1:30" x14ac:dyDescent="0.2">
      <c r="B8" s="25" t="s">
        <v>102</v>
      </c>
      <c r="C8" s="25" t="s">
        <v>0</v>
      </c>
      <c r="D8" s="29">
        <v>1.4399000000000001E-7</v>
      </c>
      <c r="E8" s="29">
        <v>1.4399000000000001E-7</v>
      </c>
      <c r="F8" s="29">
        <v>1.4399000000000001E-7</v>
      </c>
      <c r="G8" s="17">
        <v>1</v>
      </c>
      <c r="R8" s="17"/>
      <c r="U8" s="29"/>
      <c r="V8" s="29"/>
      <c r="Y8" s="17"/>
    </row>
    <row r="9" spans="1:30" x14ac:dyDescent="0.2">
      <c r="B9" s="108" t="s">
        <v>230</v>
      </c>
      <c r="C9" s="108" t="s">
        <v>0</v>
      </c>
      <c r="D9" s="109">
        <v>1.7366469999999998E-2</v>
      </c>
      <c r="E9" s="109">
        <v>2.6699999999999998E-4</v>
      </c>
      <c r="F9" s="109">
        <v>7.0047920000000001E-3</v>
      </c>
      <c r="G9" s="110">
        <v>28</v>
      </c>
      <c r="H9" s="110"/>
      <c r="I9" s="110" t="s">
        <v>230</v>
      </c>
      <c r="J9" s="110" t="s">
        <v>6</v>
      </c>
      <c r="K9" s="109">
        <v>1.249129E-2</v>
      </c>
      <c r="L9" s="109">
        <v>2.6699999999999998E-4</v>
      </c>
      <c r="M9" s="109">
        <v>4.9324570000000003E-3</v>
      </c>
      <c r="N9" s="110">
        <v>18</v>
      </c>
      <c r="R9" s="17"/>
      <c r="U9" s="29"/>
      <c r="V9" s="29"/>
      <c r="Y9" s="17"/>
      <c r="AB9" s="29"/>
      <c r="AC9" s="29"/>
    </row>
    <row r="10" spans="1:30" x14ac:dyDescent="0.2">
      <c r="B10" s="25" t="s">
        <v>101</v>
      </c>
      <c r="C10" s="25" t="s">
        <v>0</v>
      </c>
      <c r="D10" s="29">
        <v>1.9639999999999998E-9</v>
      </c>
      <c r="E10" s="29">
        <v>1.9639999999999998E-9</v>
      </c>
      <c r="F10" s="29">
        <v>1.9639999999999998E-9</v>
      </c>
      <c r="G10" s="17">
        <v>1</v>
      </c>
      <c r="I10" s="17" t="s">
        <v>101</v>
      </c>
      <c r="J10" s="17" t="s">
        <v>6</v>
      </c>
      <c r="K10" s="29">
        <v>1.9639999999999998E-9</v>
      </c>
      <c r="L10" s="29">
        <v>1.9639999999999998E-9</v>
      </c>
      <c r="M10" s="29">
        <v>1.9639999999999998E-9</v>
      </c>
      <c r="N10" s="17">
        <v>1</v>
      </c>
      <c r="R10" s="17"/>
      <c r="U10" s="29"/>
      <c r="V10" s="29"/>
      <c r="Y10" s="17"/>
      <c r="AB10" s="29"/>
      <c r="AC10" s="29"/>
    </row>
    <row r="11" spans="1:30" x14ac:dyDescent="0.2">
      <c r="B11" s="17" t="s">
        <v>105</v>
      </c>
      <c r="C11" s="17" t="s">
        <v>0</v>
      </c>
      <c r="D11" s="29">
        <v>8.8698000000000005E-8</v>
      </c>
      <c r="E11" s="29">
        <v>8.8698000000000005E-8</v>
      </c>
      <c r="F11" s="29">
        <v>8.8698000000000005E-8</v>
      </c>
      <c r="G11" s="17">
        <v>1</v>
      </c>
      <c r="I11" s="17" t="s">
        <v>105</v>
      </c>
      <c r="J11" s="17" t="s">
        <v>6</v>
      </c>
      <c r="K11" s="29">
        <v>8.8698000000000005E-8</v>
      </c>
      <c r="L11" s="29">
        <v>8.8698000000000005E-8</v>
      </c>
      <c r="M11" s="29">
        <v>8.8698000000000005E-8</v>
      </c>
      <c r="N11" s="17">
        <v>1</v>
      </c>
      <c r="R11" s="17"/>
      <c r="U11" s="29"/>
      <c r="V11" s="29"/>
      <c r="AB11" s="29"/>
      <c r="AC11" s="29"/>
    </row>
    <row r="12" spans="1:30" x14ac:dyDescent="0.2">
      <c r="B12" s="17" t="s">
        <v>100</v>
      </c>
      <c r="C12" s="17" t="s">
        <v>0</v>
      </c>
      <c r="D12" s="29">
        <v>2.9999999999999997E-8</v>
      </c>
      <c r="E12" s="29">
        <v>2.9999999999999997E-8</v>
      </c>
      <c r="F12" s="29">
        <v>2.9999999999999997E-8</v>
      </c>
      <c r="G12" s="17">
        <v>2</v>
      </c>
      <c r="I12" s="17" t="s">
        <v>100</v>
      </c>
      <c r="J12" s="17" t="s">
        <v>6</v>
      </c>
      <c r="K12" s="29">
        <v>2.9999999999999997E-8</v>
      </c>
      <c r="L12" s="29">
        <v>2.9999999999999997E-8</v>
      </c>
      <c r="M12" s="29">
        <v>2.9999999999999997E-8</v>
      </c>
      <c r="N12" s="17">
        <v>1</v>
      </c>
      <c r="R12" s="17"/>
      <c r="U12" s="29"/>
      <c r="V12" s="29"/>
      <c r="AB12" s="29"/>
      <c r="AC12" s="29"/>
    </row>
    <row r="13" spans="1:30" x14ac:dyDescent="0.2">
      <c r="B13" s="17" t="s">
        <v>103</v>
      </c>
      <c r="C13" s="17" t="s">
        <v>0</v>
      </c>
      <c r="D13" s="29">
        <v>9.8175000000000004E-8</v>
      </c>
      <c r="E13" s="29">
        <v>9.8175000000000004E-8</v>
      </c>
      <c r="F13" s="29">
        <v>9.8175000000000004E-8</v>
      </c>
      <c r="G13" s="17">
        <v>9</v>
      </c>
      <c r="I13" s="17" t="s">
        <v>103</v>
      </c>
      <c r="J13" s="17" t="s">
        <v>6</v>
      </c>
      <c r="K13" s="29">
        <v>9.8175000000000004E-8</v>
      </c>
      <c r="L13" s="29">
        <v>9.8175000000000004E-8</v>
      </c>
      <c r="M13" s="29">
        <v>9.8175000000000004E-8</v>
      </c>
      <c r="N13" s="17">
        <v>4</v>
      </c>
      <c r="R13" s="17"/>
      <c r="U13" s="29"/>
      <c r="V13" s="29"/>
      <c r="AB13" s="29"/>
      <c r="AC13" s="29"/>
    </row>
    <row r="14" spans="1:30" x14ac:dyDescent="0.2">
      <c r="A14" s="25"/>
    </row>
    <row r="15" spans="1:30" x14ac:dyDescent="0.2">
      <c r="A15" s="25"/>
    </row>
    <row r="16" spans="1:30" x14ac:dyDescent="0.2">
      <c r="A16" s="25"/>
      <c r="I16" s="10"/>
    </row>
    <row r="17" spans="1:17" x14ac:dyDescent="0.2">
      <c r="A17" s="25"/>
      <c r="I17" s="10"/>
    </row>
    <row r="18" spans="1:17" x14ac:dyDescent="0.2">
      <c r="A18" s="25"/>
      <c r="I18" s="10"/>
    </row>
    <row r="19" spans="1:17" x14ac:dyDescent="0.2">
      <c r="A19" s="25"/>
    </row>
    <row r="20" spans="1:17" x14ac:dyDescent="0.2">
      <c r="A20" s="25"/>
    </row>
    <row r="21" spans="1:17" x14ac:dyDescent="0.2">
      <c r="A21" s="25"/>
    </row>
    <row r="28" spans="1:17" x14ac:dyDescent="0.2">
      <c r="Q28" s="17" t="s">
        <v>233</v>
      </c>
    </row>
    <row r="32" spans="1:17" x14ac:dyDescent="0.2">
      <c r="J32" s="17"/>
    </row>
    <row r="33" spans="10:10" x14ac:dyDescent="0.2">
      <c r="J33" s="17"/>
    </row>
    <row r="34" spans="10:10" x14ac:dyDescent="0.2">
      <c r="J34" s="17"/>
    </row>
    <row r="35" spans="10:10" x14ac:dyDescent="0.2">
      <c r="J35" s="17"/>
    </row>
    <row r="36" spans="10:10" x14ac:dyDescent="0.2">
      <c r="J36" s="17"/>
    </row>
    <row r="37" spans="10:10" x14ac:dyDescent="0.2">
      <c r="J37" s="17"/>
    </row>
    <row r="38" spans="10:10" x14ac:dyDescent="0.2">
      <c r="J38" s="17"/>
    </row>
    <row r="39" spans="10:10" x14ac:dyDescent="0.2">
      <c r="J39" s="17"/>
    </row>
    <row r="40" spans="10:10" x14ac:dyDescent="0.2">
      <c r="J40" s="17"/>
    </row>
    <row r="41" spans="10:10" x14ac:dyDescent="0.2">
      <c r="J41" s="17"/>
    </row>
    <row r="42" spans="10:10" x14ac:dyDescent="0.2">
      <c r="J42" s="17"/>
    </row>
    <row r="43" spans="10:10" x14ac:dyDescent="0.2">
      <c r="J43" s="17"/>
    </row>
    <row r="44" spans="10:10" x14ac:dyDescent="0.2">
      <c r="J44" s="17"/>
    </row>
    <row r="45" spans="10:10" x14ac:dyDescent="0.2">
      <c r="J45" s="17"/>
    </row>
    <row r="46" spans="10:10" x14ac:dyDescent="0.2">
      <c r="J46" s="17"/>
    </row>
    <row r="47" spans="10:10" x14ac:dyDescent="0.2">
      <c r="J47" s="17"/>
    </row>
    <row r="48" spans="10:10" x14ac:dyDescent="0.2">
      <c r="J48" s="17"/>
    </row>
    <row r="49" spans="10:10" x14ac:dyDescent="0.2">
      <c r="J49" s="17"/>
    </row>
    <row r="50" spans="10:10" x14ac:dyDescent="0.2">
      <c r="J50" s="17"/>
    </row>
    <row r="51" spans="10:10" x14ac:dyDescent="0.2">
      <c r="J51" s="17"/>
    </row>
  </sheetData>
  <sortState ref="B4:C10">
    <sortCondition ref="B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sardine diet composition</vt:lpstr>
      <vt:lpstr>anchovy diet composition</vt:lpstr>
      <vt:lpstr>sampling details</vt:lpstr>
      <vt:lpstr>Diet item and measures</vt:lpstr>
      <vt:lpstr>Resumen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tmca500</dc:creator>
  <cp:lastModifiedBy>Mariella Canales</cp:lastModifiedBy>
  <cp:lastPrinted>2011-09-02T14:46:59Z</cp:lastPrinted>
  <dcterms:created xsi:type="dcterms:W3CDTF">2011-02-03T15:04:41Z</dcterms:created>
  <dcterms:modified xsi:type="dcterms:W3CDTF">2018-09-07T14:54:33Z</dcterms:modified>
</cp:coreProperties>
</file>