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Volumes/MLLA/GUSTAV_DataPPMR/"/>
    </mc:Choice>
  </mc:AlternateContent>
  <xr:revisionPtr revIDLastSave="0" documentId="13_ncr:1_{FE693795-B6D3-1441-8FB4-0DE59A55F1E5}" xr6:coauthVersionLast="36" xr6:coauthVersionMax="36" xr10:uidLastSave="{00000000-0000-0000-0000-000000000000}"/>
  <bookViews>
    <workbookView xWindow="3940" yWindow="1980" windowWidth="34460" windowHeight="18840" activeTab="1" xr2:uid="{00000000-000D-0000-FFFF-FFFF00000000}"/>
  </bookViews>
  <sheets>
    <sheet name="Summary Mesopelagic" sheetId="2" r:id="rId1"/>
    <sheet name="T. mexicanus" sheetId="7" r:id="rId2"/>
    <sheet name="D. atlanticus" sheetId="1" r:id="rId3"/>
    <sheet name="V.lucetia" sheetId="8" r:id="rId4"/>
    <sheet name="C. acclinidens" sheetId="9" r:id="rId5"/>
    <sheet name="Sheet3" sheetId="3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" l="1"/>
  <c r="N8" i="2"/>
  <c r="Q4" i="7"/>
  <c r="Q3" i="7"/>
  <c r="E57" i="7"/>
  <c r="Q57" i="7"/>
  <c r="E58" i="7"/>
  <c r="Q58" i="7"/>
  <c r="Q61" i="7"/>
  <c r="J12" i="7"/>
  <c r="E12" i="7"/>
  <c r="Q12" i="7"/>
  <c r="J14" i="7"/>
  <c r="E14" i="7"/>
  <c r="Q14" i="7"/>
  <c r="E16" i="7"/>
  <c r="Q16" i="7"/>
  <c r="E18" i="7"/>
  <c r="Q18" i="7"/>
  <c r="J21" i="7"/>
  <c r="E21" i="7"/>
  <c r="Q21" i="7"/>
  <c r="E24" i="7"/>
  <c r="Q24" i="7"/>
  <c r="E25" i="7"/>
  <c r="Q25" i="7"/>
  <c r="E26" i="7"/>
  <c r="Q26" i="7"/>
  <c r="E27" i="7"/>
  <c r="Q27" i="7"/>
  <c r="E28" i="7"/>
  <c r="Q28" i="7"/>
  <c r="E29" i="7"/>
  <c r="Q29" i="7"/>
  <c r="J30" i="7"/>
  <c r="E30" i="7"/>
  <c r="Q30" i="7"/>
  <c r="E31" i="7"/>
  <c r="Q31" i="7"/>
  <c r="E32" i="7"/>
  <c r="Q32" i="7"/>
  <c r="E33" i="7"/>
  <c r="Q33" i="7"/>
  <c r="E34" i="7"/>
  <c r="Q34" i="7"/>
  <c r="E35" i="7"/>
  <c r="Q35" i="7"/>
  <c r="E36" i="7"/>
  <c r="Q36" i="7"/>
  <c r="J37" i="7"/>
  <c r="E37" i="7"/>
  <c r="Q37" i="7"/>
  <c r="J38" i="7"/>
  <c r="E38" i="7"/>
  <c r="Q38" i="7"/>
  <c r="E39" i="7"/>
  <c r="Q39" i="7"/>
  <c r="E40" i="7"/>
  <c r="Q40" i="7"/>
  <c r="J41" i="7"/>
  <c r="E41" i="7"/>
  <c r="Q41" i="7"/>
  <c r="J42" i="7"/>
  <c r="E42" i="7"/>
  <c r="Q42" i="7"/>
  <c r="E43" i="7"/>
  <c r="Q43" i="7"/>
  <c r="J44" i="7"/>
  <c r="E44" i="7"/>
  <c r="Q44" i="7"/>
  <c r="J46" i="7"/>
  <c r="E46" i="7"/>
  <c r="Q46" i="7"/>
  <c r="J47" i="7"/>
  <c r="E47" i="7"/>
  <c r="Q47" i="7"/>
  <c r="J48" i="7"/>
  <c r="E48" i="7"/>
  <c r="Q48" i="7"/>
  <c r="J49" i="7"/>
  <c r="E49" i="7"/>
  <c r="Q49" i="7"/>
  <c r="J51" i="7"/>
  <c r="E51" i="7"/>
  <c r="Q51" i="7"/>
  <c r="J55" i="7"/>
  <c r="E55" i="7"/>
  <c r="Q55" i="7"/>
  <c r="Q60" i="7"/>
  <c r="E58" i="1"/>
  <c r="P58" i="1"/>
  <c r="J14" i="1"/>
  <c r="E14" i="1"/>
  <c r="P14" i="1"/>
  <c r="J15" i="1"/>
  <c r="E15" i="1"/>
  <c r="P15" i="1"/>
  <c r="E17" i="1"/>
  <c r="P17" i="1"/>
  <c r="E27" i="1"/>
  <c r="P27" i="1"/>
  <c r="J31" i="1"/>
  <c r="E31" i="1"/>
  <c r="P31" i="1"/>
  <c r="E32" i="1"/>
  <c r="P32" i="1"/>
  <c r="J38" i="1"/>
  <c r="E38" i="1"/>
  <c r="P38" i="1"/>
  <c r="J42" i="1"/>
  <c r="E42" i="1"/>
  <c r="P42" i="1"/>
  <c r="J43" i="1"/>
  <c r="E43" i="1"/>
  <c r="P43" i="1"/>
  <c r="E44" i="1"/>
  <c r="P44" i="1"/>
  <c r="J45" i="1"/>
  <c r="E45" i="1"/>
  <c r="P45" i="1"/>
  <c r="J48" i="1"/>
  <c r="E48" i="1"/>
  <c r="P48" i="1"/>
  <c r="J50" i="1"/>
  <c r="E50" i="1"/>
  <c r="P50" i="1"/>
  <c r="J52" i="1"/>
  <c r="E52" i="1"/>
  <c r="P52" i="1"/>
  <c r="E53" i="1"/>
  <c r="P53" i="1"/>
  <c r="J56" i="1"/>
  <c r="E56" i="1"/>
  <c r="P56" i="1"/>
  <c r="E59" i="1"/>
  <c r="P59" i="1"/>
  <c r="P61" i="1"/>
  <c r="P62" i="1"/>
  <c r="E58" i="8"/>
  <c r="P58" i="8"/>
  <c r="J15" i="8"/>
  <c r="E15" i="8"/>
  <c r="P15" i="8"/>
  <c r="E17" i="8"/>
  <c r="P17" i="8"/>
  <c r="E29" i="8"/>
  <c r="P29" i="8"/>
  <c r="E30" i="8"/>
  <c r="P30" i="8"/>
  <c r="E34" i="8"/>
  <c r="P34" i="8"/>
  <c r="J38" i="8"/>
  <c r="E38" i="8"/>
  <c r="P38" i="8"/>
  <c r="J42" i="8"/>
  <c r="E42" i="8"/>
  <c r="P42" i="8"/>
  <c r="J43" i="8"/>
  <c r="E43" i="8"/>
  <c r="P43" i="8"/>
  <c r="E44" i="8"/>
  <c r="P44" i="8"/>
  <c r="J45" i="8"/>
  <c r="E45" i="8"/>
  <c r="P45" i="8"/>
  <c r="J48" i="8"/>
  <c r="E48" i="8"/>
  <c r="P48" i="8"/>
  <c r="J50" i="8"/>
  <c r="E50" i="8"/>
  <c r="P50" i="8"/>
  <c r="E53" i="8"/>
  <c r="P53" i="8"/>
  <c r="J56" i="8"/>
  <c r="E56" i="8"/>
  <c r="P56" i="8"/>
  <c r="E59" i="8"/>
  <c r="P59" i="8"/>
  <c r="P61" i="8"/>
  <c r="P62" i="8"/>
  <c r="E58" i="9"/>
  <c r="P58" i="9"/>
  <c r="J12" i="9"/>
  <c r="E12" i="9"/>
  <c r="P12" i="9"/>
  <c r="E22" i="9"/>
  <c r="P22" i="9"/>
  <c r="E26" i="9"/>
  <c r="P26" i="9"/>
  <c r="E28" i="9"/>
  <c r="P28" i="9"/>
  <c r="E29" i="9"/>
  <c r="P29" i="9"/>
  <c r="E30" i="9"/>
  <c r="P30" i="9"/>
  <c r="J31" i="9"/>
  <c r="E31" i="9"/>
  <c r="P31" i="9"/>
  <c r="E32" i="9"/>
  <c r="P32" i="9"/>
  <c r="E34" i="9"/>
  <c r="P34" i="9"/>
  <c r="E36" i="9"/>
  <c r="P36" i="9"/>
  <c r="J38" i="9"/>
  <c r="E38" i="9"/>
  <c r="P38" i="9"/>
  <c r="J39" i="9"/>
  <c r="E39" i="9"/>
  <c r="P39" i="9"/>
  <c r="J43" i="9"/>
  <c r="E43" i="9"/>
  <c r="P43" i="9"/>
  <c r="E44" i="9"/>
  <c r="P44" i="9"/>
  <c r="J45" i="9"/>
  <c r="E45" i="9"/>
  <c r="P45" i="9"/>
  <c r="J48" i="9"/>
  <c r="E48" i="9"/>
  <c r="P48" i="9"/>
  <c r="J50" i="9"/>
  <c r="E50" i="9"/>
  <c r="P50" i="9"/>
  <c r="E52" i="9"/>
  <c r="P52" i="9"/>
  <c r="E53" i="9"/>
  <c r="P53" i="9"/>
  <c r="J56" i="9"/>
  <c r="E56" i="9"/>
  <c r="P56" i="9"/>
  <c r="E59" i="9"/>
  <c r="P59" i="9"/>
  <c r="P60" i="9"/>
  <c r="P61" i="9"/>
  <c r="R6" i="2"/>
  <c r="Q6" i="2"/>
  <c r="R5" i="2"/>
  <c r="Q5" i="2"/>
  <c r="R4" i="2"/>
  <c r="Q4" i="2"/>
  <c r="R3" i="2"/>
  <c r="R7" i="2"/>
  <c r="Q3" i="2"/>
  <c r="Q7" i="2"/>
  <c r="D56" i="7"/>
  <c r="D22" i="7"/>
  <c r="O7" i="2"/>
  <c r="N7" i="2"/>
  <c r="I7" i="2"/>
  <c r="E7" i="2"/>
  <c r="J7" i="2"/>
  <c r="I5" i="2"/>
  <c r="I3" i="2"/>
  <c r="D5" i="9"/>
  <c r="D6" i="9"/>
  <c r="E49" i="8"/>
  <c r="D5" i="8"/>
  <c r="H2" i="8"/>
  <c r="H3" i="8"/>
  <c r="D6" i="8"/>
  <c r="D5" i="1"/>
  <c r="G48" i="7"/>
  <c r="I3" i="7"/>
  <c r="I2" i="7"/>
  <c r="D5" i="7"/>
  <c r="D6" i="7"/>
  <c r="D2" i="7"/>
  <c r="D6" i="1"/>
  <c r="H2" i="1"/>
  <c r="K58" i="1"/>
  <c r="M58" i="1"/>
  <c r="F12" i="7"/>
  <c r="F16" i="7"/>
  <c r="H3" i="1"/>
  <c r="L43" i="7"/>
  <c r="N43" i="7"/>
  <c r="F34" i="7"/>
  <c r="M34" i="7"/>
  <c r="O34" i="7"/>
  <c r="F18" i="7"/>
  <c r="F25" i="7"/>
  <c r="F27" i="7"/>
  <c r="F29" i="7"/>
  <c r="F32" i="7"/>
  <c r="F36" i="7"/>
  <c r="M36" i="7"/>
  <c r="O36" i="7"/>
  <c r="F40" i="7"/>
  <c r="M40" i="7"/>
  <c r="O40" i="7"/>
  <c r="F44" i="7"/>
  <c r="F46" i="7"/>
  <c r="F47" i="7"/>
  <c r="F48" i="7"/>
  <c r="F58" i="7"/>
  <c r="K12" i="9"/>
  <c r="K53" i="9"/>
  <c r="M53" i="9"/>
  <c r="K52" i="9"/>
  <c r="M52" i="9"/>
  <c r="K44" i="9"/>
  <c r="M44" i="9"/>
  <c r="K36" i="9"/>
  <c r="M36" i="9"/>
  <c r="K34" i="9"/>
  <c r="M34" i="9"/>
  <c r="K32" i="9"/>
  <c r="M32" i="9"/>
  <c r="K30" i="9"/>
  <c r="M30" i="9"/>
  <c r="K29" i="9"/>
  <c r="M29" i="9"/>
  <c r="K28" i="9"/>
  <c r="M28" i="9"/>
  <c r="K26" i="9"/>
  <c r="M26" i="9"/>
  <c r="H3" i="9"/>
  <c r="M16" i="7"/>
  <c r="O16" i="7"/>
  <c r="M18" i="7"/>
  <c r="O18" i="7"/>
  <c r="L29" i="7"/>
  <c r="N29" i="7"/>
  <c r="L28" i="7"/>
  <c r="N28" i="7"/>
  <c r="L27" i="7"/>
  <c r="N27" i="7"/>
  <c r="L26" i="7"/>
  <c r="N26" i="7"/>
  <c r="L25" i="7"/>
  <c r="N25" i="7"/>
  <c r="M32" i="7"/>
  <c r="O32" i="7"/>
  <c r="L34" i="7"/>
  <c r="N34" i="7"/>
  <c r="L36" i="7"/>
  <c r="N36" i="7"/>
  <c r="L39" i="7"/>
  <c r="N39" i="7"/>
  <c r="K27" i="1"/>
  <c r="M27" i="1"/>
  <c r="K44" i="1"/>
  <c r="M44" i="1"/>
  <c r="F14" i="7"/>
  <c r="F21" i="7"/>
  <c r="F24" i="7"/>
  <c r="M24" i="7"/>
  <c r="O24" i="7"/>
  <c r="F26" i="7"/>
  <c r="F28" i="7"/>
  <c r="F30" i="7"/>
  <c r="F31" i="7"/>
  <c r="M31" i="7"/>
  <c r="O31" i="7"/>
  <c r="F33" i="7"/>
  <c r="M33" i="7"/>
  <c r="O33" i="7"/>
  <c r="F35" i="7"/>
  <c r="M35" i="7"/>
  <c r="O35" i="7"/>
  <c r="F37" i="7"/>
  <c r="F38" i="7"/>
  <c r="M38" i="7"/>
  <c r="O38" i="7"/>
  <c r="F39" i="7"/>
  <c r="M39" i="7"/>
  <c r="O39" i="7"/>
  <c r="F41" i="7"/>
  <c r="F42" i="7"/>
  <c r="F43" i="7"/>
  <c r="F49" i="7"/>
  <c r="F51" i="7"/>
  <c r="F55" i="7"/>
  <c r="F57" i="7"/>
  <c r="K50" i="8"/>
  <c r="K53" i="8"/>
  <c r="M53" i="8"/>
  <c r="K44" i="8"/>
  <c r="M44" i="8"/>
  <c r="K34" i="8"/>
  <c r="M34" i="8"/>
  <c r="K30" i="8"/>
  <c r="M30" i="8"/>
  <c r="K29" i="8"/>
  <c r="M29" i="8"/>
  <c r="H2" i="9"/>
  <c r="L16" i="7"/>
  <c r="N16" i="7"/>
  <c r="L18" i="7"/>
  <c r="N18" i="7"/>
  <c r="L24" i="7"/>
  <c r="N24" i="7"/>
  <c r="M29" i="7"/>
  <c r="O29" i="7"/>
  <c r="M28" i="7"/>
  <c r="O28" i="7"/>
  <c r="M27" i="7"/>
  <c r="O27" i="7"/>
  <c r="M26" i="7"/>
  <c r="O26" i="7"/>
  <c r="M25" i="7"/>
  <c r="O25" i="7"/>
  <c r="L31" i="7"/>
  <c r="N31" i="7"/>
  <c r="L32" i="7"/>
  <c r="N32" i="7"/>
  <c r="L33" i="7"/>
  <c r="N33" i="7"/>
  <c r="L35" i="7"/>
  <c r="N35" i="7"/>
  <c r="L38" i="7"/>
  <c r="N38" i="7"/>
  <c r="L40" i="7"/>
  <c r="N40" i="7"/>
  <c r="M43" i="7"/>
  <c r="O43" i="7"/>
  <c r="K17" i="1"/>
  <c r="M17" i="1"/>
  <c r="K32" i="1"/>
  <c r="M32" i="1"/>
  <c r="K53" i="1"/>
  <c r="M53" i="1"/>
  <c r="K17" i="8"/>
  <c r="M17" i="8"/>
  <c r="M12" i="7"/>
  <c r="O12" i="7"/>
  <c r="M21" i="7"/>
  <c r="O21" i="7"/>
  <c r="M51" i="7"/>
  <c r="O51" i="7"/>
  <c r="M44" i="7"/>
  <c r="O44" i="7"/>
  <c r="K39" i="9"/>
  <c r="M39" i="9"/>
  <c r="K31" i="9"/>
  <c r="M31" i="9"/>
  <c r="K22" i="9"/>
  <c r="M22" i="9"/>
  <c r="K59" i="9"/>
  <c r="M59" i="9"/>
  <c r="K58" i="9"/>
  <c r="M58" i="9"/>
  <c r="K56" i="9"/>
  <c r="M56" i="9"/>
  <c r="K50" i="9"/>
  <c r="M50" i="9"/>
  <c r="K48" i="9"/>
  <c r="M48" i="9"/>
  <c r="K43" i="9"/>
  <c r="M43" i="9"/>
  <c r="K38" i="9"/>
  <c r="M38" i="9"/>
  <c r="K45" i="9"/>
  <c r="M45" i="9"/>
  <c r="D2" i="9"/>
  <c r="F30" i="9"/>
  <c r="L30" i="9"/>
  <c r="N30" i="9"/>
  <c r="K59" i="8"/>
  <c r="M59" i="8"/>
  <c r="K58" i="8"/>
  <c r="M58" i="8"/>
  <c r="K56" i="8"/>
  <c r="M56" i="8"/>
  <c r="K48" i="8"/>
  <c r="M48" i="8"/>
  <c r="K43" i="8"/>
  <c r="M43" i="8"/>
  <c r="K38" i="8"/>
  <c r="M38" i="8"/>
  <c r="M50" i="8"/>
  <c r="K45" i="8"/>
  <c r="M45" i="8"/>
  <c r="K42" i="8"/>
  <c r="M42" i="8"/>
  <c r="K15" i="8"/>
  <c r="D2" i="8"/>
  <c r="F15" i="8"/>
  <c r="K14" i="1"/>
  <c r="L58" i="7"/>
  <c r="N58" i="7"/>
  <c r="L57" i="7"/>
  <c r="N57" i="7"/>
  <c r="L55" i="7"/>
  <c r="N55" i="7"/>
  <c r="L49" i="7"/>
  <c r="N49" i="7"/>
  <c r="M47" i="7"/>
  <c r="O47" i="7"/>
  <c r="L46" i="7"/>
  <c r="N46" i="7"/>
  <c r="L42" i="7"/>
  <c r="N42" i="7"/>
  <c r="M41" i="7"/>
  <c r="O41" i="7"/>
  <c r="M37" i="7"/>
  <c r="O37" i="7"/>
  <c r="L30" i="7"/>
  <c r="N30" i="7"/>
  <c r="L14" i="7"/>
  <c r="N14" i="7"/>
  <c r="M58" i="7"/>
  <c r="O58" i="7"/>
  <c r="M57" i="7"/>
  <c r="O57" i="7"/>
  <c r="M55" i="7"/>
  <c r="O55" i="7"/>
  <c r="L51" i="7"/>
  <c r="N51" i="7"/>
  <c r="M49" i="7"/>
  <c r="O49" i="7"/>
  <c r="L48" i="7"/>
  <c r="N48" i="7"/>
  <c r="L47" i="7"/>
  <c r="N47" i="7"/>
  <c r="L44" i="7"/>
  <c r="N44" i="7"/>
  <c r="L41" i="7"/>
  <c r="N41" i="7"/>
  <c r="L37" i="7"/>
  <c r="N37" i="7"/>
  <c r="L21" i="7"/>
  <c r="N21" i="7"/>
  <c r="L12" i="7"/>
  <c r="M14" i="7"/>
  <c r="O14" i="7"/>
  <c r="M30" i="7"/>
  <c r="O30" i="7"/>
  <c r="M42" i="7"/>
  <c r="O42" i="7"/>
  <c r="M46" i="7"/>
  <c r="O46" i="7"/>
  <c r="M48" i="7"/>
  <c r="O48" i="7"/>
  <c r="K43" i="1"/>
  <c r="M43" i="1"/>
  <c r="K15" i="1"/>
  <c r="M15" i="1"/>
  <c r="K31" i="1"/>
  <c r="M31" i="1"/>
  <c r="K45" i="1"/>
  <c r="M45" i="1"/>
  <c r="K48" i="1"/>
  <c r="M48" i="1"/>
  <c r="K50" i="1"/>
  <c r="M50" i="1"/>
  <c r="K56" i="1"/>
  <c r="M56" i="1"/>
  <c r="K59" i="1"/>
  <c r="M59" i="1"/>
  <c r="D2" i="1"/>
  <c r="F17" i="1"/>
  <c r="L17" i="1"/>
  <c r="N17" i="1"/>
  <c r="K38" i="1"/>
  <c r="M38" i="1"/>
  <c r="K42" i="1"/>
  <c r="M42" i="1"/>
  <c r="K52" i="1"/>
  <c r="M52" i="1"/>
  <c r="N12" i="7"/>
  <c r="L7" i="7"/>
  <c r="L6" i="7"/>
  <c r="F32" i="9"/>
  <c r="L32" i="9"/>
  <c r="N32" i="9"/>
  <c r="F12" i="9"/>
  <c r="F53" i="9"/>
  <c r="L53" i="9"/>
  <c r="N53" i="9"/>
  <c r="F48" i="9"/>
  <c r="F34" i="9"/>
  <c r="L34" i="9"/>
  <c r="N34" i="9"/>
  <c r="F34" i="8"/>
  <c r="L34" i="8"/>
  <c r="N34" i="8"/>
  <c r="F59" i="8"/>
  <c r="F44" i="8"/>
  <c r="L44" i="8"/>
  <c r="N44" i="8"/>
  <c r="F42" i="8"/>
  <c r="F53" i="1"/>
  <c r="L53" i="1"/>
  <c r="N53" i="1"/>
  <c r="F44" i="1"/>
  <c r="L44" i="1"/>
  <c r="N44" i="1"/>
  <c r="F52" i="9"/>
  <c r="L52" i="9"/>
  <c r="N52" i="9"/>
  <c r="F31" i="9"/>
  <c r="F22" i="9"/>
  <c r="F56" i="9"/>
  <c r="F44" i="9"/>
  <c r="L44" i="9"/>
  <c r="N44" i="9"/>
  <c r="F38" i="9"/>
  <c r="M12" i="9"/>
  <c r="K8" i="9"/>
  <c r="K7" i="9"/>
  <c r="F49" i="8"/>
  <c r="F56" i="8"/>
  <c r="F48" i="8"/>
  <c r="F17" i="8"/>
  <c r="L17" i="8"/>
  <c r="N17" i="8"/>
  <c r="F14" i="1"/>
  <c r="F58" i="1"/>
  <c r="F48" i="1"/>
  <c r="F38" i="1"/>
  <c r="F45" i="1"/>
  <c r="F56" i="1"/>
  <c r="F27" i="1"/>
  <c r="L27" i="1"/>
  <c r="N27" i="1"/>
  <c r="F42" i="1"/>
  <c r="M14" i="1"/>
  <c r="K8" i="1"/>
  <c r="K7" i="1"/>
  <c r="M15" i="8"/>
  <c r="K8" i="8"/>
  <c r="K7" i="8"/>
  <c r="F39" i="9"/>
  <c r="F28" i="9"/>
  <c r="L28" i="9"/>
  <c r="N28" i="9"/>
  <c r="F59" i="9"/>
  <c r="F50" i="9"/>
  <c r="F45" i="9"/>
  <c r="F29" i="9"/>
  <c r="L29" i="9"/>
  <c r="N29" i="9"/>
  <c r="F29" i="8"/>
  <c r="L29" i="8"/>
  <c r="N29" i="8"/>
  <c r="F53" i="8"/>
  <c r="L53" i="8"/>
  <c r="N53" i="8"/>
  <c r="F43" i="8"/>
  <c r="F38" i="8"/>
  <c r="F36" i="9"/>
  <c r="L36" i="9"/>
  <c r="N36" i="9"/>
  <c r="F26" i="9"/>
  <c r="L26" i="9"/>
  <c r="N26" i="9"/>
  <c r="F58" i="9"/>
  <c r="F43" i="9"/>
  <c r="F30" i="8"/>
  <c r="L30" i="8"/>
  <c r="N30" i="8"/>
  <c r="F58" i="8"/>
  <c r="F50" i="8"/>
  <c r="F45" i="8"/>
  <c r="F52" i="1"/>
  <c r="F31" i="1"/>
  <c r="F43" i="1"/>
  <c r="F15" i="1"/>
  <c r="F59" i="1"/>
  <c r="F50" i="1"/>
  <c r="F32" i="1"/>
  <c r="L32" i="1"/>
  <c r="N32" i="1"/>
  <c r="L56" i="9"/>
  <c r="N56" i="9"/>
  <c r="L14" i="1"/>
  <c r="N14" i="1"/>
  <c r="L39" i="9"/>
  <c r="N39" i="9"/>
  <c r="L12" i="9"/>
  <c r="N12" i="9"/>
  <c r="L31" i="9"/>
  <c r="N31" i="9"/>
  <c r="L22" i="9"/>
  <c r="N22" i="9"/>
  <c r="L59" i="9"/>
  <c r="N59" i="9"/>
  <c r="L58" i="9"/>
  <c r="N58" i="9"/>
  <c r="L45" i="9"/>
  <c r="N45" i="9"/>
  <c r="L48" i="9"/>
  <c r="N48" i="9"/>
  <c r="L50" i="9"/>
  <c r="N50" i="9"/>
  <c r="L38" i="9"/>
  <c r="N38" i="9"/>
  <c r="M4" i="9"/>
  <c r="P4" i="9"/>
  <c r="M3" i="9"/>
  <c r="P3" i="9"/>
  <c r="L43" i="9"/>
  <c r="N43" i="9"/>
  <c r="L56" i="8"/>
  <c r="N56" i="8"/>
  <c r="L38" i="8"/>
  <c r="N38" i="8"/>
  <c r="L48" i="8"/>
  <c r="N48" i="8"/>
  <c r="L59" i="8"/>
  <c r="N59" i="8"/>
  <c r="L58" i="8"/>
  <c r="N58" i="8"/>
  <c r="L50" i="8"/>
  <c r="N50" i="8"/>
  <c r="L45" i="8"/>
  <c r="N45" i="8"/>
  <c r="L42" i="8"/>
  <c r="N42" i="8"/>
  <c r="L15" i="8"/>
  <c r="N15" i="8"/>
  <c r="M4" i="8"/>
  <c r="P4" i="8"/>
  <c r="M3" i="8"/>
  <c r="P3" i="8"/>
  <c r="L43" i="8"/>
  <c r="N43" i="8"/>
  <c r="O4" i="7"/>
  <c r="O3" i="7"/>
  <c r="N4" i="7"/>
  <c r="N3" i="7"/>
  <c r="M3" i="1"/>
  <c r="M4" i="1"/>
  <c r="L56" i="1"/>
  <c r="N56" i="1"/>
  <c r="L48" i="1"/>
  <c r="N48" i="1"/>
  <c r="L58" i="1"/>
  <c r="N58" i="1"/>
  <c r="L31" i="1"/>
  <c r="N31" i="1"/>
  <c r="L43" i="1"/>
  <c r="N43" i="1"/>
  <c r="L59" i="1"/>
  <c r="N59" i="1"/>
  <c r="L50" i="1"/>
  <c r="N50" i="1"/>
  <c r="L38" i="1"/>
  <c r="N38" i="1"/>
  <c r="L42" i="1"/>
  <c r="N42" i="1"/>
  <c r="L15" i="1"/>
  <c r="N15" i="1"/>
  <c r="L52" i="1"/>
  <c r="N52" i="1"/>
  <c r="L45" i="1"/>
  <c r="N45" i="1"/>
  <c r="N4" i="9"/>
  <c r="N3" i="9"/>
  <c r="N3" i="8"/>
  <c r="N4" i="8"/>
  <c r="N3" i="1"/>
  <c r="N4" i="1"/>
</calcChain>
</file>

<file path=xl/sharedStrings.xml><?xml version="1.0" encoding="utf-8"?>
<sst xmlns="http://schemas.openxmlformats.org/spreadsheetml/2006/main" count="605" uniqueCount="145">
  <si>
    <t>PROTOZOA</t>
  </si>
  <si>
    <t>Order</t>
  </si>
  <si>
    <t>Radiolaria</t>
  </si>
  <si>
    <t>CNIDARIA</t>
  </si>
  <si>
    <t>Subclass</t>
  </si>
  <si>
    <t>Hydromedusae</t>
  </si>
  <si>
    <t>ANNELIDA</t>
  </si>
  <si>
    <t>Class</t>
  </si>
  <si>
    <t>Polychaeta</t>
  </si>
  <si>
    <t>MOLLUSCA</t>
  </si>
  <si>
    <t>Pteropoda</t>
  </si>
  <si>
    <t>CHAETOGNATHA</t>
  </si>
  <si>
    <t>Sagitta</t>
  </si>
  <si>
    <t>sp.</t>
  </si>
  <si>
    <t>CRUSTACEA</t>
  </si>
  <si>
    <t>Copepoda</t>
  </si>
  <si>
    <t>Nannocalanus</t>
  </si>
  <si>
    <t>minor</t>
  </si>
  <si>
    <t>Neocalanus</t>
  </si>
  <si>
    <t>robustior</t>
  </si>
  <si>
    <t>Calanus</t>
  </si>
  <si>
    <t>Undinula</t>
  </si>
  <si>
    <t>Eucalanus</t>
  </si>
  <si>
    <t>Paracalanus</t>
  </si>
  <si>
    <t>parvus</t>
  </si>
  <si>
    <t>Mecynocera</t>
  </si>
  <si>
    <t>clausi</t>
  </si>
  <si>
    <t>Euaetideus</t>
  </si>
  <si>
    <t>bradyi</t>
  </si>
  <si>
    <t>Euchirella</t>
  </si>
  <si>
    <t>bella</t>
  </si>
  <si>
    <t>Scolecithricella</t>
  </si>
  <si>
    <t>Temora</t>
  </si>
  <si>
    <t>discaudata</t>
  </si>
  <si>
    <t>stylifera</t>
  </si>
  <si>
    <t>Centropages</t>
  </si>
  <si>
    <t>brachiatus</t>
  </si>
  <si>
    <t>Lucicutia</t>
  </si>
  <si>
    <t>flavicornis</t>
  </si>
  <si>
    <t>Augaptilus</t>
  </si>
  <si>
    <t>Saphirina</t>
  </si>
  <si>
    <t>Corycaeus</t>
  </si>
  <si>
    <t>Unidentified</t>
  </si>
  <si>
    <t>Digested</t>
  </si>
  <si>
    <t>Copepodite</t>
  </si>
  <si>
    <t>TAXA</t>
  </si>
  <si>
    <t>n</t>
  </si>
  <si>
    <t>T.mexicanus</t>
  </si>
  <si>
    <t>D. atlanticus</t>
  </si>
  <si>
    <t>V. lucetia</t>
  </si>
  <si>
    <t>C. acclinidens</t>
  </si>
  <si>
    <t>Amphipoda</t>
  </si>
  <si>
    <t>Suborder</t>
  </si>
  <si>
    <t>Hyperiidea</t>
  </si>
  <si>
    <t>Ostracoda</t>
  </si>
  <si>
    <t>Cladocera</t>
  </si>
  <si>
    <t>Euphausida</t>
  </si>
  <si>
    <t>Decapoda</t>
  </si>
  <si>
    <t>Larvae</t>
  </si>
  <si>
    <t>Undetermined</t>
  </si>
  <si>
    <t>TUNICATA</t>
  </si>
  <si>
    <t>Appendiculata</t>
  </si>
  <si>
    <t>Oikopleura</t>
  </si>
  <si>
    <t>VERTEBRATA</t>
  </si>
  <si>
    <t>Eggs</t>
  </si>
  <si>
    <t>fish</t>
  </si>
  <si>
    <t>NT stomach</t>
  </si>
  <si>
    <t>N per stomach</t>
  </si>
  <si>
    <t>log10(A)</t>
  </si>
  <si>
    <t>log10(B)</t>
  </si>
  <si>
    <t>a (allometric function)</t>
  </si>
  <si>
    <t>Mean Logdistribution</t>
  </si>
  <si>
    <t>b  (allometric function)</t>
  </si>
  <si>
    <t>sd logdistribution</t>
  </si>
  <si>
    <t>mean length</t>
  </si>
  <si>
    <t>mean weight</t>
  </si>
  <si>
    <t>g</t>
  </si>
  <si>
    <r>
      <t>Conversion factor from µm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into g </t>
    </r>
  </si>
  <si>
    <t>10^-12</t>
  </si>
  <si>
    <t>a</t>
  </si>
  <si>
    <t>http://earth.leeds.ac.uk/cyclops/data/ncfs-zooplank.xls</t>
  </si>
  <si>
    <t>A</t>
  </si>
  <si>
    <t>B</t>
  </si>
  <si>
    <t>N/stomach</t>
  </si>
  <si>
    <t>Ratio Predator (g)/prey(g)</t>
  </si>
  <si>
    <t>(predator (g) /prey (g))* Ni/N</t>
  </si>
  <si>
    <t>mm</t>
  </si>
  <si>
    <t>size</t>
  </si>
  <si>
    <t>unit</t>
  </si>
  <si>
    <t>µm3</t>
  </si>
  <si>
    <t>mm3</t>
  </si>
  <si>
    <t>1-5</t>
  </si>
  <si>
    <r>
      <t>Conversion factor from 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into g </t>
    </r>
  </si>
  <si>
    <t>10^-3</t>
  </si>
  <si>
    <t>Ni/N</t>
  </si>
  <si>
    <t>Syphonophorae</t>
  </si>
  <si>
    <t>Crustaceoas</t>
  </si>
  <si>
    <t>Fish Base</t>
  </si>
  <si>
    <t>Fish Base (T. mex.)</t>
  </si>
  <si>
    <t>Fishbase</t>
  </si>
  <si>
    <t>T. mexicanus</t>
  </si>
  <si>
    <t>% N</t>
  </si>
  <si>
    <t>b</t>
  </si>
  <si>
    <t>Linf</t>
  </si>
  <si>
    <t>Lmat</t>
  </si>
  <si>
    <t>to</t>
  </si>
  <si>
    <t>Winf</t>
  </si>
  <si>
    <t>Wmat</t>
  </si>
  <si>
    <t>Age mat</t>
  </si>
  <si>
    <t>Wegg</t>
  </si>
  <si>
    <t>k_vb</t>
  </si>
  <si>
    <t>beta</t>
  </si>
  <si>
    <t>Mesopelagic fish</t>
  </si>
  <si>
    <t>References</t>
  </si>
  <si>
    <t>Sielfield et al  1995</t>
  </si>
  <si>
    <t>allometric function</t>
  </si>
  <si>
    <t>fishbase</t>
  </si>
  <si>
    <t>Oliva et al 2006</t>
  </si>
  <si>
    <t>Mesopelagic</t>
  </si>
  <si>
    <t>Marzloff et al 2009</t>
  </si>
  <si>
    <t>Growth eq</t>
  </si>
  <si>
    <t>Oliva et al 2006 (average 4 species)</t>
  </si>
  <si>
    <t>WW (g)</t>
  </si>
  <si>
    <r>
      <rPr>
        <b/>
        <sz val="11"/>
        <color rgb="FFFF0000"/>
        <rFont val="Calibri"/>
        <family val="2"/>
        <scheme val="minor"/>
      </rPr>
      <t xml:space="preserve">a </t>
    </r>
    <r>
      <rPr>
        <b/>
        <sz val="11"/>
        <rFont val="Calibri"/>
        <family val="2"/>
        <scheme val="minor"/>
      </rPr>
      <t xml:space="preserve">= </t>
    </r>
    <r>
      <rPr>
        <sz val="11"/>
        <rFont val="Calibri"/>
        <family val="2"/>
        <scheme val="minor"/>
      </rPr>
      <t>WW (mm3)</t>
    </r>
  </si>
  <si>
    <r>
      <rPr>
        <b/>
        <sz val="11"/>
        <color rgb="FFFF0000"/>
        <rFont val="Calibri"/>
        <family val="2"/>
        <scheme val="minor"/>
      </rPr>
      <t xml:space="preserve">a </t>
    </r>
    <r>
      <rPr>
        <sz val="11"/>
        <rFont val="Calibri"/>
        <family val="2"/>
        <scheme val="minor"/>
      </rPr>
      <t>= WW (mm3)</t>
    </r>
  </si>
  <si>
    <r>
      <rPr>
        <sz val="11"/>
        <color rgb="FFFF0000"/>
        <rFont val="Calibri"/>
        <family val="2"/>
        <scheme val="minor"/>
      </rPr>
      <t>a</t>
    </r>
    <r>
      <rPr>
        <b/>
        <sz val="11"/>
        <rFont val="Calibri"/>
        <family val="2"/>
        <scheme val="minor"/>
      </rPr>
      <t>=</t>
    </r>
    <r>
      <rPr>
        <sz val="11"/>
        <rFont val="Calibri"/>
        <family val="2"/>
        <scheme val="minor"/>
      </rPr>
      <t>WW (mm3)</t>
    </r>
  </si>
  <si>
    <r>
      <rPr>
        <sz val="11"/>
        <color rgb="FFFF0000"/>
        <rFont val="Calibri"/>
        <family val="2"/>
        <scheme val="minor"/>
      </rPr>
      <t xml:space="preserve">a </t>
    </r>
    <r>
      <rPr>
        <b/>
        <sz val="11"/>
        <rFont val="Calibri"/>
        <family val="2"/>
        <scheme val="minor"/>
      </rPr>
      <t xml:space="preserve">= </t>
    </r>
    <r>
      <rPr>
        <sz val="11"/>
        <rFont val="Calibri"/>
        <family val="2"/>
        <scheme val="minor"/>
      </rPr>
      <t>WW (mm3)</t>
    </r>
  </si>
  <si>
    <t>Based on       Oliva et al (2006)</t>
  </si>
  <si>
    <t>cm</t>
  </si>
  <si>
    <t>mean Copepodos</t>
  </si>
  <si>
    <t>Mean large crusta</t>
  </si>
  <si>
    <t>mean copepods</t>
  </si>
  <si>
    <t>mean large zoo</t>
  </si>
  <si>
    <t>mean copep</t>
  </si>
  <si>
    <t>sigma</t>
  </si>
  <si>
    <t>maxPPMR</t>
  </si>
  <si>
    <t>minPPMR</t>
  </si>
  <si>
    <t>max</t>
  </si>
  <si>
    <t>min</t>
  </si>
  <si>
    <t>ln</t>
  </si>
  <si>
    <t>log10</t>
  </si>
  <si>
    <t>Cyclotone  acclinidens</t>
  </si>
  <si>
    <t>Diogenichthys atlanticus</t>
  </si>
  <si>
    <t>Tripthoturus mexicanus</t>
  </si>
  <si>
    <t>Vinceguerria lucetia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</si>
</sst>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#,##0.000000"/>
    <numFmt numFmtId="166" formatCode="0.000"/>
    <numFmt numFmtId="167" formatCode="#,##0.0000"/>
    <numFmt numFmtId="168" formatCode="0.0000"/>
    <numFmt numFmtId="169" formatCode="0.00000"/>
    <numFmt numFmtId="170" formatCode="0.000E+00"/>
    <numFmt numFmtId="171" formatCode="0.0000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0"/>
      <color indexed="12"/>
      <name val="Verdana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0" xfId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0" fontId="5" fillId="0" borderId="0" xfId="0" applyFont="1"/>
    <xf numFmtId="0" fontId="6" fillId="0" borderId="0" xfId="2" applyAlignment="1" applyProtection="1"/>
    <xf numFmtId="0" fontId="5" fillId="0" borderId="0" xfId="0" applyFont="1" applyAlignment="1"/>
    <xf numFmtId="167" fontId="3" fillId="0" borderId="0" xfId="0" applyNumberFormat="1" applyFont="1"/>
    <xf numFmtId="1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1" fillId="2" borderId="0" xfId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3" fillId="0" borderId="0" xfId="0" applyFont="1" applyAlignment="1"/>
    <xf numFmtId="0" fontId="0" fillId="0" borderId="2" xfId="0" applyFont="1" applyBorder="1"/>
    <xf numFmtId="0" fontId="0" fillId="0" borderId="5" xfId="0" applyFont="1" applyBorder="1"/>
    <xf numFmtId="2" fontId="0" fillId="0" borderId="0" xfId="0" applyNumberFormat="1" applyFont="1"/>
    <xf numFmtId="0" fontId="9" fillId="0" borderId="0" xfId="0" applyFont="1"/>
    <xf numFmtId="0" fontId="9" fillId="3" borderId="8" xfId="0" applyFont="1" applyFill="1" applyBorder="1"/>
    <xf numFmtId="0" fontId="0" fillId="3" borderId="8" xfId="0" applyFont="1" applyFill="1" applyBorder="1"/>
    <xf numFmtId="2" fontId="8" fillId="3" borderId="8" xfId="0" applyNumberFormat="1" applyFont="1" applyFill="1" applyBorder="1" applyAlignment="1">
      <alignment horizontal="right"/>
    </xf>
    <xf numFmtId="2" fontId="8" fillId="3" borderId="8" xfId="0" applyNumberFormat="1" applyFont="1" applyFill="1" applyBorder="1"/>
    <xf numFmtId="166" fontId="0" fillId="3" borderId="8" xfId="0" applyNumberFormat="1" applyFont="1" applyFill="1" applyBorder="1"/>
    <xf numFmtId="168" fontId="8" fillId="3" borderId="8" xfId="0" applyNumberFormat="1" applyFont="1" applyFill="1" applyBorder="1"/>
    <xf numFmtId="168" fontId="0" fillId="3" borderId="8" xfId="0" applyNumberFormat="1" applyFont="1" applyFill="1" applyBorder="1"/>
    <xf numFmtId="0" fontId="0" fillId="3" borderId="8" xfId="0" applyFill="1" applyBorder="1"/>
    <xf numFmtId="168" fontId="0" fillId="0" borderId="0" xfId="0" applyNumberFormat="1" applyFont="1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  <xf numFmtId="168" fontId="3" fillId="0" borderId="0" xfId="0" applyNumberFormat="1" applyFont="1"/>
    <xf numFmtId="168" fontId="2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/>
    <xf numFmtId="0" fontId="0" fillId="0" borderId="0" xfId="0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2" fillId="3" borderId="0" xfId="0" applyFont="1" applyFill="1"/>
    <xf numFmtId="0" fontId="0" fillId="0" borderId="0" xfId="0" applyFill="1"/>
    <xf numFmtId="0" fontId="0" fillId="0" borderId="0" xfId="0" applyFill="1" applyBorder="1"/>
    <xf numFmtId="169" fontId="0" fillId="3" borderId="0" xfId="0" applyNumberFormat="1" applyFill="1"/>
    <xf numFmtId="169" fontId="8" fillId="3" borderId="0" xfId="0" applyNumberFormat="1" applyFont="1" applyFill="1" applyBorder="1"/>
    <xf numFmtId="168" fontId="0" fillId="3" borderId="0" xfId="0" applyNumberFormat="1" applyFill="1"/>
    <xf numFmtId="168" fontId="2" fillId="3" borderId="0" xfId="0" applyNumberFormat="1" applyFont="1" applyFill="1"/>
    <xf numFmtId="168" fontId="8" fillId="3" borderId="0" xfId="0" applyNumberFormat="1" applyFont="1" applyFill="1" applyBorder="1"/>
    <xf numFmtId="11" fontId="0" fillId="3" borderId="0" xfId="0" applyNumberFormat="1" applyFill="1"/>
    <xf numFmtId="170" fontId="0" fillId="3" borderId="0" xfId="0" applyNumberFormat="1" applyFill="1"/>
    <xf numFmtId="0" fontId="1" fillId="0" borderId="3" xfId="1" applyFill="1" applyBorder="1"/>
    <xf numFmtId="0" fontId="1" fillId="0" borderId="6" xfId="1" applyFill="1" applyBorder="1"/>
    <xf numFmtId="0" fontId="10" fillId="0" borderId="4" xfId="0" applyFont="1" applyBorder="1"/>
    <xf numFmtId="0" fontId="10" fillId="0" borderId="7" xfId="0" applyFont="1" applyBorder="1"/>
    <xf numFmtId="0" fontId="1" fillId="0" borderId="0" xfId="1" applyFont="1" applyFill="1"/>
    <xf numFmtId="2" fontId="1" fillId="0" borderId="0" xfId="1" applyNumberFormat="1" applyFont="1" applyFill="1" applyAlignment="1">
      <alignment horizontal="right"/>
    </xf>
    <xf numFmtId="166" fontId="1" fillId="0" borderId="0" xfId="1" applyNumberFormat="1" applyFont="1" applyFill="1"/>
    <xf numFmtId="2" fontId="1" fillId="0" borderId="0" xfId="1" applyNumberFormat="1" applyFont="1" applyFill="1"/>
    <xf numFmtId="168" fontId="1" fillId="0" borderId="0" xfId="1" applyNumberFormat="1" applyFont="1" applyFill="1"/>
    <xf numFmtId="166" fontId="0" fillId="0" borderId="0" xfId="0" applyNumberFormat="1" applyFont="1"/>
    <xf numFmtId="16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1" applyFill="1"/>
    <xf numFmtId="0" fontId="0" fillId="7" borderId="0" xfId="0" applyFill="1"/>
    <xf numFmtId="169" fontId="0" fillId="7" borderId="0" xfId="0" applyNumberFormat="1" applyFill="1"/>
    <xf numFmtId="168" fontId="0" fillId="7" borderId="0" xfId="0" applyNumberFormat="1" applyFill="1"/>
    <xf numFmtId="168" fontId="0" fillId="4" borderId="0" xfId="0" applyNumberFormat="1" applyFill="1"/>
    <xf numFmtId="168" fontId="0" fillId="5" borderId="0" xfId="0" applyNumberFormat="1" applyFill="1"/>
    <xf numFmtId="0" fontId="10" fillId="0" borderId="0" xfId="0" applyFont="1"/>
    <xf numFmtId="171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arth.leeds.ac.uk/cyclops/data/ncfs-zooplank.xl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arth.leeds.ac.uk/cyclops/data/ncfs-zooplank.xl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arth.leeds.ac.uk/cyclops/data/ncfs-zooplank.xl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arth.leeds.ac.uk/cyclops/data/ncfs-zooplank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6"/>
  <sheetViews>
    <sheetView topLeftCell="A6" workbookViewId="0">
      <selection activeCell="O8" sqref="O8"/>
    </sheetView>
  </sheetViews>
  <sheetFormatPr baseColWidth="10" defaultColWidth="8.83203125" defaultRowHeight="15" x14ac:dyDescent="0.2"/>
  <cols>
    <col min="1" max="1" width="8.83203125" style="9"/>
    <col min="2" max="2" width="21.6640625" style="9" customWidth="1"/>
    <col min="3" max="13" width="8.83203125" style="9"/>
    <col min="14" max="14" width="9.5" style="9" customWidth="1"/>
    <col min="15" max="16384" width="8.83203125" style="9"/>
  </cols>
  <sheetData>
    <row r="1" spans="2:18" x14ac:dyDescent="0.2">
      <c r="N1" s="82" t="s">
        <v>140</v>
      </c>
      <c r="O1" s="83"/>
    </row>
    <row r="2" spans="2:18" x14ac:dyDescent="0.2">
      <c r="B2" s="9" t="s">
        <v>112</v>
      </c>
      <c r="C2" s="9" t="s">
        <v>101</v>
      </c>
      <c r="D2" s="9" t="s">
        <v>103</v>
      </c>
      <c r="E2" s="9" t="s">
        <v>104</v>
      </c>
      <c r="F2" s="9" t="s">
        <v>105</v>
      </c>
      <c r="G2" s="9" t="s">
        <v>79</v>
      </c>
      <c r="H2" s="9" t="s">
        <v>102</v>
      </c>
      <c r="I2" s="9" t="s">
        <v>106</v>
      </c>
      <c r="J2" s="9" t="s">
        <v>107</v>
      </c>
      <c r="K2" s="9" t="s">
        <v>108</v>
      </c>
      <c r="L2" s="9" t="s">
        <v>109</v>
      </c>
      <c r="M2" s="9" t="s">
        <v>110</v>
      </c>
      <c r="N2" s="9" t="s">
        <v>111</v>
      </c>
      <c r="O2" t="s">
        <v>134</v>
      </c>
      <c r="Q2" s="82" t="s">
        <v>139</v>
      </c>
      <c r="R2" s="83"/>
    </row>
    <row r="3" spans="2:18" x14ac:dyDescent="0.2">
      <c r="B3" s="30" t="s">
        <v>50</v>
      </c>
      <c r="C3" s="9">
        <v>62</v>
      </c>
      <c r="D3" s="9">
        <v>8</v>
      </c>
      <c r="G3" s="9">
        <v>3.5000000000000001E-3</v>
      </c>
      <c r="H3" s="9">
        <v>2.84</v>
      </c>
      <c r="I3" s="29">
        <f>+G3*(D3^H3)</f>
        <v>1.2848239022221808</v>
      </c>
      <c r="J3" s="67"/>
      <c r="M3" s="9">
        <v>0.9</v>
      </c>
      <c r="N3" s="39">
        <v>2.7758149630057236</v>
      </c>
      <c r="O3" s="39">
        <v>1.0094590348945038</v>
      </c>
      <c r="Q3" s="69">
        <f t="shared" ref="Q3:R6" si="0">+LN(10^N3)</f>
        <v>6.3915501547267981</v>
      </c>
      <c r="R3" s="69">
        <f t="shared" si="0"/>
        <v>2.3243653257362409</v>
      </c>
    </row>
    <row r="4" spans="2:18" x14ac:dyDescent="0.2">
      <c r="B4" s="30" t="s">
        <v>48</v>
      </c>
      <c r="C4" s="9">
        <v>17</v>
      </c>
      <c r="E4" s="9">
        <v>2.2000000000000002</v>
      </c>
      <c r="N4" s="39">
        <v>2.2365454210778362</v>
      </c>
      <c r="O4" s="39">
        <v>0.86443647574198246</v>
      </c>
      <c r="Q4" s="69">
        <f t="shared" si="0"/>
        <v>5.1498361463779165</v>
      </c>
      <c r="R4" s="69">
        <f t="shared" si="0"/>
        <v>1.9904385428837981</v>
      </c>
    </row>
    <row r="5" spans="2:18" x14ac:dyDescent="0.2">
      <c r="B5" s="30" t="s">
        <v>100</v>
      </c>
      <c r="C5" s="64">
        <v>12</v>
      </c>
      <c r="D5" s="65">
        <v>7.89</v>
      </c>
      <c r="E5" s="66"/>
      <c r="F5" s="64"/>
      <c r="G5" s="64">
        <v>3.5000000000000001E-3</v>
      </c>
      <c r="H5" s="64">
        <v>3.35</v>
      </c>
      <c r="I5" s="67">
        <f>+G5*(D5^H5)</f>
        <v>3.5422238682968459</v>
      </c>
      <c r="J5" s="67"/>
      <c r="K5" s="64"/>
      <c r="L5" s="64"/>
      <c r="M5" s="67">
        <v>0.63</v>
      </c>
      <c r="N5" s="68">
        <v>3.3356868621613227</v>
      </c>
      <c r="O5" s="68">
        <v>0.91297390380636745</v>
      </c>
      <c r="Q5" s="69">
        <f t="shared" si="0"/>
        <v>7.6807028437087466</v>
      </c>
      <c r="R5" s="69">
        <f t="shared" si="0"/>
        <v>2.1022001011971216</v>
      </c>
    </row>
    <row r="6" spans="2:18" x14ac:dyDescent="0.2">
      <c r="B6" s="30" t="s">
        <v>49</v>
      </c>
      <c r="C6" s="9">
        <v>4</v>
      </c>
      <c r="G6" s="9">
        <v>3.3E-3</v>
      </c>
      <c r="H6" s="9">
        <v>3.51</v>
      </c>
      <c r="N6" s="39">
        <v>3.0553554540890029</v>
      </c>
      <c r="O6" s="39">
        <v>0.78225335236654558</v>
      </c>
      <c r="Q6" s="69">
        <f t="shared" si="0"/>
        <v>7.0352159223833919</v>
      </c>
      <c r="R6" s="69">
        <f t="shared" si="0"/>
        <v>1.8012049081038266</v>
      </c>
    </row>
    <row r="7" spans="2:18" x14ac:dyDescent="0.2">
      <c r="B7" s="31" t="s">
        <v>118</v>
      </c>
      <c r="C7" s="32"/>
      <c r="D7" s="33">
        <v>7.8</v>
      </c>
      <c r="E7" s="34">
        <f>+D7*(1-EXP(-M7*(K7-F7)))</f>
        <v>2.6441925801258823</v>
      </c>
      <c r="F7" s="35">
        <v>-0.06</v>
      </c>
      <c r="G7" s="36">
        <v>3.5000000000000001E-3</v>
      </c>
      <c r="H7" s="36">
        <v>3.1377999999999999</v>
      </c>
      <c r="I7" s="34">
        <f>+G7*(D7)^H7</f>
        <v>2.2043598319570847</v>
      </c>
      <c r="J7" s="34">
        <f>+G7*(E7)^H7</f>
        <v>7.3984250365911081E-2</v>
      </c>
      <c r="K7" s="32">
        <v>0.3</v>
      </c>
      <c r="L7" s="32"/>
      <c r="M7" s="36">
        <v>1.1499999999999999</v>
      </c>
      <c r="N7" s="37">
        <f>+AVERAGE(N3:N6)</f>
        <v>2.8508506750834712</v>
      </c>
      <c r="O7" s="37">
        <f>+AVERAGE(O3:O6)</f>
        <v>0.8922806917023498</v>
      </c>
      <c r="Q7" s="35">
        <f t="shared" ref="Q7:R7" si="1">+AVERAGE(Q3:Q6)</f>
        <v>6.5643262667992133</v>
      </c>
      <c r="R7" s="35">
        <f t="shared" si="1"/>
        <v>2.054552219480247</v>
      </c>
    </row>
    <row r="8" spans="2:18" x14ac:dyDescent="0.2">
      <c r="N8" s="69">
        <f>10^N7</f>
        <v>709.33383341761521</v>
      </c>
      <c r="O8" s="69">
        <f>10^O7</f>
        <v>7.8033429052632099</v>
      </c>
    </row>
    <row r="9" spans="2:18" x14ac:dyDescent="0.2">
      <c r="B9" s="30" t="s">
        <v>113</v>
      </c>
    </row>
    <row r="10" spans="2:18" x14ac:dyDescent="0.2">
      <c r="B10" s="30" t="s">
        <v>141</v>
      </c>
      <c r="C10" s="9" t="s">
        <v>114</v>
      </c>
      <c r="D10" s="9" t="s">
        <v>99</v>
      </c>
      <c r="G10" s="9" t="s">
        <v>99</v>
      </c>
      <c r="H10" s="9" t="s">
        <v>99</v>
      </c>
      <c r="I10" s="9" t="s">
        <v>115</v>
      </c>
      <c r="M10" s="9" t="s">
        <v>116</v>
      </c>
      <c r="N10" s="9" t="s">
        <v>117</v>
      </c>
    </row>
    <row r="11" spans="2:18" x14ac:dyDescent="0.2">
      <c r="B11" s="30" t="s">
        <v>142</v>
      </c>
      <c r="C11" s="9" t="s">
        <v>114</v>
      </c>
      <c r="E11" s="9" t="s">
        <v>99</v>
      </c>
      <c r="G11" s="9" t="s">
        <v>99</v>
      </c>
      <c r="H11" s="9" t="s">
        <v>99</v>
      </c>
      <c r="I11" s="9" t="s">
        <v>115</v>
      </c>
      <c r="N11" s="9" t="s">
        <v>117</v>
      </c>
    </row>
    <row r="12" spans="2:18" x14ac:dyDescent="0.2">
      <c r="B12" s="30" t="s">
        <v>143</v>
      </c>
      <c r="C12" s="9" t="s">
        <v>114</v>
      </c>
      <c r="D12" s="9" t="s">
        <v>99</v>
      </c>
      <c r="G12" s="9" t="s">
        <v>99</v>
      </c>
      <c r="H12" s="9" t="s">
        <v>99</v>
      </c>
      <c r="I12" s="9" t="s">
        <v>115</v>
      </c>
      <c r="M12" t="s">
        <v>116</v>
      </c>
      <c r="N12" s="9" t="s">
        <v>117</v>
      </c>
    </row>
    <row r="13" spans="2:18" x14ac:dyDescent="0.2">
      <c r="B13" s="30" t="s">
        <v>144</v>
      </c>
      <c r="C13" s="9" t="s">
        <v>114</v>
      </c>
      <c r="G13" s="9" t="s">
        <v>99</v>
      </c>
      <c r="H13" s="9" t="s">
        <v>99</v>
      </c>
      <c r="I13" s="9" t="s">
        <v>115</v>
      </c>
      <c r="N13" s="9" t="s">
        <v>117</v>
      </c>
    </row>
    <row r="14" spans="2:18" x14ac:dyDescent="0.2">
      <c r="B14" s="31" t="s">
        <v>118</v>
      </c>
      <c r="C14" s="32"/>
      <c r="D14" s="32" t="s">
        <v>119</v>
      </c>
      <c r="E14" s="38" t="s">
        <v>120</v>
      </c>
      <c r="F14" s="32" t="s">
        <v>119</v>
      </c>
      <c r="G14" s="32" t="s">
        <v>119</v>
      </c>
      <c r="H14" s="32" t="s">
        <v>119</v>
      </c>
      <c r="I14" s="32" t="s">
        <v>119</v>
      </c>
      <c r="J14" s="32" t="s">
        <v>119</v>
      </c>
      <c r="K14" s="32" t="s">
        <v>119</v>
      </c>
      <c r="L14" s="32"/>
      <c r="M14" s="32" t="s">
        <v>119</v>
      </c>
      <c r="N14" s="38" t="s">
        <v>121</v>
      </c>
      <c r="O14" s="32"/>
    </row>
    <row r="16" spans="2:18" x14ac:dyDescent="0.2">
      <c r="N16" s="39"/>
      <c r="O16" s="39"/>
    </row>
  </sheetData>
  <mergeCells count="2">
    <mergeCell ref="N1:O1"/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61"/>
  <sheetViews>
    <sheetView tabSelected="1" zoomScale="90" zoomScaleNormal="90" zoomScalePageLayoutView="75" workbookViewId="0">
      <selection activeCell="Q5" sqref="Q5"/>
    </sheetView>
  </sheetViews>
  <sheetFormatPr baseColWidth="10" defaultColWidth="8.83203125" defaultRowHeight="15" x14ac:dyDescent="0.2"/>
  <cols>
    <col min="2" max="2" width="17.33203125" customWidth="1"/>
    <col min="3" max="3" width="21" customWidth="1"/>
    <col min="4" max="4" width="13.83203125" customWidth="1"/>
    <col min="5" max="5" width="12.5" customWidth="1"/>
    <col min="6" max="6" width="10" customWidth="1"/>
    <col min="7" max="7" width="22.1640625" customWidth="1"/>
    <col min="8" max="8" width="12.6640625" customWidth="1"/>
    <col min="9" max="9" width="14.33203125" customWidth="1"/>
    <col min="10" max="10" width="20.33203125" customWidth="1"/>
    <col min="11" max="11" width="13.5" customWidth="1"/>
    <col min="12" max="13" width="26.5" customWidth="1"/>
    <col min="14" max="14" width="12.5" customWidth="1"/>
    <col min="15" max="15" width="11.33203125" customWidth="1"/>
    <col min="17" max="17" width="12.33203125" bestFit="1" customWidth="1"/>
  </cols>
  <sheetData>
    <row r="1" spans="2:17" x14ac:dyDescent="0.2">
      <c r="C1" t="s">
        <v>66</v>
      </c>
      <c r="D1">
        <v>261</v>
      </c>
      <c r="G1" s="84" t="s">
        <v>127</v>
      </c>
      <c r="H1" s="84"/>
      <c r="I1" s="84"/>
      <c r="J1" s="84"/>
    </row>
    <row r="2" spans="2:17" ht="16" thickBot="1" x14ac:dyDescent="0.25">
      <c r="C2" t="s">
        <v>67</v>
      </c>
      <c r="D2" s="10">
        <f>+SUM(E11:E102)</f>
        <v>6.6896551724137927</v>
      </c>
      <c r="G2" s="73" t="s">
        <v>129</v>
      </c>
      <c r="H2" s="73"/>
      <c r="I2" s="73">
        <f>+AVERAGE(J24:J44)</f>
        <v>1.2227333333333332E-4</v>
      </c>
      <c r="N2" s="2" t="s">
        <v>68</v>
      </c>
      <c r="O2" s="2" t="s">
        <v>69</v>
      </c>
      <c r="P2" s="40"/>
      <c r="Q2" s="40"/>
    </row>
    <row r="3" spans="2:17" x14ac:dyDescent="0.2">
      <c r="B3" t="s">
        <v>97</v>
      </c>
      <c r="C3" t="s">
        <v>70</v>
      </c>
      <c r="D3" s="11">
        <v>3.5000000000000001E-3</v>
      </c>
      <c r="G3" s="71" t="s">
        <v>130</v>
      </c>
      <c r="H3" s="71"/>
      <c r="I3" s="71">
        <f>+AVERAGE(J46:J58)</f>
        <v>1.404375E-3</v>
      </c>
      <c r="M3" s="27" t="s">
        <v>71</v>
      </c>
      <c r="N3" s="60">
        <f>+AVERAGE(N11:N58)</f>
        <v>3.3356868621613227</v>
      </c>
      <c r="O3" s="62">
        <f>+AVERAGE(O11:O58)</f>
        <v>1.0724171878124085</v>
      </c>
      <c r="Q3">
        <f>10^N3</f>
        <v>2166.1416960107108</v>
      </c>
    </row>
    <row r="4" spans="2:17" ht="16" thickBot="1" x14ac:dyDescent="0.25">
      <c r="B4" t="s">
        <v>97</v>
      </c>
      <c r="C4" t="s">
        <v>72</v>
      </c>
      <c r="D4">
        <v>3.35</v>
      </c>
      <c r="M4" s="28" t="s">
        <v>73</v>
      </c>
      <c r="N4" s="61">
        <f>+STDEV(N11:N58)</f>
        <v>0.91297390380636745</v>
      </c>
      <c r="O4" s="63">
        <f>+STDEV(O11:O58)</f>
        <v>1.2576118733160064</v>
      </c>
      <c r="Q4">
        <f>10^N4</f>
        <v>8.1841560912196893</v>
      </c>
    </row>
    <row r="5" spans="2:17" x14ac:dyDescent="0.2">
      <c r="C5" t="s">
        <v>74</v>
      </c>
      <c r="D5" s="12">
        <f>+((19.9+61.6)/2)/10</f>
        <v>4.0750000000000002</v>
      </c>
      <c r="E5" t="s">
        <v>128</v>
      </c>
    </row>
    <row r="6" spans="2:17" ht="17" x14ac:dyDescent="0.2">
      <c r="C6" t="s">
        <v>75</v>
      </c>
      <c r="D6" s="70">
        <f>+D3*(D5^D4)</f>
        <v>0.38725367525978649</v>
      </c>
      <c r="E6" t="s">
        <v>76</v>
      </c>
      <c r="F6" s="3" t="s">
        <v>77</v>
      </c>
      <c r="H6" s="3" t="s">
        <v>78</v>
      </c>
      <c r="L6">
        <f>+MAX(L11:L58)</f>
        <v>4365979.788267903</v>
      </c>
    </row>
    <row r="7" spans="2:17" ht="17" x14ac:dyDescent="0.2">
      <c r="B7" s="14" t="s">
        <v>79</v>
      </c>
      <c r="C7" s="15" t="s">
        <v>80</v>
      </c>
      <c r="D7" s="16"/>
      <c r="E7" s="16"/>
      <c r="F7" s="3" t="s">
        <v>92</v>
      </c>
      <c r="G7" s="16"/>
      <c r="H7" s="26" t="s">
        <v>93</v>
      </c>
      <c r="L7">
        <f>+MIN(L11:L58)</f>
        <v>20.085667359598055</v>
      </c>
    </row>
    <row r="9" spans="2:17" x14ac:dyDescent="0.2">
      <c r="B9" s="4"/>
      <c r="C9" s="4"/>
      <c r="D9" s="4" t="s">
        <v>47</v>
      </c>
      <c r="E9" s="4"/>
      <c r="F9" s="4"/>
      <c r="G9" s="20"/>
      <c r="H9" s="4"/>
      <c r="I9" s="4"/>
      <c r="J9" s="4"/>
      <c r="K9" s="4"/>
      <c r="L9" s="4" t="s">
        <v>81</v>
      </c>
      <c r="M9" s="4" t="s">
        <v>82</v>
      </c>
      <c r="N9" s="4"/>
      <c r="O9" s="4"/>
    </row>
    <row r="10" spans="2:17" x14ac:dyDescent="0.2">
      <c r="B10" s="5" t="s">
        <v>45</v>
      </c>
      <c r="C10" s="5"/>
      <c r="D10" s="6" t="s">
        <v>46</v>
      </c>
      <c r="E10" s="6" t="s">
        <v>83</v>
      </c>
      <c r="F10" s="6" t="s">
        <v>94</v>
      </c>
      <c r="G10" s="6" t="s">
        <v>87</v>
      </c>
      <c r="H10" s="22" t="s">
        <v>88</v>
      </c>
      <c r="I10" s="23" t="s">
        <v>125</v>
      </c>
      <c r="J10" s="49" t="s">
        <v>122</v>
      </c>
      <c r="K10" s="6"/>
      <c r="L10" s="6" t="s">
        <v>84</v>
      </c>
      <c r="M10" s="6" t="s">
        <v>85</v>
      </c>
      <c r="N10" s="6" t="s">
        <v>68</v>
      </c>
      <c r="O10" s="6" t="s">
        <v>69</v>
      </c>
    </row>
    <row r="11" spans="2:17" x14ac:dyDescent="0.2">
      <c r="B11" s="8" t="s">
        <v>0</v>
      </c>
      <c r="C11" s="8"/>
      <c r="D11" s="8">
        <v>12</v>
      </c>
      <c r="F11" s="7"/>
      <c r="G11" s="7"/>
      <c r="H11" s="7"/>
      <c r="I11" s="7"/>
      <c r="J11" s="50"/>
      <c r="K11" s="7"/>
      <c r="L11" s="7"/>
      <c r="M11" s="7"/>
      <c r="N11" s="7"/>
      <c r="O11" s="7"/>
    </row>
    <row r="12" spans="2:17" x14ac:dyDescent="0.2">
      <c r="B12" s="1" t="s">
        <v>1</v>
      </c>
      <c r="C12" t="s">
        <v>2</v>
      </c>
      <c r="D12">
        <v>12</v>
      </c>
      <c r="E12">
        <f>+D12/$D$1</f>
        <v>4.5977011494252873E-2</v>
      </c>
      <c r="F12">
        <f>+(E12/$D$2)</f>
        <v>6.8728522336769767E-3</v>
      </c>
      <c r="G12" s="18">
        <v>88698</v>
      </c>
      <c r="H12" s="3" t="s">
        <v>89</v>
      </c>
      <c r="I12" s="3"/>
      <c r="J12" s="59">
        <f>+G12*10^-12</f>
        <v>8.8698000000000005E-8</v>
      </c>
      <c r="L12">
        <f>+$D$6/J12</f>
        <v>4365979.788267903</v>
      </c>
      <c r="M12">
        <f>+($D$6/J12)*F12</f>
        <v>30006.733939985592</v>
      </c>
      <c r="N12">
        <f>+LOG(L12)</f>
        <v>6.6400817208683023</v>
      </c>
      <c r="O12">
        <f>+LOG(M12)</f>
        <v>4.4772187275463757</v>
      </c>
      <c r="Q12">
        <f>+J12*E12</f>
        <v>4.0780689655172414E-9</v>
      </c>
    </row>
    <row r="13" spans="2:17" x14ac:dyDescent="0.2">
      <c r="B13" s="8" t="s">
        <v>3</v>
      </c>
      <c r="C13" s="8"/>
      <c r="D13" s="8">
        <v>1</v>
      </c>
      <c r="F13" s="7"/>
      <c r="G13" s="7"/>
      <c r="H13" s="7"/>
      <c r="I13" s="7"/>
      <c r="J13" s="50"/>
      <c r="K13" s="7"/>
      <c r="L13" s="7"/>
      <c r="M13" s="7"/>
      <c r="N13" s="7"/>
      <c r="O13" s="7"/>
    </row>
    <row r="14" spans="2:17" x14ac:dyDescent="0.2">
      <c r="B14" s="1" t="s">
        <v>4</v>
      </c>
      <c r="C14" t="s">
        <v>5</v>
      </c>
      <c r="D14">
        <v>1</v>
      </c>
      <c r="E14">
        <f>+D14/$D$1</f>
        <v>3.8314176245210726E-3</v>
      </c>
      <c r="F14">
        <f>+(E14/$D$2)</f>
        <v>5.7273768613974802E-4</v>
      </c>
      <c r="G14">
        <v>5.25</v>
      </c>
      <c r="H14" t="s">
        <v>86</v>
      </c>
      <c r="I14">
        <v>6.0149999999999997</v>
      </c>
      <c r="J14" s="48">
        <f>+I14*10^-3</f>
        <v>6.0149999999999995E-3</v>
      </c>
      <c r="L14">
        <f>+$D$6/J14</f>
        <v>64.381325895226354</v>
      </c>
      <c r="M14">
        <f>+($D$6/J14)*F14</f>
        <v>3.6873611623840986E-2</v>
      </c>
      <c r="N14">
        <f>+LOG(L14)</f>
        <v>1.8087599164789969</v>
      </c>
      <c r="O14">
        <f>+LOG(M14)</f>
        <v>-1.4332843228905539</v>
      </c>
      <c r="Q14">
        <f>+J14*E14</f>
        <v>2.304597701149425E-5</v>
      </c>
    </row>
    <row r="15" spans="2:17" x14ac:dyDescent="0.2">
      <c r="B15" s="8" t="s">
        <v>6</v>
      </c>
      <c r="C15" s="8"/>
      <c r="D15" s="8">
        <v>15</v>
      </c>
      <c r="G15" s="7"/>
      <c r="H15" s="7"/>
      <c r="I15" s="7"/>
      <c r="J15" s="50"/>
      <c r="K15" s="7"/>
      <c r="L15" s="7"/>
      <c r="M15" s="7"/>
      <c r="N15" s="7"/>
      <c r="O15" s="7"/>
    </row>
    <row r="16" spans="2:17" x14ac:dyDescent="0.2">
      <c r="B16" s="1" t="s">
        <v>7</v>
      </c>
      <c r="C16" t="s">
        <v>8</v>
      </c>
      <c r="D16">
        <v>15</v>
      </c>
      <c r="E16">
        <f>+D16/$D$1</f>
        <v>5.7471264367816091E-2</v>
      </c>
      <c r="F16">
        <f>+(E16/$D$2)</f>
        <v>8.5910652920962206E-3</v>
      </c>
      <c r="J16" s="71">
        <v>1.404375E-3</v>
      </c>
      <c r="L16">
        <f>+$D$6/J16</f>
        <v>275.74805536967438</v>
      </c>
      <c r="M16">
        <f>+($D$6/J16)*F16</f>
        <v>2.3689695478494364</v>
      </c>
      <c r="N16">
        <f>+LOG(L16)</f>
        <v>2.4405124583916562</v>
      </c>
      <c r="O16">
        <f>+LOG(M16)</f>
        <v>0.37455947807778667</v>
      </c>
      <c r="Q16">
        <f>+J16*E16</f>
        <v>8.0711206896551724E-5</v>
      </c>
    </row>
    <row r="17" spans="2:17" x14ac:dyDescent="0.2">
      <c r="B17" s="8" t="s">
        <v>9</v>
      </c>
      <c r="C17" s="8"/>
      <c r="D17" s="8">
        <v>1</v>
      </c>
      <c r="G17" s="7"/>
      <c r="H17" s="7"/>
      <c r="I17" s="7"/>
      <c r="J17" s="50"/>
      <c r="K17" s="7"/>
      <c r="L17" s="7"/>
      <c r="M17" s="7"/>
      <c r="N17" s="7"/>
      <c r="O17" s="7"/>
    </row>
    <row r="18" spans="2:17" x14ac:dyDescent="0.2">
      <c r="B18" s="1" t="s">
        <v>1</v>
      </c>
      <c r="C18" t="s">
        <v>10</v>
      </c>
      <c r="D18">
        <v>1</v>
      </c>
      <c r="E18">
        <f>+D18/$D$1</f>
        <v>3.8314176245210726E-3</v>
      </c>
      <c r="F18">
        <f>+(E18/$D$2)</f>
        <v>5.7273768613974802E-4</v>
      </c>
      <c r="J18" s="71">
        <v>1.404375E-3</v>
      </c>
      <c r="L18">
        <f>+$D$6/J18</f>
        <v>275.74805536967438</v>
      </c>
      <c r="M18">
        <f>+($D$6/J18)*F18</f>
        <v>0.15793130318996243</v>
      </c>
      <c r="N18">
        <f>+LOG(L18)</f>
        <v>2.4405124583916562</v>
      </c>
      <c r="O18">
        <f>+LOG(M18)</f>
        <v>-0.80153178097789457</v>
      </c>
      <c r="Q18">
        <f>+J18*E18</f>
        <v>5.3807471264367811E-6</v>
      </c>
    </row>
    <row r="19" spans="2:17" x14ac:dyDescent="0.2">
      <c r="B19" s="1"/>
      <c r="J19" s="48"/>
    </row>
    <row r="20" spans="2:17" x14ac:dyDescent="0.2">
      <c r="B20" s="8" t="s">
        <v>11</v>
      </c>
      <c r="C20" s="8"/>
      <c r="D20" s="8">
        <v>2</v>
      </c>
      <c r="G20" s="7"/>
      <c r="H20" s="7"/>
      <c r="I20" s="7"/>
      <c r="J20" s="50"/>
      <c r="K20" s="7"/>
      <c r="L20" s="7"/>
      <c r="M20" s="7"/>
      <c r="N20" s="7"/>
      <c r="O20" s="7"/>
    </row>
    <row r="21" spans="2:17" x14ac:dyDescent="0.2">
      <c r="B21" s="1" t="s">
        <v>12</v>
      </c>
      <c r="C21" t="s">
        <v>13</v>
      </c>
      <c r="D21">
        <v>2</v>
      </c>
      <c r="E21">
        <f>+D21/$D$1</f>
        <v>7.6628352490421452E-3</v>
      </c>
      <c r="F21">
        <f>+(E21/$D$2)</f>
        <v>1.145475372279496E-3</v>
      </c>
      <c r="G21">
        <v>21.41</v>
      </c>
      <c r="H21" t="s">
        <v>86</v>
      </c>
      <c r="I21">
        <v>19.280100000000001</v>
      </c>
      <c r="J21" s="48">
        <f>+I21*10^-3</f>
        <v>1.9280100000000001E-2</v>
      </c>
      <c r="L21">
        <f>+$D$6/J21</f>
        <v>20.085667359598055</v>
      </c>
      <c r="M21">
        <f>+($D$6/J21)*F21</f>
        <v>2.3007637296217704E-2</v>
      </c>
      <c r="N21">
        <f>+LOG(L21)</f>
        <v>1.30288626602915</v>
      </c>
      <c r="O21">
        <f>+LOG(M21)</f>
        <v>-1.6381279776764197</v>
      </c>
      <c r="Q21">
        <f>+J21*E21</f>
        <v>1.4774022988505749E-4</v>
      </c>
    </row>
    <row r="22" spans="2:17" x14ac:dyDescent="0.2">
      <c r="B22" s="8" t="s">
        <v>14</v>
      </c>
      <c r="C22" s="8"/>
      <c r="D22" s="8">
        <f>+D23+D45+D50+D53+D56</f>
        <v>1478</v>
      </c>
      <c r="G22" s="7"/>
      <c r="H22" s="7"/>
      <c r="I22" s="7"/>
      <c r="J22" s="50"/>
      <c r="K22" s="7"/>
      <c r="L22" s="7"/>
      <c r="M22" s="7"/>
      <c r="N22" s="7"/>
      <c r="O22" s="7"/>
    </row>
    <row r="23" spans="2:17" x14ac:dyDescent="0.2">
      <c r="B23" s="21" t="s">
        <v>15</v>
      </c>
      <c r="C23" s="8"/>
      <c r="D23" s="8">
        <v>1117</v>
      </c>
      <c r="J23" s="48"/>
    </row>
    <row r="24" spans="2:17" x14ac:dyDescent="0.2">
      <c r="B24" s="3" t="s">
        <v>16</v>
      </c>
      <c r="C24" t="s">
        <v>17</v>
      </c>
      <c r="D24">
        <v>23</v>
      </c>
      <c r="E24">
        <f>+D24/$D$1</f>
        <v>8.8122605363984668E-2</v>
      </c>
      <c r="F24">
        <f t="shared" ref="F24:F44" si="0">+(E24/$D$2)</f>
        <v>1.3172966781214204E-2</v>
      </c>
      <c r="G24" s="19">
        <v>1.5</v>
      </c>
      <c r="H24" t="s">
        <v>86</v>
      </c>
      <c r="J24" s="72">
        <v>1.2227333333333335E-4</v>
      </c>
      <c r="L24">
        <f>+$D$6/J24</f>
        <v>3167.1147314196592</v>
      </c>
      <c r="M24">
        <f>+($D$6/J24)*F24</f>
        <v>41.720297149285315</v>
      </c>
      <c r="N24">
        <f>+LOG(L24)</f>
        <v>3.5006637963431566</v>
      </c>
      <c r="O24">
        <f>+LOG(M24)</f>
        <v>1.6203473929911985</v>
      </c>
      <c r="Q24">
        <f t="shared" ref="Q24:Q44" si="1">+J24*E24</f>
        <v>1.0775044699872287E-5</v>
      </c>
    </row>
    <row r="25" spans="2:17" x14ac:dyDescent="0.2">
      <c r="B25" s="3" t="s">
        <v>18</v>
      </c>
      <c r="C25" t="s">
        <v>19</v>
      </c>
      <c r="D25">
        <v>5</v>
      </c>
      <c r="E25">
        <f t="shared" ref="E25:E51" si="2">+D25/$D$1</f>
        <v>1.9157088122605363E-2</v>
      </c>
      <c r="F25">
        <f t="shared" si="0"/>
        <v>2.8636884306987398E-3</v>
      </c>
      <c r="J25" s="72">
        <v>1.2227333333333335E-4</v>
      </c>
      <c r="L25">
        <f t="shared" ref="L25:L29" si="3">+$D$6/J25</f>
        <v>3167.1147314196592</v>
      </c>
      <c r="M25">
        <f t="shared" ref="M25:M29" si="4">+($D$6/J25)*F25</f>
        <v>9.069629815062024</v>
      </c>
      <c r="N25">
        <f t="shared" ref="N25:N29" si="5">+LOG(L25)</f>
        <v>3.5006637963431566</v>
      </c>
      <c r="O25">
        <f t="shared" ref="O25:O29" si="6">+LOG(M25)</f>
        <v>0.95758956130962425</v>
      </c>
      <c r="Q25">
        <f t="shared" si="1"/>
        <v>2.3424010217113667E-6</v>
      </c>
    </row>
    <row r="26" spans="2:17" x14ac:dyDescent="0.2">
      <c r="B26" s="3" t="s">
        <v>20</v>
      </c>
      <c r="C26" t="s">
        <v>13</v>
      </c>
      <c r="D26">
        <v>1</v>
      </c>
      <c r="E26">
        <f t="shared" si="2"/>
        <v>3.8314176245210726E-3</v>
      </c>
      <c r="F26">
        <f t="shared" si="0"/>
        <v>5.7273768613974802E-4</v>
      </c>
      <c r="G26" s="19">
        <v>2</v>
      </c>
      <c r="H26" t="s">
        <v>86</v>
      </c>
      <c r="J26" s="72">
        <v>1.2227333333333335E-4</v>
      </c>
      <c r="L26">
        <f t="shared" si="3"/>
        <v>3167.1147314196592</v>
      </c>
      <c r="M26">
        <f t="shared" si="4"/>
        <v>1.8139259630124052</v>
      </c>
      <c r="N26">
        <f t="shared" si="5"/>
        <v>3.5006637963431566</v>
      </c>
      <c r="O26">
        <f t="shared" si="6"/>
        <v>0.25861955697360556</v>
      </c>
      <c r="Q26">
        <f t="shared" si="1"/>
        <v>4.6848020434227333E-7</v>
      </c>
    </row>
    <row r="27" spans="2:17" x14ac:dyDescent="0.2">
      <c r="B27" s="3" t="s">
        <v>21</v>
      </c>
      <c r="C27" t="s">
        <v>13</v>
      </c>
      <c r="D27">
        <v>4</v>
      </c>
      <c r="E27">
        <f t="shared" si="2"/>
        <v>1.532567049808429E-2</v>
      </c>
      <c r="F27">
        <f t="shared" si="0"/>
        <v>2.2909507445589921E-3</v>
      </c>
      <c r="J27" s="72">
        <v>1.2227333333333335E-4</v>
      </c>
      <c r="L27">
        <f t="shared" si="3"/>
        <v>3167.1147314196592</v>
      </c>
      <c r="M27">
        <f t="shared" si="4"/>
        <v>7.2557038520496207</v>
      </c>
      <c r="N27">
        <f t="shared" si="5"/>
        <v>3.5006637963431566</v>
      </c>
      <c r="O27">
        <f t="shared" si="6"/>
        <v>0.8606795483015679</v>
      </c>
      <c r="Q27">
        <f t="shared" si="1"/>
        <v>1.8739208173690933E-6</v>
      </c>
    </row>
    <row r="28" spans="2:17" x14ac:dyDescent="0.2">
      <c r="B28" s="3" t="s">
        <v>22</v>
      </c>
      <c r="C28" t="s">
        <v>13</v>
      </c>
      <c r="D28">
        <v>107</v>
      </c>
      <c r="E28">
        <f t="shared" si="2"/>
        <v>0.40996168582375481</v>
      </c>
      <c r="F28">
        <f t="shared" si="0"/>
        <v>6.128293241695304E-2</v>
      </c>
      <c r="G28">
        <v>4</v>
      </c>
      <c r="H28" t="s">
        <v>86</v>
      </c>
      <c r="J28" s="72">
        <v>1.2227333333333335E-4</v>
      </c>
      <c r="L28">
        <f t="shared" si="3"/>
        <v>3167.1147314196592</v>
      </c>
      <c r="M28">
        <f t="shared" si="4"/>
        <v>194.09007804232735</v>
      </c>
      <c r="N28">
        <f t="shared" si="5"/>
        <v>3.5006637963431566</v>
      </c>
      <c r="O28">
        <f t="shared" si="6"/>
        <v>2.2880033346588151</v>
      </c>
      <c r="Q28">
        <f t="shared" si="1"/>
        <v>5.0127381864623252E-5</v>
      </c>
    </row>
    <row r="29" spans="2:17" x14ac:dyDescent="0.2">
      <c r="B29" s="3" t="s">
        <v>23</v>
      </c>
      <c r="C29" t="s">
        <v>24</v>
      </c>
      <c r="D29">
        <v>5</v>
      </c>
      <c r="E29">
        <f t="shared" si="2"/>
        <v>1.9157088122605363E-2</v>
      </c>
      <c r="F29">
        <f t="shared" si="0"/>
        <v>2.8636884306987398E-3</v>
      </c>
      <c r="G29" s="19">
        <v>0.8</v>
      </c>
      <c r="H29" t="s">
        <v>86</v>
      </c>
      <c r="J29" s="72">
        <v>1.2227333333333335E-4</v>
      </c>
      <c r="L29">
        <f t="shared" si="3"/>
        <v>3167.1147314196592</v>
      </c>
      <c r="M29">
        <f t="shared" si="4"/>
        <v>9.069629815062024</v>
      </c>
      <c r="N29">
        <f t="shared" si="5"/>
        <v>3.5006637963431566</v>
      </c>
      <c r="O29">
        <f t="shared" si="6"/>
        <v>0.95758956130962425</v>
      </c>
      <c r="Q29">
        <f t="shared" si="1"/>
        <v>2.3424010217113667E-6</v>
      </c>
    </row>
    <row r="30" spans="2:17" x14ac:dyDescent="0.2">
      <c r="B30" s="3" t="s">
        <v>25</v>
      </c>
      <c r="C30" t="s">
        <v>26</v>
      </c>
      <c r="D30">
        <v>2</v>
      </c>
      <c r="E30">
        <f t="shared" si="2"/>
        <v>7.6628352490421452E-3</v>
      </c>
      <c r="F30">
        <f t="shared" si="0"/>
        <v>1.145475372279496E-3</v>
      </c>
      <c r="G30">
        <v>0.89900000000000002</v>
      </c>
      <c r="H30" t="s">
        <v>86</v>
      </c>
      <c r="I30">
        <v>5.9339999999999997E-2</v>
      </c>
      <c r="J30" s="48">
        <f>+I30*10^-3</f>
        <v>5.9339999999999998E-5</v>
      </c>
      <c r="L30">
        <f>+$D$6/J30</f>
        <v>6526.0140758305779</v>
      </c>
      <c r="M30">
        <f>+($D$6/J30)*F30</f>
        <v>7.4753884030132625</v>
      </c>
      <c r="N30">
        <f>+LOG(L30)</f>
        <v>3.8146480061740373</v>
      </c>
      <c r="O30">
        <f>+LOG(M30)</f>
        <v>0.8736337624684678</v>
      </c>
      <c r="Q30">
        <f t="shared" si="1"/>
        <v>4.5471264367816087E-7</v>
      </c>
    </row>
    <row r="31" spans="2:17" x14ac:dyDescent="0.2">
      <c r="B31" s="3" t="s">
        <v>27</v>
      </c>
      <c r="C31" t="s">
        <v>28</v>
      </c>
      <c r="D31">
        <v>40</v>
      </c>
      <c r="E31">
        <f t="shared" si="2"/>
        <v>0.1532567049808429</v>
      </c>
      <c r="F31">
        <f t="shared" si="0"/>
        <v>2.2909507445589918E-2</v>
      </c>
      <c r="G31">
        <v>0.9</v>
      </c>
      <c r="H31" t="s">
        <v>86</v>
      </c>
      <c r="J31" s="72">
        <v>1.2227333333333335E-4</v>
      </c>
      <c r="L31">
        <f t="shared" ref="L31:L36" si="7">+$D$6/J31</f>
        <v>3167.1147314196592</v>
      </c>
      <c r="M31">
        <f t="shared" ref="M31:M36" si="8">+($D$6/J31)*F31</f>
        <v>72.557038520496192</v>
      </c>
      <c r="N31">
        <f t="shared" ref="N31:N36" si="9">+LOG(L31)</f>
        <v>3.5006637963431566</v>
      </c>
      <c r="O31">
        <f t="shared" ref="O31:O36" si="10">+LOG(M31)</f>
        <v>1.8606795483015679</v>
      </c>
      <c r="Q31">
        <f t="shared" si="1"/>
        <v>1.8739208173690933E-5</v>
      </c>
    </row>
    <row r="32" spans="2:17" x14ac:dyDescent="0.2">
      <c r="B32" s="3" t="s">
        <v>29</v>
      </c>
      <c r="C32" t="s">
        <v>30</v>
      </c>
      <c r="D32">
        <v>1</v>
      </c>
      <c r="E32">
        <f t="shared" si="2"/>
        <v>3.8314176245210726E-3</v>
      </c>
      <c r="F32">
        <f t="shared" si="0"/>
        <v>5.7273768613974802E-4</v>
      </c>
      <c r="G32">
        <v>2.5</v>
      </c>
      <c r="H32" t="s">
        <v>86</v>
      </c>
      <c r="J32" s="72">
        <v>1.2227333333333335E-4</v>
      </c>
      <c r="L32">
        <f t="shared" si="7"/>
        <v>3167.1147314196592</v>
      </c>
      <c r="M32">
        <f t="shared" si="8"/>
        <v>1.8139259630124052</v>
      </c>
      <c r="N32">
        <f t="shared" si="9"/>
        <v>3.5006637963431566</v>
      </c>
      <c r="O32">
        <f t="shared" si="10"/>
        <v>0.25861955697360556</v>
      </c>
      <c r="Q32">
        <f t="shared" si="1"/>
        <v>4.6848020434227333E-7</v>
      </c>
    </row>
    <row r="33" spans="2:17" x14ac:dyDescent="0.2">
      <c r="B33" s="3" t="s">
        <v>31</v>
      </c>
      <c r="C33" t="s">
        <v>28</v>
      </c>
      <c r="D33">
        <v>1</v>
      </c>
      <c r="E33">
        <f t="shared" si="2"/>
        <v>3.8314176245210726E-3</v>
      </c>
      <c r="F33">
        <f t="shared" si="0"/>
        <v>5.7273768613974802E-4</v>
      </c>
      <c r="G33">
        <v>1.8</v>
      </c>
      <c r="H33" t="s">
        <v>86</v>
      </c>
      <c r="J33" s="72">
        <v>1.2227333333333335E-4</v>
      </c>
      <c r="L33">
        <f t="shared" si="7"/>
        <v>3167.1147314196592</v>
      </c>
      <c r="M33">
        <f t="shared" si="8"/>
        <v>1.8139259630124052</v>
      </c>
      <c r="N33">
        <f t="shared" si="9"/>
        <v>3.5006637963431566</v>
      </c>
      <c r="O33">
        <f t="shared" si="10"/>
        <v>0.25861955697360556</v>
      </c>
      <c r="Q33">
        <f t="shared" si="1"/>
        <v>4.6848020434227333E-7</v>
      </c>
    </row>
    <row r="34" spans="2:17" x14ac:dyDescent="0.2">
      <c r="B34" s="3" t="s">
        <v>32</v>
      </c>
      <c r="C34" t="s">
        <v>33</v>
      </c>
      <c r="D34">
        <v>2</v>
      </c>
      <c r="E34">
        <f t="shared" si="2"/>
        <v>7.6628352490421452E-3</v>
      </c>
      <c r="F34">
        <f t="shared" si="0"/>
        <v>1.145475372279496E-3</v>
      </c>
      <c r="G34">
        <v>1.2</v>
      </c>
      <c r="H34" t="s">
        <v>86</v>
      </c>
      <c r="J34" s="72">
        <v>1.2227333333333335E-4</v>
      </c>
      <c r="L34">
        <f t="shared" si="7"/>
        <v>3167.1147314196592</v>
      </c>
      <c r="M34">
        <f t="shared" si="8"/>
        <v>3.6278519260248103</v>
      </c>
      <c r="N34">
        <f t="shared" si="9"/>
        <v>3.5006637963431566</v>
      </c>
      <c r="O34">
        <f t="shared" si="10"/>
        <v>0.55964955263758676</v>
      </c>
      <c r="Q34">
        <f t="shared" si="1"/>
        <v>9.3696040868454666E-7</v>
      </c>
    </row>
    <row r="35" spans="2:17" x14ac:dyDescent="0.2">
      <c r="B35" s="3" t="s">
        <v>32</v>
      </c>
      <c r="C35" t="s">
        <v>34</v>
      </c>
      <c r="D35">
        <v>29</v>
      </c>
      <c r="E35">
        <f t="shared" si="2"/>
        <v>0.1111111111111111</v>
      </c>
      <c r="F35">
        <f t="shared" si="0"/>
        <v>1.6609392898052692E-2</v>
      </c>
      <c r="G35">
        <v>1.2</v>
      </c>
      <c r="H35" t="s">
        <v>86</v>
      </c>
      <c r="J35" s="72">
        <v>1.2227333333333335E-4</v>
      </c>
      <c r="L35">
        <f t="shared" si="7"/>
        <v>3167.1147314196592</v>
      </c>
      <c r="M35">
        <f t="shared" si="8"/>
        <v>52.603852927359746</v>
      </c>
      <c r="N35">
        <f t="shared" si="9"/>
        <v>3.5006637963431566</v>
      </c>
      <c r="O35">
        <f t="shared" si="10"/>
        <v>1.7210175548725617</v>
      </c>
      <c r="Q35">
        <f t="shared" si="1"/>
        <v>1.3585925925925926E-5</v>
      </c>
    </row>
    <row r="36" spans="2:17" x14ac:dyDescent="0.2">
      <c r="B36" s="3" t="s">
        <v>32</v>
      </c>
      <c r="C36" t="s">
        <v>13</v>
      </c>
      <c r="D36">
        <v>2</v>
      </c>
      <c r="E36">
        <f t="shared" si="2"/>
        <v>7.6628352490421452E-3</v>
      </c>
      <c r="F36">
        <f t="shared" si="0"/>
        <v>1.145475372279496E-3</v>
      </c>
      <c r="G36">
        <v>1.2</v>
      </c>
      <c r="H36" t="s">
        <v>86</v>
      </c>
      <c r="J36" s="72">
        <v>1.2227333333333335E-4</v>
      </c>
      <c r="L36">
        <f t="shared" si="7"/>
        <v>3167.1147314196592</v>
      </c>
      <c r="M36">
        <f t="shared" si="8"/>
        <v>3.6278519260248103</v>
      </c>
      <c r="N36">
        <f t="shared" si="9"/>
        <v>3.5006637963431566</v>
      </c>
      <c r="O36">
        <f t="shared" si="10"/>
        <v>0.55964955263758676</v>
      </c>
      <c r="Q36">
        <f t="shared" si="1"/>
        <v>9.3696040868454666E-7</v>
      </c>
    </row>
    <row r="37" spans="2:17" x14ac:dyDescent="0.2">
      <c r="B37" s="3" t="s">
        <v>35</v>
      </c>
      <c r="C37" t="s">
        <v>36</v>
      </c>
      <c r="D37">
        <v>333</v>
      </c>
      <c r="E37">
        <f t="shared" si="2"/>
        <v>1.2758620689655173</v>
      </c>
      <c r="F37">
        <f t="shared" si="0"/>
        <v>0.1907216494845361</v>
      </c>
      <c r="G37">
        <v>1.5</v>
      </c>
      <c r="H37" t="s">
        <v>86</v>
      </c>
      <c r="I37" s="17">
        <v>0.26</v>
      </c>
      <c r="J37" s="48">
        <f>+I37*10^-3</f>
        <v>2.6000000000000003E-4</v>
      </c>
      <c r="L37">
        <f>+$D$6/J37</f>
        <v>1489.4372125376401</v>
      </c>
      <c r="M37">
        <f>+($D$6/J37)*F37</f>
        <v>284.06792197882828</v>
      </c>
      <c r="N37">
        <f t="shared" ref="N37:O40" si="11">+LOG(L37)</f>
        <v>3.1730222001840427</v>
      </c>
      <c r="O37">
        <f t="shared" si="11"/>
        <v>2.4534221943208117</v>
      </c>
      <c r="Q37">
        <f t="shared" si="1"/>
        <v>3.3172413793103452E-4</v>
      </c>
    </row>
    <row r="38" spans="2:17" x14ac:dyDescent="0.2">
      <c r="B38" s="3" t="s">
        <v>37</v>
      </c>
      <c r="C38" t="s">
        <v>38</v>
      </c>
      <c r="D38">
        <v>4</v>
      </c>
      <c r="E38">
        <f t="shared" si="2"/>
        <v>1.532567049808429E-2</v>
      </c>
      <c r="F38">
        <f t="shared" si="0"/>
        <v>2.2909507445589921E-3</v>
      </c>
      <c r="G38">
        <v>1.03</v>
      </c>
      <c r="H38" t="s">
        <v>86</v>
      </c>
      <c r="I38" s="17">
        <v>0.13750000000000001</v>
      </c>
      <c r="J38" s="48">
        <f>+I38*10^-3</f>
        <v>1.3750000000000001E-4</v>
      </c>
      <c r="L38">
        <f t="shared" ref="L38:L40" si="12">+$D$6/J38</f>
        <v>2816.39036552572</v>
      </c>
      <c r="M38">
        <f t="shared" ref="M38:M40" si="13">+($D$6/J38)*F38</f>
        <v>6.4522116048699196</v>
      </c>
      <c r="N38">
        <f t="shared" si="11"/>
        <v>3.4496928499885793</v>
      </c>
      <c r="O38">
        <f t="shared" si="11"/>
        <v>0.80970860194699057</v>
      </c>
      <c r="Q38">
        <f t="shared" si="1"/>
        <v>2.10727969348659E-6</v>
      </c>
    </row>
    <row r="39" spans="2:17" x14ac:dyDescent="0.2">
      <c r="B39" s="3" t="s">
        <v>39</v>
      </c>
      <c r="C39" t="s">
        <v>13</v>
      </c>
      <c r="D39">
        <v>1</v>
      </c>
      <c r="E39">
        <f t="shared" si="2"/>
        <v>3.8314176245210726E-3</v>
      </c>
      <c r="F39">
        <f t="shared" si="0"/>
        <v>5.7273768613974802E-4</v>
      </c>
      <c r="J39" s="72">
        <v>1.2227333333333335E-4</v>
      </c>
      <c r="L39">
        <f t="shared" si="12"/>
        <v>3167.1147314196592</v>
      </c>
      <c r="M39">
        <f t="shared" si="13"/>
        <v>1.8139259630124052</v>
      </c>
      <c r="N39">
        <f t="shared" si="11"/>
        <v>3.5006637963431566</v>
      </c>
      <c r="O39">
        <f t="shared" si="11"/>
        <v>0.25861955697360556</v>
      </c>
      <c r="Q39">
        <f t="shared" si="1"/>
        <v>4.6848020434227333E-7</v>
      </c>
    </row>
    <row r="40" spans="2:17" x14ac:dyDescent="0.2">
      <c r="B40" s="3" t="s">
        <v>40</v>
      </c>
      <c r="C40" t="s">
        <v>13</v>
      </c>
      <c r="D40">
        <v>2</v>
      </c>
      <c r="E40">
        <f t="shared" si="2"/>
        <v>7.6628352490421452E-3</v>
      </c>
      <c r="F40">
        <f t="shared" si="0"/>
        <v>1.145475372279496E-3</v>
      </c>
      <c r="G40">
        <v>2.2999999999999998</v>
      </c>
      <c r="H40" t="s">
        <v>86</v>
      </c>
      <c r="J40" s="72">
        <v>1.2227333333333335E-4</v>
      </c>
      <c r="L40">
        <f t="shared" si="12"/>
        <v>3167.1147314196592</v>
      </c>
      <c r="M40">
        <f t="shared" si="13"/>
        <v>3.6278519260248103</v>
      </c>
      <c r="N40">
        <f t="shared" si="11"/>
        <v>3.5006637963431566</v>
      </c>
      <c r="O40">
        <f t="shared" si="11"/>
        <v>0.55964955263758676</v>
      </c>
      <c r="Q40">
        <f t="shared" si="1"/>
        <v>9.3696040868454666E-7</v>
      </c>
    </row>
    <row r="41" spans="2:17" x14ac:dyDescent="0.2">
      <c r="B41" s="3" t="s">
        <v>41</v>
      </c>
      <c r="C41" t="s">
        <v>13</v>
      </c>
      <c r="D41">
        <v>30</v>
      </c>
      <c r="E41">
        <f t="shared" si="2"/>
        <v>0.11494252873563218</v>
      </c>
      <c r="F41">
        <f t="shared" si="0"/>
        <v>1.7182130584192441E-2</v>
      </c>
      <c r="G41">
        <v>1</v>
      </c>
      <c r="H41" t="s">
        <v>86</v>
      </c>
      <c r="I41" s="17">
        <v>0.1308</v>
      </c>
      <c r="J41" s="48">
        <f>+I41*10^-3</f>
        <v>1.3080000000000001E-4</v>
      </c>
      <c r="L41">
        <f>+$D$6/J41</f>
        <v>2960.6550096313949</v>
      </c>
      <c r="M41">
        <f>+($D$6/J41)*F41</f>
        <v>50.870360990230161</v>
      </c>
      <c r="N41">
        <f t="shared" ref="N41:O44" si="14">+LOG(L41)</f>
        <v>3.471387804166612</v>
      </c>
      <c r="O41">
        <f t="shared" si="14"/>
        <v>1.7064648195167236</v>
      </c>
      <c r="Q41">
        <f t="shared" si="1"/>
        <v>1.5034482758620691E-5</v>
      </c>
    </row>
    <row r="42" spans="2:17" x14ac:dyDescent="0.2">
      <c r="B42" s="3" t="s">
        <v>42</v>
      </c>
      <c r="D42">
        <v>515</v>
      </c>
      <c r="E42">
        <f t="shared" si="2"/>
        <v>1.9731800766283525</v>
      </c>
      <c r="F42">
        <f t="shared" si="0"/>
        <v>0.29495990836197022</v>
      </c>
      <c r="G42">
        <v>1.59</v>
      </c>
      <c r="I42" s="17">
        <v>0.14000000000000001</v>
      </c>
      <c r="J42" s="48">
        <f>+I42*10^-3</f>
        <v>1.4000000000000001E-4</v>
      </c>
      <c r="L42">
        <f>+$D$6/J42</f>
        <v>2766.0976804270463</v>
      </c>
      <c r="M42">
        <f>+($D$6/J42)*F42</f>
        <v>815.88791833901996</v>
      </c>
      <c r="N42">
        <f t="shared" si="14"/>
        <v>3.4418675124766223</v>
      </c>
      <c r="O42">
        <f t="shared" si="14"/>
        <v>2.9116305021482627</v>
      </c>
      <c r="Q42">
        <f t="shared" si="1"/>
        <v>2.7624521072796936E-4</v>
      </c>
    </row>
    <row r="43" spans="2:17" x14ac:dyDescent="0.2">
      <c r="B43" s="3" t="s">
        <v>43</v>
      </c>
      <c r="D43">
        <v>1</v>
      </c>
      <c r="E43">
        <f t="shared" si="2"/>
        <v>3.8314176245210726E-3</v>
      </c>
      <c r="F43">
        <f t="shared" si="0"/>
        <v>5.7273768613974802E-4</v>
      </c>
      <c r="G43" s="19"/>
      <c r="J43" s="72">
        <v>1.2227333333333332E-4</v>
      </c>
      <c r="L43">
        <f>+$D$6/J43</f>
        <v>3167.1147314196596</v>
      </c>
      <c r="M43">
        <f>+($D$6/J43)*F43</f>
        <v>1.8139259630124054</v>
      </c>
      <c r="N43">
        <f t="shared" si="14"/>
        <v>3.5006637963431566</v>
      </c>
      <c r="O43">
        <f t="shared" si="14"/>
        <v>0.25861955697360561</v>
      </c>
      <c r="Q43">
        <f t="shared" si="1"/>
        <v>4.6848020434227322E-7</v>
      </c>
    </row>
    <row r="44" spans="2:17" x14ac:dyDescent="0.2">
      <c r="B44" s="3" t="s">
        <v>44</v>
      </c>
      <c r="D44">
        <v>9</v>
      </c>
      <c r="E44">
        <f t="shared" si="2"/>
        <v>3.4482758620689655E-2</v>
      </c>
      <c r="F44">
        <f t="shared" si="0"/>
        <v>5.1546391752577319E-3</v>
      </c>
      <c r="G44">
        <v>0.5</v>
      </c>
      <c r="H44" t="s">
        <v>86</v>
      </c>
      <c r="I44" s="17">
        <v>6.0000000000000001E-3</v>
      </c>
      <c r="J44" s="48">
        <f>+I44*10^-3</f>
        <v>6.0000000000000002E-6</v>
      </c>
      <c r="L44">
        <f>+$D$6/J44</f>
        <v>64542.279209964414</v>
      </c>
      <c r="M44">
        <f>+($D$6/J44)*F44</f>
        <v>332.69216087610522</v>
      </c>
      <c r="N44">
        <f t="shared" si="14"/>
        <v>4.8098442977712166</v>
      </c>
      <c r="O44">
        <f t="shared" si="14"/>
        <v>2.522042567840991</v>
      </c>
      <c r="Q44">
        <f t="shared" si="1"/>
        <v>2.0689655172413793E-7</v>
      </c>
    </row>
    <row r="45" spans="2:17" x14ac:dyDescent="0.2">
      <c r="B45" s="21" t="s">
        <v>1</v>
      </c>
      <c r="C45" s="8" t="s">
        <v>51</v>
      </c>
      <c r="D45" s="8">
        <v>6</v>
      </c>
      <c r="E45" s="74"/>
      <c r="J45" s="48"/>
    </row>
    <row r="46" spans="2:17" x14ac:dyDescent="0.2">
      <c r="B46" s="1" t="s">
        <v>52</v>
      </c>
      <c r="C46" t="s">
        <v>53</v>
      </c>
      <c r="D46">
        <v>6</v>
      </c>
      <c r="E46" s="51">
        <f t="shared" si="2"/>
        <v>2.2988505747126436E-2</v>
      </c>
      <c r="F46">
        <f t="shared" ref="F46:F49" si="15">+(E46/$D$2)</f>
        <v>3.4364261168384883E-3</v>
      </c>
      <c r="G46" s="24" t="s">
        <v>91</v>
      </c>
      <c r="I46">
        <v>1.35</v>
      </c>
      <c r="J46" s="48">
        <f>+I46*10^-3</f>
        <v>1.3500000000000001E-3</v>
      </c>
      <c r="L46">
        <f>+$D$6/J46</f>
        <v>286.85457426650851</v>
      </c>
      <c r="M46">
        <f>+($D$6/J46)*F46</f>
        <v>0.98575455074401563</v>
      </c>
      <c r="N46">
        <f>+LOG(L46)</f>
        <v>2.4576617796598543</v>
      </c>
      <c r="O46">
        <f>+LOG(M46)</f>
        <v>-6.2312093260528389E-3</v>
      </c>
      <c r="Q46">
        <f t="shared" ref="Q46:Q49" si="16">+J46*E46</f>
        <v>3.1034482758620692E-5</v>
      </c>
    </row>
    <row r="47" spans="2:17" x14ac:dyDescent="0.2">
      <c r="B47" s="8" t="s">
        <v>1</v>
      </c>
      <c r="C47" s="8" t="s">
        <v>54</v>
      </c>
      <c r="D47" s="8">
        <v>52</v>
      </c>
      <c r="E47" s="51">
        <f t="shared" si="2"/>
        <v>0.19923371647509577</v>
      </c>
      <c r="F47">
        <f t="shared" si="15"/>
        <v>2.9782359679266894E-2</v>
      </c>
      <c r="G47" s="25">
        <v>0.75</v>
      </c>
      <c r="H47" t="s">
        <v>86</v>
      </c>
      <c r="I47">
        <v>8.1000000000000003E-2</v>
      </c>
      <c r="J47" s="48">
        <f>+I47*10^-3</f>
        <v>8.1000000000000004E-5</v>
      </c>
      <c r="L47">
        <f>+$D$6/J47</f>
        <v>4780.9095711084747</v>
      </c>
      <c r="M47">
        <f>+($D$6/J47)*F47</f>
        <v>142.38676844080223</v>
      </c>
      <c r="N47">
        <f t="shared" ref="N47:O49" si="17">+LOG(L47)</f>
        <v>3.6795105292762109</v>
      </c>
      <c r="O47">
        <f t="shared" si="17"/>
        <v>2.1534696335414591</v>
      </c>
      <c r="Q47">
        <f t="shared" si="16"/>
        <v>1.6137931034482757E-5</v>
      </c>
    </row>
    <row r="48" spans="2:17" x14ac:dyDescent="0.2">
      <c r="B48" s="8" t="s">
        <v>1</v>
      </c>
      <c r="C48" s="8" t="s">
        <v>55</v>
      </c>
      <c r="D48" s="8">
        <v>20</v>
      </c>
      <c r="E48" s="51">
        <f t="shared" si="2"/>
        <v>7.662835249042145E-2</v>
      </c>
      <c r="F48">
        <f t="shared" si="15"/>
        <v>1.1454753722794959E-2</v>
      </c>
      <c r="G48">
        <f>25/40</f>
        <v>0.625</v>
      </c>
      <c r="H48" t="s">
        <v>86</v>
      </c>
      <c r="I48">
        <v>0.08</v>
      </c>
      <c r="J48" s="48">
        <f>+I48*10^-3</f>
        <v>8.0000000000000007E-5</v>
      </c>
      <c r="L48">
        <f>+$D$6/J48</f>
        <v>4840.6709407473309</v>
      </c>
      <c r="M48">
        <f>+($D$6/J48)*F48</f>
        <v>55.448693479350865</v>
      </c>
      <c r="N48">
        <f t="shared" si="17"/>
        <v>3.6849055611629171</v>
      </c>
      <c r="O48">
        <f t="shared" si="17"/>
        <v>1.7438913174573472</v>
      </c>
      <c r="Q48">
        <f t="shared" si="16"/>
        <v>6.1302681992337167E-6</v>
      </c>
    </row>
    <row r="49" spans="2:17" x14ac:dyDescent="0.2">
      <c r="B49" s="8" t="s">
        <v>1</v>
      </c>
      <c r="C49" s="8" t="s">
        <v>56</v>
      </c>
      <c r="D49" s="8">
        <v>165</v>
      </c>
      <c r="E49" s="51">
        <f t="shared" si="2"/>
        <v>0.63218390804597702</v>
      </c>
      <c r="F49">
        <f t="shared" si="15"/>
        <v>9.450171821305843E-2</v>
      </c>
      <c r="G49" s="19">
        <v>7.83</v>
      </c>
      <c r="H49" t="s">
        <v>86</v>
      </c>
      <c r="I49">
        <v>4.58</v>
      </c>
      <c r="J49" s="58">
        <f>+I51*10^-3</f>
        <v>4.5799999999999999E-3</v>
      </c>
      <c r="L49">
        <f>+$D$6/J49</f>
        <v>84.553204205193566</v>
      </c>
      <c r="M49">
        <f>+($D$6/J49)*F49</f>
        <v>7.9904230778103891</v>
      </c>
      <c r="N49">
        <f t="shared" si="17"/>
        <v>1.9271300701509915</v>
      </c>
      <c r="O49">
        <f t="shared" si="17"/>
        <v>0.90256977499534674</v>
      </c>
      <c r="Q49">
        <f t="shared" si="16"/>
        <v>2.8954022988505745E-3</v>
      </c>
    </row>
    <row r="50" spans="2:17" x14ac:dyDescent="0.2">
      <c r="B50" s="8" t="s">
        <v>1</v>
      </c>
      <c r="C50" s="8" t="s">
        <v>57</v>
      </c>
      <c r="D50" s="8">
        <v>59</v>
      </c>
      <c r="E50" s="74"/>
      <c r="J50" s="58"/>
    </row>
    <row r="51" spans="2:17" x14ac:dyDescent="0.2">
      <c r="B51" s="1" t="s">
        <v>58</v>
      </c>
      <c r="D51">
        <v>59</v>
      </c>
      <c r="E51">
        <f t="shared" si="2"/>
        <v>0.22605363984674329</v>
      </c>
      <c r="F51">
        <f>+(E51/$D$2)</f>
        <v>3.379152348224513E-2</v>
      </c>
      <c r="G51" s="19">
        <v>7.83</v>
      </c>
      <c r="H51" t="s">
        <v>86</v>
      </c>
      <c r="I51">
        <v>4.58</v>
      </c>
      <c r="J51" s="48">
        <f>+I51*10^-3</f>
        <v>4.5799999999999999E-3</v>
      </c>
      <c r="L51">
        <f>+$D$6/J51</f>
        <v>84.553204205193566</v>
      </c>
      <c r="M51">
        <f>+($D$6/J51)*F51</f>
        <v>2.857181585398866</v>
      </c>
      <c r="N51">
        <f>+LOG(L51)</f>
        <v>1.9271300701509915</v>
      </c>
      <c r="O51">
        <f>+LOG(M51)</f>
        <v>0.45593784242358459</v>
      </c>
      <c r="Q51">
        <f>+J51*E51</f>
        <v>1.0353256704980843E-3</v>
      </c>
    </row>
    <row r="52" spans="2:17" x14ac:dyDescent="0.2">
      <c r="B52" s="1"/>
      <c r="J52" s="48"/>
    </row>
    <row r="53" spans="2:17" x14ac:dyDescent="0.2">
      <c r="B53" s="8" t="s">
        <v>60</v>
      </c>
      <c r="C53" s="8"/>
      <c r="D53" s="8">
        <v>120</v>
      </c>
      <c r="E53" s="7"/>
      <c r="G53" s="7"/>
      <c r="H53" s="7"/>
      <c r="I53" s="7"/>
      <c r="J53" s="50"/>
      <c r="K53" s="7"/>
      <c r="L53" s="7"/>
      <c r="M53" s="7"/>
      <c r="N53" s="7"/>
      <c r="O53" s="7"/>
    </row>
    <row r="54" spans="2:17" x14ac:dyDescent="0.2">
      <c r="B54" s="1" t="s">
        <v>1</v>
      </c>
      <c r="C54" t="s">
        <v>61</v>
      </c>
      <c r="J54" s="48"/>
    </row>
    <row r="55" spans="2:17" x14ac:dyDescent="0.2">
      <c r="B55" s="1" t="s">
        <v>62</v>
      </c>
      <c r="C55" t="s">
        <v>13</v>
      </c>
      <c r="D55">
        <v>120</v>
      </c>
      <c r="E55">
        <f t="shared" ref="E55" si="18">+D55/$D$1</f>
        <v>0.45977011494252873</v>
      </c>
      <c r="F55">
        <f>+(E55/$D$2)</f>
        <v>6.8728522336769765E-2</v>
      </c>
      <c r="G55">
        <v>0.39</v>
      </c>
      <c r="H55" t="s">
        <v>86</v>
      </c>
      <c r="I55">
        <v>0.03</v>
      </c>
      <c r="J55" s="48">
        <f>+I55*10^-3</f>
        <v>3.0000000000000001E-5</v>
      </c>
      <c r="L55">
        <f>+$D$6/J55</f>
        <v>12908.455841992884</v>
      </c>
      <c r="M55">
        <f>+($D$6/J55)*F55</f>
        <v>887.17909566961407</v>
      </c>
      <c r="N55">
        <f>+LOG(L55)</f>
        <v>4.1108742934351978</v>
      </c>
      <c r="O55">
        <f>+LOG(M55)</f>
        <v>2.9480113001132722</v>
      </c>
      <c r="Q55">
        <f>+J55*E55</f>
        <v>1.3793103448275862E-5</v>
      </c>
    </row>
    <row r="56" spans="2:17" x14ac:dyDescent="0.2">
      <c r="B56" s="8" t="s">
        <v>63</v>
      </c>
      <c r="C56" s="8"/>
      <c r="D56" s="8">
        <f>+D57+D58</f>
        <v>176</v>
      </c>
      <c r="E56" s="7"/>
      <c r="G56" s="7"/>
      <c r="H56" s="7"/>
      <c r="I56" s="7"/>
      <c r="J56" s="50"/>
      <c r="K56" s="7"/>
      <c r="L56" s="7"/>
      <c r="M56" s="7"/>
      <c r="N56" s="7"/>
      <c r="O56" s="7"/>
    </row>
    <row r="57" spans="2:17" x14ac:dyDescent="0.2">
      <c r="B57" s="1" t="s">
        <v>64</v>
      </c>
      <c r="C57" t="s">
        <v>65</v>
      </c>
      <c r="D57">
        <v>5</v>
      </c>
      <c r="E57">
        <f t="shared" ref="E57:E58" si="19">+D57/$D$1</f>
        <v>1.9157088122605363E-2</v>
      </c>
      <c r="F57">
        <f t="shared" ref="F57:F58" si="20">+(E57/$D$2)</f>
        <v>2.8636884306987398E-3</v>
      </c>
      <c r="G57">
        <v>0.27</v>
      </c>
      <c r="H57" t="s">
        <v>90</v>
      </c>
      <c r="J57" s="54">
        <v>2.6699999999999998E-4</v>
      </c>
      <c r="L57">
        <f>+$D$6/J57</f>
        <v>1450.3882968531329</v>
      </c>
      <c r="M57">
        <f>+($D$6/J57)*F57</f>
        <v>4.1534601857191662</v>
      </c>
      <c r="N57">
        <f t="shared" ref="N57:O58" si="21">+LOG(L57)</f>
        <v>3.1614842867902855</v>
      </c>
      <c r="O57">
        <f t="shared" si="21"/>
        <v>0.61841005175675312</v>
      </c>
      <c r="Q57">
        <f t="shared" ref="Q57:Q58" si="22">+J57*E57</f>
        <v>5.1149425287356312E-6</v>
      </c>
    </row>
    <row r="58" spans="2:17" x14ac:dyDescent="0.2">
      <c r="B58" s="1" t="s">
        <v>59</v>
      </c>
      <c r="D58">
        <v>171</v>
      </c>
      <c r="E58">
        <f t="shared" si="19"/>
        <v>0.65517241379310343</v>
      </c>
      <c r="F58">
        <f t="shared" si="20"/>
        <v>9.7938144329896906E-2</v>
      </c>
      <c r="G58">
        <v>0.27</v>
      </c>
      <c r="H58" t="s">
        <v>90</v>
      </c>
      <c r="J58" s="54">
        <v>2.6699999999999998E-4</v>
      </c>
      <c r="L58">
        <f>+$D$6/J58</f>
        <v>1450.3882968531329</v>
      </c>
      <c r="M58">
        <f>+($D$6/J58)*F58</f>
        <v>142.0483383515955</v>
      </c>
      <c r="N58">
        <f t="shared" si="21"/>
        <v>3.1614842867902855</v>
      </c>
      <c r="O58">
        <f t="shared" si="21"/>
        <v>2.1524361578128883</v>
      </c>
      <c r="Q58">
        <f t="shared" si="22"/>
        <v>1.749310344827586E-4</v>
      </c>
    </row>
    <row r="60" spans="2:17" x14ac:dyDescent="0.2">
      <c r="Q60">
        <f>+SUM(Q12:Q58)</f>
        <v>5.1654642568684543E-3</v>
      </c>
    </row>
    <row r="61" spans="2:17" x14ac:dyDescent="0.2">
      <c r="Q61">
        <f>+Q57/Q58</f>
        <v>2.9239766081871343E-2</v>
      </c>
    </row>
  </sheetData>
  <mergeCells count="1">
    <mergeCell ref="G1:J1"/>
  </mergeCells>
  <hyperlinks>
    <hyperlink ref="C7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2"/>
  <sheetViews>
    <sheetView zoomScale="75" zoomScaleNormal="75" zoomScalePageLayoutView="75" workbookViewId="0">
      <selection activeCell="P62" sqref="P62"/>
    </sheetView>
  </sheetViews>
  <sheetFormatPr baseColWidth="10" defaultColWidth="8.83203125" defaultRowHeight="15" x14ac:dyDescent="0.2"/>
  <cols>
    <col min="2" max="2" width="17.33203125" customWidth="1"/>
    <col min="3" max="3" width="21" customWidth="1"/>
    <col min="4" max="4" width="13.83203125" customWidth="1"/>
    <col min="5" max="5" width="12.5" customWidth="1"/>
    <col min="6" max="6" width="10" customWidth="1"/>
    <col min="7" max="7" width="22.1640625" customWidth="1"/>
    <col min="8" max="8" width="12.6640625" customWidth="1"/>
    <col min="9" max="9" width="14.33203125" customWidth="1"/>
    <col min="10" max="10" width="20.33203125" customWidth="1"/>
    <col min="11" max="12" width="26.5" customWidth="1"/>
    <col min="13" max="13" width="12.5" customWidth="1"/>
    <col min="14" max="14" width="11.33203125" customWidth="1"/>
    <col min="16" max="16" width="11.83203125" bestFit="1" customWidth="1"/>
  </cols>
  <sheetData>
    <row r="1" spans="2:16" x14ac:dyDescent="0.2">
      <c r="C1" t="s">
        <v>66</v>
      </c>
      <c r="D1">
        <v>166</v>
      </c>
      <c r="G1" s="84" t="s">
        <v>127</v>
      </c>
      <c r="H1" s="84"/>
      <c r="I1" s="84"/>
      <c r="J1" s="84"/>
    </row>
    <row r="2" spans="2:16" ht="16" thickBot="1" x14ac:dyDescent="0.25">
      <c r="C2" t="s">
        <v>67</v>
      </c>
      <c r="D2" s="10">
        <f>+SUM(E11:E103)</f>
        <v>1.5060240963855422</v>
      </c>
      <c r="G2" s="72" t="s">
        <v>131</v>
      </c>
      <c r="H2" s="72">
        <f>+AVERAGE(J25:J45)</f>
        <v>1.1922800000000002E-4</v>
      </c>
      <c r="M2" s="2" t="s">
        <v>68</v>
      </c>
      <c r="N2" s="2" t="s">
        <v>69</v>
      </c>
      <c r="O2" s="47"/>
      <c r="P2" s="47"/>
    </row>
    <row r="3" spans="2:16" x14ac:dyDescent="0.2">
      <c r="B3" t="s">
        <v>98</v>
      </c>
      <c r="C3" t="s">
        <v>70</v>
      </c>
      <c r="D3" s="11">
        <v>3.5000000000000001E-3</v>
      </c>
      <c r="G3" s="75" t="s">
        <v>132</v>
      </c>
      <c r="H3" s="76">
        <f>+AVERAGE(J48:J59)</f>
        <v>1.6341666666666664E-3</v>
      </c>
      <c r="L3" s="27" t="s">
        <v>71</v>
      </c>
      <c r="M3" s="60">
        <f>+AVERAGE(M11:M59)</f>
        <v>2.2365454210778362</v>
      </c>
      <c r="N3" s="62">
        <f>+AVERAGE(N11:N59)</f>
        <v>0.66841443912238518</v>
      </c>
      <c r="O3" s="4"/>
      <c r="P3" s="4"/>
    </row>
    <row r="4" spans="2:16" ht="16" thickBot="1" x14ac:dyDescent="0.25">
      <c r="B4" t="s">
        <v>98</v>
      </c>
      <c r="C4" t="s">
        <v>72</v>
      </c>
      <c r="D4">
        <v>3.35</v>
      </c>
      <c r="L4" s="28" t="s">
        <v>73</v>
      </c>
      <c r="M4" s="61">
        <f>+STDEV(M11:M59)</f>
        <v>0.86443647574198246</v>
      </c>
      <c r="N4" s="63">
        <f>+STDEV(N11:N59)</f>
        <v>1.2548186531873775</v>
      </c>
      <c r="O4" s="4"/>
      <c r="P4" s="4"/>
    </row>
    <row r="5" spans="2:16" x14ac:dyDescent="0.2">
      <c r="C5" t="s">
        <v>74</v>
      </c>
      <c r="D5" s="12">
        <f>+((15.2+30.2)/2)/10</f>
        <v>2.27</v>
      </c>
      <c r="E5" t="s">
        <v>128</v>
      </c>
    </row>
    <row r="6" spans="2:16" ht="17" x14ac:dyDescent="0.2">
      <c r="C6" t="s">
        <v>75</v>
      </c>
      <c r="D6" s="13">
        <f>+D3*(D5^D4)</f>
        <v>5.4544964815663163E-2</v>
      </c>
      <c r="E6" t="s">
        <v>76</v>
      </c>
      <c r="F6" s="3" t="s">
        <v>77</v>
      </c>
      <c r="H6" s="3" t="s">
        <v>78</v>
      </c>
    </row>
    <row r="7" spans="2:16" ht="17" x14ac:dyDescent="0.2">
      <c r="B7" s="14" t="s">
        <v>79</v>
      </c>
      <c r="C7" s="15" t="s">
        <v>80</v>
      </c>
      <c r="D7" s="16"/>
      <c r="E7" s="16"/>
      <c r="F7" s="3" t="s">
        <v>92</v>
      </c>
      <c r="G7" s="16"/>
      <c r="H7" s="26" t="s">
        <v>93</v>
      </c>
      <c r="J7" t="s">
        <v>135</v>
      </c>
      <c r="K7">
        <f>+MAX(K11:K59)</f>
        <v>9090.8274692771938</v>
      </c>
    </row>
    <row r="8" spans="2:16" x14ac:dyDescent="0.2">
      <c r="J8" t="s">
        <v>136</v>
      </c>
      <c r="K8">
        <f>+MIN(K11:K59)</f>
        <v>9.0681570765857309</v>
      </c>
    </row>
    <row r="9" spans="2:16" x14ac:dyDescent="0.2">
      <c r="B9" s="4"/>
      <c r="C9" s="4"/>
      <c r="D9" s="4" t="s">
        <v>47</v>
      </c>
      <c r="E9" s="4"/>
      <c r="F9" s="4"/>
      <c r="G9" s="20"/>
      <c r="H9" s="4"/>
      <c r="I9" s="4"/>
      <c r="J9" s="4"/>
      <c r="K9" s="47" t="s">
        <v>81</v>
      </c>
      <c r="L9" s="47" t="s">
        <v>82</v>
      </c>
      <c r="M9" s="4"/>
      <c r="N9" s="4"/>
    </row>
    <row r="10" spans="2:16" x14ac:dyDescent="0.2">
      <c r="B10" s="5" t="s">
        <v>45</v>
      </c>
      <c r="C10" s="5"/>
      <c r="D10" s="6" t="s">
        <v>46</v>
      </c>
      <c r="E10" s="6" t="s">
        <v>83</v>
      </c>
      <c r="F10" s="6" t="s">
        <v>94</v>
      </c>
      <c r="G10" s="6" t="s">
        <v>87</v>
      </c>
      <c r="H10" s="22" t="s">
        <v>88</v>
      </c>
      <c r="I10" s="23" t="s">
        <v>124</v>
      </c>
      <c r="J10" s="49" t="s">
        <v>122</v>
      </c>
      <c r="K10" s="6" t="s">
        <v>84</v>
      </c>
      <c r="L10" s="6" t="s">
        <v>85</v>
      </c>
      <c r="M10" s="6" t="s">
        <v>68</v>
      </c>
      <c r="N10" s="6" t="s">
        <v>69</v>
      </c>
    </row>
    <row r="11" spans="2:16" x14ac:dyDescent="0.2">
      <c r="B11" s="8" t="s">
        <v>0</v>
      </c>
      <c r="C11" s="8"/>
      <c r="D11" s="8"/>
      <c r="F11" s="7"/>
      <c r="G11" s="7"/>
      <c r="H11" s="7"/>
      <c r="I11" s="7"/>
      <c r="J11" s="50"/>
      <c r="K11" s="7"/>
      <c r="L11" s="7"/>
      <c r="M11" s="7"/>
      <c r="N11" s="7"/>
    </row>
    <row r="12" spans="2:16" x14ac:dyDescent="0.2">
      <c r="B12" s="1" t="s">
        <v>1</v>
      </c>
      <c r="C12" t="s">
        <v>2</v>
      </c>
      <c r="G12" s="18"/>
      <c r="H12" s="3"/>
      <c r="I12" s="3"/>
      <c r="J12" s="48"/>
    </row>
    <row r="13" spans="2:16" x14ac:dyDescent="0.2">
      <c r="B13" s="8" t="s">
        <v>3</v>
      </c>
      <c r="C13" s="8"/>
      <c r="D13" s="8">
        <v>3</v>
      </c>
      <c r="F13" s="7"/>
      <c r="G13" s="7"/>
      <c r="H13" s="7"/>
      <c r="I13" s="7"/>
      <c r="J13" s="50"/>
      <c r="K13" s="7"/>
      <c r="L13" s="7"/>
      <c r="M13" s="7"/>
      <c r="N13" s="7"/>
    </row>
    <row r="14" spans="2:16" x14ac:dyDescent="0.2">
      <c r="B14" s="1" t="s">
        <v>4</v>
      </c>
      <c r="C14" t="s">
        <v>95</v>
      </c>
      <c r="D14">
        <v>2</v>
      </c>
      <c r="E14">
        <f>+D14/$D$1</f>
        <v>1.2048192771084338E-2</v>
      </c>
      <c r="F14">
        <f>+(E14/$D$2)</f>
        <v>8.0000000000000002E-3</v>
      </c>
      <c r="G14">
        <v>5.25</v>
      </c>
      <c r="H14" s="7" t="s">
        <v>86</v>
      </c>
      <c r="I14">
        <v>6.0149999999999997</v>
      </c>
      <c r="J14" s="48">
        <f>+I14*10^-3</f>
        <v>6.0149999999999995E-3</v>
      </c>
      <c r="K14">
        <f>+$D$6/J14</f>
        <v>9.0681570765857309</v>
      </c>
      <c r="L14">
        <f>+($D$6/J14)*F14</f>
        <v>7.2545256612685849E-2</v>
      </c>
      <c r="M14">
        <f>+LOG10(K14)</f>
        <v>0.95751903427137341</v>
      </c>
      <c r="N14">
        <f>+LOG10(L14)</f>
        <v>-1.1393909787366829</v>
      </c>
      <c r="P14">
        <f>+J14*E14</f>
        <v>7.2469879518072291E-5</v>
      </c>
    </row>
    <row r="15" spans="2:16" x14ac:dyDescent="0.2">
      <c r="B15" s="1" t="s">
        <v>4</v>
      </c>
      <c r="C15" t="s">
        <v>5</v>
      </c>
      <c r="D15">
        <v>1</v>
      </c>
      <c r="E15">
        <f>+D15/$D$1</f>
        <v>6.024096385542169E-3</v>
      </c>
      <c r="F15">
        <f>+(E15/$D$2)</f>
        <v>4.0000000000000001E-3</v>
      </c>
      <c r="G15">
        <v>5.25</v>
      </c>
      <c r="H15" t="s">
        <v>86</v>
      </c>
      <c r="I15">
        <v>6.0149999999999997</v>
      </c>
      <c r="J15" s="48">
        <f>+I15*10^-3</f>
        <v>6.0149999999999995E-3</v>
      </c>
      <c r="K15">
        <f>+$D$6/J15</f>
        <v>9.0681570765857309</v>
      </c>
      <c r="L15">
        <f>+($D$6/J15)*F15</f>
        <v>3.6272628306342924E-2</v>
      </c>
      <c r="M15">
        <f>+LOG(K15)</f>
        <v>0.95751903427137341</v>
      </c>
      <c r="N15">
        <f>+LOG(L15)</f>
        <v>-1.4404209744006642</v>
      </c>
      <c r="P15">
        <f>+J15*E15</f>
        <v>3.6234939759036145E-5</v>
      </c>
    </row>
    <row r="16" spans="2:16" x14ac:dyDescent="0.2">
      <c r="B16" s="8" t="s">
        <v>6</v>
      </c>
      <c r="C16" s="8"/>
      <c r="D16" s="8">
        <v>2</v>
      </c>
      <c r="G16" s="7"/>
      <c r="H16" s="7"/>
      <c r="I16" s="7"/>
      <c r="J16" s="50"/>
      <c r="K16" s="7"/>
      <c r="L16" s="7"/>
      <c r="M16" s="7"/>
      <c r="N16" s="7"/>
    </row>
    <row r="17" spans="2:16" x14ac:dyDescent="0.2">
      <c r="B17" s="1" t="s">
        <v>7</v>
      </c>
      <c r="C17" t="s">
        <v>8</v>
      </c>
      <c r="D17">
        <v>2</v>
      </c>
      <c r="E17">
        <f>+D17/$D$1</f>
        <v>1.2048192771084338E-2</v>
      </c>
      <c r="F17">
        <f>+(E17/$D$2)</f>
        <v>8.0000000000000002E-3</v>
      </c>
      <c r="J17" s="75">
        <v>1.6341666666666666E-3</v>
      </c>
      <c r="K17">
        <f>+$D$6/J17</f>
        <v>33.377846904026413</v>
      </c>
      <c r="L17">
        <f>+($D$6/J17)*F17</f>
        <v>0.2670227752322113</v>
      </c>
      <c r="M17">
        <f>+LOG(K17)</f>
        <v>1.5234583183270778</v>
      </c>
      <c r="N17">
        <f>+LOG(L17)</f>
        <v>-0.57345169468097867</v>
      </c>
      <c r="P17">
        <f>+J17*E17</f>
        <v>1.9688755020080323E-5</v>
      </c>
    </row>
    <row r="18" spans="2:16" x14ac:dyDescent="0.2">
      <c r="B18" s="8" t="s">
        <v>9</v>
      </c>
      <c r="C18" s="8"/>
      <c r="D18" s="8">
        <v>1</v>
      </c>
      <c r="G18" s="7"/>
      <c r="H18" s="7"/>
      <c r="I18" s="7"/>
      <c r="J18" s="50"/>
      <c r="K18" s="7"/>
      <c r="L18" s="7"/>
      <c r="M18" s="7"/>
      <c r="N18" s="7"/>
    </row>
    <row r="19" spans="2:16" x14ac:dyDescent="0.2">
      <c r="B19" s="1" t="s">
        <v>1</v>
      </c>
      <c r="C19" t="s">
        <v>10</v>
      </c>
      <c r="J19" s="48"/>
    </row>
    <row r="20" spans="2:16" x14ac:dyDescent="0.2">
      <c r="B20" s="1"/>
      <c r="J20" s="48"/>
    </row>
    <row r="21" spans="2:16" x14ac:dyDescent="0.2">
      <c r="B21" s="8" t="s">
        <v>11</v>
      </c>
      <c r="C21" s="8"/>
      <c r="D21" s="8">
        <v>2</v>
      </c>
      <c r="G21" s="7"/>
      <c r="H21" s="7"/>
      <c r="I21" s="7"/>
      <c r="J21" s="50"/>
      <c r="K21" s="7"/>
      <c r="L21" s="7"/>
      <c r="M21" s="7"/>
      <c r="N21" s="7"/>
    </row>
    <row r="22" spans="2:16" x14ac:dyDescent="0.2">
      <c r="B22" s="1" t="s">
        <v>12</v>
      </c>
      <c r="C22" t="s">
        <v>13</v>
      </c>
      <c r="J22" s="48"/>
    </row>
    <row r="23" spans="2:16" x14ac:dyDescent="0.2">
      <c r="B23" s="8" t="s">
        <v>14</v>
      </c>
      <c r="C23" s="8"/>
      <c r="D23" s="8">
        <v>372</v>
      </c>
      <c r="G23" s="7"/>
      <c r="H23" s="7"/>
      <c r="I23" s="7"/>
      <c r="J23" s="50"/>
      <c r="K23" s="7"/>
      <c r="L23" s="7"/>
      <c r="M23" s="7"/>
      <c r="N23" s="7"/>
    </row>
    <row r="24" spans="2:16" x14ac:dyDescent="0.2">
      <c r="B24" s="21" t="s">
        <v>15</v>
      </c>
      <c r="C24" s="8"/>
      <c r="D24" s="8">
        <v>166</v>
      </c>
      <c r="J24" s="48"/>
    </row>
    <row r="25" spans="2:16" x14ac:dyDescent="0.2">
      <c r="B25" s="3" t="s">
        <v>16</v>
      </c>
      <c r="C25" t="s">
        <v>17</v>
      </c>
      <c r="G25" s="19"/>
      <c r="J25" s="48"/>
    </row>
    <row r="26" spans="2:16" x14ac:dyDescent="0.2">
      <c r="B26" s="3" t="s">
        <v>18</v>
      </c>
      <c r="C26" t="s">
        <v>19</v>
      </c>
      <c r="J26" s="48"/>
    </row>
    <row r="27" spans="2:16" x14ac:dyDescent="0.2">
      <c r="B27" s="3" t="s">
        <v>20</v>
      </c>
      <c r="C27" t="s">
        <v>13</v>
      </c>
      <c r="D27">
        <v>2</v>
      </c>
      <c r="E27">
        <f t="shared" ref="E27:E53" si="0">+D27/$D$1</f>
        <v>1.2048192771084338E-2</v>
      </c>
      <c r="F27">
        <f>+(E27/$D$2)</f>
        <v>8.0000000000000002E-3</v>
      </c>
      <c r="G27" s="19">
        <v>2</v>
      </c>
      <c r="H27" t="s">
        <v>86</v>
      </c>
      <c r="J27" s="72">
        <v>1.1922800000000002E-4</v>
      </c>
      <c r="K27">
        <f>+$D$6/J27</f>
        <v>457.48452390095576</v>
      </c>
      <c r="L27">
        <f>+($D$6/J27)*F27</f>
        <v>3.6598761912076463</v>
      </c>
      <c r="M27">
        <f>+LOG(K27)</f>
        <v>2.6603764070405012</v>
      </c>
      <c r="N27">
        <f>+LOG(L27)</f>
        <v>0.5634663940324447</v>
      </c>
      <c r="P27">
        <f>+J27*E27</f>
        <v>1.4364819277108437E-6</v>
      </c>
    </row>
    <row r="28" spans="2:16" x14ac:dyDescent="0.2">
      <c r="B28" s="3" t="s">
        <v>21</v>
      </c>
      <c r="C28" t="s">
        <v>13</v>
      </c>
      <c r="J28" s="48"/>
    </row>
    <row r="29" spans="2:16" x14ac:dyDescent="0.2">
      <c r="B29" s="3" t="s">
        <v>22</v>
      </c>
      <c r="C29" t="s">
        <v>13</v>
      </c>
      <c r="J29" s="48"/>
    </row>
    <row r="30" spans="2:16" x14ac:dyDescent="0.2">
      <c r="B30" s="3" t="s">
        <v>23</v>
      </c>
      <c r="C30" t="s">
        <v>24</v>
      </c>
      <c r="G30" s="19"/>
      <c r="J30" s="48"/>
    </row>
    <row r="31" spans="2:16" x14ac:dyDescent="0.2">
      <c r="B31" s="3" t="s">
        <v>25</v>
      </c>
      <c r="C31" t="s">
        <v>26</v>
      </c>
      <c r="D31">
        <v>12</v>
      </c>
      <c r="E31">
        <f t="shared" si="0"/>
        <v>7.2289156626506021E-2</v>
      </c>
      <c r="F31">
        <f t="shared" ref="F31:F32" si="1">+(E31/$D$2)</f>
        <v>4.7999999999999994E-2</v>
      </c>
      <c r="G31">
        <v>0.89900000000000002</v>
      </c>
      <c r="H31" t="s">
        <v>86</v>
      </c>
      <c r="I31" s="13">
        <v>5.9339999999999997E-2</v>
      </c>
      <c r="J31" s="53">
        <f>+I31*10^-3</f>
        <v>5.9339999999999998E-5</v>
      </c>
      <c r="K31">
        <f>+$D$6/J31</f>
        <v>919.19387960335632</v>
      </c>
      <c r="L31">
        <f>+($D$6/J31)*F31</f>
        <v>44.121306220961095</v>
      </c>
      <c r="M31">
        <f>+LOG(K31)</f>
        <v>2.9634071239664137</v>
      </c>
      <c r="N31">
        <f>+LOG(L31)</f>
        <v>1.6446483613420011</v>
      </c>
      <c r="P31">
        <f>+J31*E31</f>
        <v>4.289638554216867E-6</v>
      </c>
    </row>
    <row r="32" spans="2:16" x14ac:dyDescent="0.2">
      <c r="B32" s="3" t="s">
        <v>27</v>
      </c>
      <c r="C32" t="s">
        <v>28</v>
      </c>
      <c r="D32">
        <v>1</v>
      </c>
      <c r="E32">
        <f t="shared" si="0"/>
        <v>6.024096385542169E-3</v>
      </c>
      <c r="F32">
        <f t="shared" si="1"/>
        <v>4.0000000000000001E-3</v>
      </c>
      <c r="G32">
        <v>0.9</v>
      </c>
      <c r="H32" t="s">
        <v>86</v>
      </c>
      <c r="I32" s="13"/>
      <c r="J32" s="72">
        <v>1.1922800000000003E-4</v>
      </c>
      <c r="K32">
        <f>+$D$6/J32</f>
        <v>457.48452390095571</v>
      </c>
      <c r="L32">
        <f>+($D$6/J32)*F32</f>
        <v>1.8299380956038229</v>
      </c>
      <c r="M32">
        <f>+LOG(K32)</f>
        <v>2.6603764070405012</v>
      </c>
      <c r="N32">
        <f>+LOG(L32)</f>
        <v>0.2624363983684635</v>
      </c>
      <c r="P32">
        <f>+J32*E32</f>
        <v>7.1824096385542197E-7</v>
      </c>
    </row>
    <row r="33" spans="2:16" x14ac:dyDescent="0.2">
      <c r="B33" s="3" t="s">
        <v>29</v>
      </c>
      <c r="C33" t="s">
        <v>30</v>
      </c>
      <c r="I33" s="13"/>
      <c r="J33" s="48"/>
    </row>
    <row r="34" spans="2:16" x14ac:dyDescent="0.2">
      <c r="B34" s="3" t="s">
        <v>31</v>
      </c>
      <c r="C34" t="s">
        <v>28</v>
      </c>
      <c r="I34" s="13"/>
      <c r="J34" s="48"/>
    </row>
    <row r="35" spans="2:16" x14ac:dyDescent="0.2">
      <c r="B35" s="3" t="s">
        <v>32</v>
      </c>
      <c r="C35" t="s">
        <v>33</v>
      </c>
      <c r="I35" s="13"/>
      <c r="J35" s="48"/>
    </row>
    <row r="36" spans="2:16" x14ac:dyDescent="0.2">
      <c r="B36" s="3" t="s">
        <v>32</v>
      </c>
      <c r="C36" t="s">
        <v>34</v>
      </c>
      <c r="I36" s="13"/>
      <c r="J36" s="48"/>
    </row>
    <row r="37" spans="2:16" x14ac:dyDescent="0.2">
      <c r="B37" s="3" t="s">
        <v>32</v>
      </c>
      <c r="C37" t="s">
        <v>13</v>
      </c>
      <c r="I37" s="13"/>
      <c r="J37" s="48"/>
    </row>
    <row r="38" spans="2:16" x14ac:dyDescent="0.2">
      <c r="B38" s="3" t="s">
        <v>35</v>
      </c>
      <c r="C38" t="s">
        <v>36</v>
      </c>
      <c r="D38">
        <v>3</v>
      </c>
      <c r="E38">
        <f t="shared" si="0"/>
        <v>1.8072289156626505E-2</v>
      </c>
      <c r="F38">
        <f>+(E38/$D$2)</f>
        <v>1.1999999999999999E-2</v>
      </c>
      <c r="G38">
        <v>1.5</v>
      </c>
      <c r="H38" t="s">
        <v>86</v>
      </c>
      <c r="I38" s="45">
        <v>0.26</v>
      </c>
      <c r="J38" s="53">
        <f>+I38*10^-3</f>
        <v>2.6000000000000003E-4</v>
      </c>
      <c r="K38">
        <f>+$D$6/J38</f>
        <v>209.78832621408907</v>
      </c>
      <c r="L38">
        <f>+($D$6/J38)*F38</f>
        <v>2.5174599145690686</v>
      </c>
      <c r="M38">
        <f t="shared" ref="M38" si="2">+LOG(K38)</f>
        <v>2.3217813179764191</v>
      </c>
      <c r="N38">
        <f t="shared" ref="N38" si="3">+LOG(L38)</f>
        <v>0.40096256402404368</v>
      </c>
      <c r="P38">
        <f>+J38*E38</f>
        <v>4.6987951807228923E-6</v>
      </c>
    </row>
    <row r="39" spans="2:16" x14ac:dyDescent="0.2">
      <c r="B39" s="3" t="s">
        <v>37</v>
      </c>
      <c r="C39" t="s">
        <v>38</v>
      </c>
      <c r="I39" s="45"/>
      <c r="J39" s="48"/>
    </row>
    <row r="40" spans="2:16" x14ac:dyDescent="0.2">
      <c r="B40" s="3" t="s">
        <v>39</v>
      </c>
      <c r="C40" t="s">
        <v>13</v>
      </c>
      <c r="I40" s="13"/>
      <c r="J40" s="48"/>
    </row>
    <row r="41" spans="2:16" x14ac:dyDescent="0.2">
      <c r="B41" s="3" t="s">
        <v>40</v>
      </c>
      <c r="C41" t="s">
        <v>13</v>
      </c>
      <c r="I41" s="13"/>
      <c r="J41" s="48"/>
    </row>
    <row r="42" spans="2:16" x14ac:dyDescent="0.2">
      <c r="B42" s="3" t="s">
        <v>41</v>
      </c>
      <c r="C42" t="s">
        <v>13</v>
      </c>
      <c r="D42">
        <v>33</v>
      </c>
      <c r="E42">
        <f t="shared" si="0"/>
        <v>0.19879518072289157</v>
      </c>
      <c r="F42">
        <f t="shared" ref="F42:F45" si="4">+(E42/$D$2)</f>
        <v>0.13200000000000001</v>
      </c>
      <c r="G42">
        <v>1</v>
      </c>
      <c r="H42" t="s">
        <v>86</v>
      </c>
      <c r="I42" s="45">
        <v>0.1308</v>
      </c>
      <c r="J42" s="53">
        <f>+I42*10^-3</f>
        <v>1.3080000000000001E-4</v>
      </c>
      <c r="K42">
        <f>+$D$6/J42</f>
        <v>417.01043437051345</v>
      </c>
      <c r="L42">
        <f>+($D$6/J42)*F42</f>
        <v>55.045377336907777</v>
      </c>
      <c r="M42">
        <f t="shared" ref="M42:N45" si="5">+LOG(K42)</f>
        <v>2.6201469219589884</v>
      </c>
      <c r="N42">
        <f t="shared" si="5"/>
        <v>1.7407208531648384</v>
      </c>
      <c r="P42">
        <f t="shared" ref="P42:P45" si="6">+J42*E42</f>
        <v>2.600240963855422E-5</v>
      </c>
    </row>
    <row r="43" spans="2:16" x14ac:dyDescent="0.2">
      <c r="B43" s="3" t="s">
        <v>42</v>
      </c>
      <c r="D43">
        <v>37</v>
      </c>
      <c r="E43">
        <f t="shared" si="0"/>
        <v>0.22289156626506024</v>
      </c>
      <c r="F43">
        <f t="shared" si="4"/>
        <v>0.14799999999999999</v>
      </c>
      <c r="G43">
        <v>1.59</v>
      </c>
      <c r="I43" s="45">
        <v>0.14000000000000001</v>
      </c>
      <c r="J43" s="53">
        <f>+I43*10^-3</f>
        <v>1.4000000000000001E-4</v>
      </c>
      <c r="K43">
        <f>+$D$6/J43</f>
        <v>389.6068915404511</v>
      </c>
      <c r="L43">
        <f>+($D$6/J43)*F43</f>
        <v>57.661819947986757</v>
      </c>
      <c r="M43">
        <f t="shared" si="5"/>
        <v>2.5906266302689986</v>
      </c>
      <c r="N43">
        <f t="shared" si="5"/>
        <v>1.7608883456639561</v>
      </c>
      <c r="P43">
        <f t="shared" si="6"/>
        <v>3.1204819277108436E-5</v>
      </c>
    </row>
    <row r="44" spans="2:16" x14ac:dyDescent="0.2">
      <c r="B44" s="3" t="s">
        <v>43</v>
      </c>
      <c r="D44">
        <v>66</v>
      </c>
      <c r="E44">
        <f t="shared" si="0"/>
        <v>0.39759036144578314</v>
      </c>
      <c r="F44">
        <f t="shared" si="4"/>
        <v>0.26400000000000001</v>
      </c>
      <c r="G44" s="19"/>
      <c r="I44" s="13"/>
      <c r="J44" s="72">
        <v>1.1922800000000002E-4</v>
      </c>
      <c r="K44">
        <f>+$D$6/J44</f>
        <v>457.48452390095576</v>
      </c>
      <c r="L44">
        <f>+($D$6/J44)*F44</f>
        <v>120.77591430985233</v>
      </c>
      <c r="M44">
        <f t="shared" si="5"/>
        <v>2.6603764070405012</v>
      </c>
      <c r="N44">
        <f t="shared" si="5"/>
        <v>2.081980333910332</v>
      </c>
      <c r="P44">
        <f t="shared" si="6"/>
        <v>4.7403903614457836E-5</v>
      </c>
    </row>
    <row r="45" spans="2:16" x14ac:dyDescent="0.2">
      <c r="B45" s="3" t="s">
        <v>44</v>
      </c>
      <c r="D45">
        <v>12</v>
      </c>
      <c r="E45">
        <f t="shared" si="0"/>
        <v>7.2289156626506021E-2</v>
      </c>
      <c r="F45">
        <f t="shared" si="4"/>
        <v>4.7999999999999994E-2</v>
      </c>
      <c r="G45">
        <v>0.5</v>
      </c>
      <c r="H45" t="s">
        <v>86</v>
      </c>
      <c r="I45" s="45">
        <v>6.0000000000000001E-3</v>
      </c>
      <c r="J45" s="53">
        <f>+I45*10^-3</f>
        <v>6.0000000000000002E-6</v>
      </c>
      <c r="K45">
        <f>+$D$6/J45</f>
        <v>9090.8274692771938</v>
      </c>
      <c r="L45">
        <f>+($D$6/J45)*F45</f>
        <v>436.35971852530525</v>
      </c>
      <c r="M45">
        <f t="shared" si="5"/>
        <v>3.9586034155635934</v>
      </c>
      <c r="N45">
        <f t="shared" si="5"/>
        <v>2.6398446529391806</v>
      </c>
      <c r="P45">
        <f t="shared" si="6"/>
        <v>4.3373493975903615E-7</v>
      </c>
    </row>
    <row r="46" spans="2:16" x14ac:dyDescent="0.2">
      <c r="B46" s="21" t="s">
        <v>1</v>
      </c>
      <c r="C46" s="8" t="s">
        <v>51</v>
      </c>
      <c r="D46" s="8"/>
      <c r="E46" s="8"/>
      <c r="I46" s="13"/>
      <c r="J46" s="48"/>
    </row>
    <row r="47" spans="2:16" x14ac:dyDescent="0.2">
      <c r="B47" s="1" t="s">
        <v>52</v>
      </c>
      <c r="C47" t="s">
        <v>53</v>
      </c>
      <c r="G47" s="24"/>
      <c r="I47" s="13"/>
      <c r="J47" s="48"/>
    </row>
    <row r="48" spans="2:16" x14ac:dyDescent="0.2">
      <c r="B48" t="s">
        <v>1</v>
      </c>
      <c r="C48" t="s">
        <v>54</v>
      </c>
      <c r="D48">
        <v>12</v>
      </c>
      <c r="E48">
        <f t="shared" si="0"/>
        <v>7.2289156626506021E-2</v>
      </c>
      <c r="F48">
        <f>+(E48/$D$2)</f>
        <v>4.7999999999999994E-2</v>
      </c>
      <c r="G48" s="25">
        <v>0.75</v>
      </c>
      <c r="H48" t="s">
        <v>86</v>
      </c>
      <c r="I48" s="13">
        <v>8.1000000000000003E-2</v>
      </c>
      <c r="J48" s="53">
        <f>+I48*10^-3</f>
        <v>8.1000000000000004E-5</v>
      </c>
      <c r="K48">
        <f>+$D$6/J48</f>
        <v>673.39462735386621</v>
      </c>
      <c r="L48">
        <f>+($D$6/J48)*F48</f>
        <v>32.322942112985572</v>
      </c>
      <c r="M48">
        <f t="shared" ref="M48:M50" si="7">+LOG(K48)</f>
        <v>2.8282696470685873</v>
      </c>
      <c r="N48">
        <f t="shared" ref="N48:N50" si="8">+LOG(L48)</f>
        <v>1.5095108844441743</v>
      </c>
      <c r="P48">
        <f>+J48*E48</f>
        <v>5.8554216867469882E-6</v>
      </c>
    </row>
    <row r="49" spans="2:16" x14ac:dyDescent="0.2">
      <c r="B49" t="s">
        <v>1</v>
      </c>
      <c r="C49" t="s">
        <v>55</v>
      </c>
      <c r="I49" s="13"/>
      <c r="J49" s="48"/>
    </row>
    <row r="50" spans="2:16" x14ac:dyDescent="0.2">
      <c r="B50" t="s">
        <v>1</v>
      </c>
      <c r="C50" t="s">
        <v>56</v>
      </c>
      <c r="D50">
        <v>2</v>
      </c>
      <c r="E50">
        <f t="shared" si="0"/>
        <v>1.2048192771084338E-2</v>
      </c>
      <c r="F50">
        <f>+(E50/$D$2)</f>
        <v>8.0000000000000002E-3</v>
      </c>
      <c r="G50" s="19">
        <v>7.83</v>
      </c>
      <c r="H50" t="s">
        <v>86</v>
      </c>
      <c r="I50" s="13">
        <v>4.58</v>
      </c>
      <c r="J50" s="58">
        <f>+I52*10^-3</f>
        <v>4.5799999999999999E-3</v>
      </c>
      <c r="K50">
        <f>+$D$6/J50</f>
        <v>11.909380964118595</v>
      </c>
      <c r="L50">
        <f>+($D$6/J50)*F50</f>
        <v>9.5275047712948757E-2</v>
      </c>
      <c r="M50">
        <f t="shared" si="7"/>
        <v>1.0758891879433679</v>
      </c>
      <c r="N50">
        <f t="shared" si="8"/>
        <v>-1.0210208250646886</v>
      </c>
      <c r="P50">
        <f>+J50*E50</f>
        <v>5.5180722891566265E-5</v>
      </c>
    </row>
    <row r="51" spans="2:16" x14ac:dyDescent="0.2">
      <c r="B51" s="8" t="s">
        <v>1</v>
      </c>
      <c r="C51" s="8" t="s">
        <v>57</v>
      </c>
      <c r="D51" s="8">
        <v>13</v>
      </c>
      <c r="E51" s="8"/>
      <c r="I51" s="13"/>
      <c r="J51" s="58"/>
    </row>
    <row r="52" spans="2:16" x14ac:dyDescent="0.2">
      <c r="B52" s="1" t="s">
        <v>58</v>
      </c>
      <c r="D52">
        <v>7</v>
      </c>
      <c r="E52">
        <f t="shared" si="0"/>
        <v>4.2168674698795178E-2</v>
      </c>
      <c r="F52">
        <f t="shared" ref="F52:F53" si="9">+(E52/$D$2)</f>
        <v>2.7999999999999997E-2</v>
      </c>
      <c r="G52" s="19">
        <v>7.83</v>
      </c>
      <c r="H52" t="s">
        <v>86</v>
      </c>
      <c r="I52" s="13">
        <v>4.58</v>
      </c>
      <c r="J52" s="48">
        <f>+I52*10^-3</f>
        <v>4.5799999999999999E-3</v>
      </c>
      <c r="K52">
        <f>+$D$6/J52</f>
        <v>11.909380964118595</v>
      </c>
      <c r="L52">
        <f>+($D$6/J52)*F52</f>
        <v>0.33346266699532062</v>
      </c>
      <c r="M52">
        <f>+LOG(K52)</f>
        <v>1.0758891879433679</v>
      </c>
      <c r="N52">
        <f>+LOG(L52)</f>
        <v>-0.4769527807144131</v>
      </c>
      <c r="P52">
        <f t="shared" ref="P52:P53" si="10">+J52*E52</f>
        <v>1.931325301204819E-4</v>
      </c>
    </row>
    <row r="53" spans="2:16" x14ac:dyDescent="0.2">
      <c r="B53" s="1" t="s">
        <v>59</v>
      </c>
      <c r="C53" t="s">
        <v>96</v>
      </c>
      <c r="D53">
        <v>6</v>
      </c>
      <c r="E53">
        <f t="shared" si="0"/>
        <v>3.614457831325301E-2</v>
      </c>
      <c r="F53">
        <f t="shared" si="9"/>
        <v>2.3999999999999997E-2</v>
      </c>
      <c r="I53" s="13"/>
      <c r="J53" s="75">
        <v>1.6341666666666666E-3</v>
      </c>
      <c r="K53">
        <f>+$D$6/J53</f>
        <v>33.377846904026413</v>
      </c>
      <c r="L53">
        <f>+($D$6/J53)*F53</f>
        <v>0.80106832569663378</v>
      </c>
      <c r="M53">
        <f>+LOG(K53)</f>
        <v>1.5234583183270778</v>
      </c>
      <c r="N53">
        <f>+LOG(L53)</f>
        <v>-9.633043996131635E-2</v>
      </c>
      <c r="P53">
        <f t="shared" si="10"/>
        <v>5.9066265060240961E-5</v>
      </c>
    </row>
    <row r="54" spans="2:16" x14ac:dyDescent="0.2">
      <c r="B54" s="8" t="s">
        <v>60</v>
      </c>
      <c r="C54" s="8"/>
      <c r="D54" s="8">
        <v>19</v>
      </c>
      <c r="E54" s="7"/>
      <c r="G54" s="7"/>
      <c r="H54" s="7"/>
      <c r="I54" s="46"/>
      <c r="J54" s="50"/>
      <c r="K54" s="7"/>
      <c r="L54" s="7"/>
      <c r="M54" s="7"/>
      <c r="N54" s="7"/>
    </row>
    <row r="55" spans="2:16" x14ac:dyDescent="0.2">
      <c r="B55" s="1" t="s">
        <v>1</v>
      </c>
      <c r="C55" t="s">
        <v>61</v>
      </c>
      <c r="I55" s="13"/>
      <c r="J55" s="48"/>
    </row>
    <row r="56" spans="2:16" x14ac:dyDescent="0.2">
      <c r="B56" s="1" t="s">
        <v>62</v>
      </c>
      <c r="C56" t="s">
        <v>13</v>
      </c>
      <c r="D56">
        <v>19</v>
      </c>
      <c r="E56">
        <f t="shared" ref="E56" si="11">+D56/$D$1</f>
        <v>0.1144578313253012</v>
      </c>
      <c r="F56">
        <f>+(E56/$D$2)</f>
        <v>7.5999999999999998E-2</v>
      </c>
      <c r="G56">
        <v>0.39</v>
      </c>
      <c r="H56" t="s">
        <v>86</v>
      </c>
      <c r="I56" s="13">
        <v>0.03</v>
      </c>
      <c r="J56" s="48">
        <f>+I56*10^-3</f>
        <v>3.0000000000000001E-5</v>
      </c>
      <c r="K56">
        <f>+$D$6/J56</f>
        <v>1818.1654938554386</v>
      </c>
      <c r="L56">
        <f>+($D$6/J56)*F56</f>
        <v>138.18057753301332</v>
      </c>
      <c r="M56">
        <f>+LOG(K56)</f>
        <v>3.2596334112275747</v>
      </c>
      <c r="N56">
        <f>+LOG(L56)</f>
        <v>2.1404470035083656</v>
      </c>
      <c r="P56">
        <f>+J56*E56</f>
        <v>3.433734939759036E-6</v>
      </c>
    </row>
    <row r="57" spans="2:16" x14ac:dyDescent="0.2">
      <c r="B57" s="8" t="s">
        <v>63</v>
      </c>
      <c r="C57" s="8"/>
      <c r="D57" s="8">
        <v>33</v>
      </c>
      <c r="E57" s="7"/>
      <c r="G57" s="7"/>
      <c r="H57" s="7"/>
      <c r="I57" s="46"/>
      <c r="J57" s="50"/>
      <c r="K57" s="7"/>
      <c r="L57" s="7"/>
      <c r="M57" s="7"/>
      <c r="N57" s="7"/>
    </row>
    <row r="58" spans="2:16" x14ac:dyDescent="0.2">
      <c r="B58" s="1" t="s">
        <v>64</v>
      </c>
      <c r="C58" t="s">
        <v>65</v>
      </c>
      <c r="D58">
        <v>6</v>
      </c>
      <c r="E58">
        <f t="shared" ref="E58:E59" si="12">+D58/$D$1</f>
        <v>3.614457831325301E-2</v>
      </c>
      <c r="F58">
        <f t="shared" ref="F58:F59" si="13">+(E58/$D$2)</f>
        <v>2.3999999999999997E-2</v>
      </c>
      <c r="G58">
        <v>0.27</v>
      </c>
      <c r="H58" t="s">
        <v>90</v>
      </c>
      <c r="I58" s="13"/>
      <c r="J58" s="54">
        <v>2.6699999999999998E-4</v>
      </c>
      <c r="K58">
        <f>+$D$6/J58</f>
        <v>204.28825773656618</v>
      </c>
      <c r="L58">
        <f>+($D$6/J58)*F58</f>
        <v>4.9029181856775876</v>
      </c>
      <c r="M58">
        <f t="shared" ref="M58:M59" si="14">+LOG(K58)</f>
        <v>2.3102434045826619</v>
      </c>
      <c r="N58">
        <f t="shared" ref="N58:N59" si="15">+LOG(L58)</f>
        <v>0.69045464629426767</v>
      </c>
      <c r="P58">
        <f t="shared" ref="P58:P59" si="16">+J58*E58</f>
        <v>9.6506024096385529E-6</v>
      </c>
    </row>
    <row r="59" spans="2:16" x14ac:dyDescent="0.2">
      <c r="B59" s="1" t="s">
        <v>59</v>
      </c>
      <c r="D59">
        <v>27</v>
      </c>
      <c r="E59">
        <f t="shared" si="12"/>
        <v>0.16265060240963855</v>
      </c>
      <c r="F59">
        <f t="shared" si="13"/>
        <v>0.108</v>
      </c>
      <c r="G59">
        <v>0.27</v>
      </c>
      <c r="H59" t="s">
        <v>90</v>
      </c>
      <c r="I59" s="13"/>
      <c r="J59" s="54">
        <v>2.6699999999999998E-4</v>
      </c>
      <c r="K59">
        <f>+$D$6/J59</f>
        <v>204.28825773656618</v>
      </c>
      <c r="L59">
        <f>+($D$6/J59)*F59</f>
        <v>22.063131835549147</v>
      </c>
      <c r="M59">
        <f t="shared" si="14"/>
        <v>2.3102434045826619</v>
      </c>
      <c r="N59">
        <f t="shared" si="15"/>
        <v>1.3436671600696115</v>
      </c>
      <c r="P59">
        <f t="shared" si="16"/>
        <v>4.3427710843373492E-5</v>
      </c>
    </row>
    <row r="60" spans="2:16" x14ac:dyDescent="0.2">
      <c r="I60" s="13"/>
    </row>
    <row r="61" spans="2:16" x14ac:dyDescent="0.2">
      <c r="P61">
        <f>SUM(P14:P60)</f>
        <v>6.1432858634538168E-4</v>
      </c>
    </row>
    <row r="62" spans="2:16" x14ac:dyDescent="0.2">
      <c r="P62">
        <f>+P58/P61</f>
        <v>1.5709186621201587E-2</v>
      </c>
    </row>
  </sheetData>
  <mergeCells count="1">
    <mergeCell ref="G1:J1"/>
  </mergeCells>
  <hyperlinks>
    <hyperlink ref="C7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62"/>
  <sheetViews>
    <sheetView zoomScale="75" zoomScaleNormal="75" zoomScalePageLayoutView="75" workbookViewId="0">
      <selection activeCell="P62" sqref="P62"/>
    </sheetView>
  </sheetViews>
  <sheetFormatPr baseColWidth="10" defaultColWidth="8.83203125" defaultRowHeight="15" x14ac:dyDescent="0.2"/>
  <cols>
    <col min="2" max="2" width="17.33203125" customWidth="1"/>
    <col min="3" max="3" width="21" customWidth="1"/>
    <col min="4" max="4" width="13.83203125" customWidth="1"/>
    <col min="5" max="5" width="12.5" customWidth="1"/>
    <col min="6" max="6" width="10" customWidth="1"/>
    <col min="7" max="7" width="22.1640625" customWidth="1"/>
    <col min="8" max="8" width="12.6640625" customWidth="1"/>
    <col min="9" max="9" width="14.33203125" customWidth="1"/>
    <col min="10" max="10" width="20.33203125" customWidth="1"/>
    <col min="11" max="12" width="26.5" customWidth="1"/>
    <col min="13" max="13" width="12.5" customWidth="1"/>
    <col min="14" max="14" width="11.33203125" customWidth="1"/>
    <col min="16" max="16" width="11.83203125" bestFit="1" customWidth="1"/>
  </cols>
  <sheetData>
    <row r="1" spans="2:16" x14ac:dyDescent="0.2">
      <c r="C1" t="s">
        <v>66</v>
      </c>
      <c r="D1">
        <v>324</v>
      </c>
      <c r="G1" s="84" t="s">
        <v>127</v>
      </c>
      <c r="H1" s="84"/>
      <c r="I1" s="84"/>
      <c r="J1" s="84"/>
    </row>
    <row r="2" spans="2:16" ht="16" thickBot="1" x14ac:dyDescent="0.25">
      <c r="C2" t="s">
        <v>67</v>
      </c>
      <c r="D2" s="10">
        <f>+SUM(E11:E103)</f>
        <v>0.58950617283950624</v>
      </c>
      <c r="G2" s="73" t="s">
        <v>131</v>
      </c>
      <c r="H2" s="73">
        <f>+AVERAGE(J25:J45)</f>
        <v>1.3420000000000004E-4</v>
      </c>
      <c r="M2" s="2" t="s">
        <v>68</v>
      </c>
      <c r="N2" s="2" t="s">
        <v>69</v>
      </c>
      <c r="O2" s="40"/>
      <c r="P2" s="40"/>
    </row>
    <row r="3" spans="2:16" x14ac:dyDescent="0.2">
      <c r="B3" t="s">
        <v>99</v>
      </c>
      <c r="C3" t="s">
        <v>70</v>
      </c>
      <c r="D3" s="11">
        <v>3.3E-3</v>
      </c>
      <c r="G3" s="75" t="s">
        <v>132</v>
      </c>
      <c r="H3" s="75">
        <f>+AVERAGE(J15,J48:J59)</f>
        <v>1.8733333333333332E-3</v>
      </c>
      <c r="L3" s="27" t="s">
        <v>71</v>
      </c>
      <c r="M3" s="60">
        <f>+AVERAGE(M11:M59)</f>
        <v>3.0553554540890029</v>
      </c>
      <c r="N3" s="62">
        <f>+AVERAGE(N11:N59)</f>
        <v>1.5821429375507852</v>
      </c>
      <c r="P3">
        <f>+LN(10^M3)</f>
        <v>7.0352159223833919</v>
      </c>
    </row>
    <row r="4" spans="2:16" ht="16" thickBot="1" x14ac:dyDescent="0.25">
      <c r="B4" t="s">
        <v>99</v>
      </c>
      <c r="C4" t="s">
        <v>72</v>
      </c>
      <c r="D4">
        <v>3.51</v>
      </c>
      <c r="L4" s="28" t="s">
        <v>73</v>
      </c>
      <c r="M4" s="61">
        <f>+STDEV(M11:M59)</f>
        <v>0.78225335236654558</v>
      </c>
      <c r="N4" s="63">
        <f>+STDEV(N11:N59)</f>
        <v>1.1528959667123455</v>
      </c>
      <c r="O4" s="42"/>
      <c r="P4">
        <f>+LN(10^M4)</f>
        <v>1.8012049081038266</v>
      </c>
    </row>
    <row r="5" spans="2:16" x14ac:dyDescent="0.2">
      <c r="C5" t="s">
        <v>74</v>
      </c>
      <c r="D5" s="12">
        <f>+((19.35+51.3)/2)/10</f>
        <v>3.5325000000000002</v>
      </c>
      <c r="E5" t="s">
        <v>128</v>
      </c>
    </row>
    <row r="6" spans="2:16" ht="17" x14ac:dyDescent="0.2">
      <c r="C6" t="s">
        <v>75</v>
      </c>
      <c r="D6" s="13">
        <f>+D3*(D5^D4)</f>
        <v>0.2768741169215283</v>
      </c>
      <c r="E6" t="s">
        <v>76</v>
      </c>
      <c r="F6" s="3" t="s">
        <v>77</v>
      </c>
      <c r="H6" s="3" t="s">
        <v>78</v>
      </c>
    </row>
    <row r="7" spans="2:16" ht="17" x14ac:dyDescent="0.2">
      <c r="B7" s="14" t="s">
        <v>79</v>
      </c>
      <c r="C7" s="15" t="s">
        <v>80</v>
      </c>
      <c r="D7" s="16"/>
      <c r="E7" s="16"/>
      <c r="F7" s="3" t="s">
        <v>92</v>
      </c>
      <c r="G7" s="16"/>
      <c r="H7" s="26" t="s">
        <v>93</v>
      </c>
      <c r="J7" t="s">
        <v>137</v>
      </c>
      <c r="K7">
        <f>+MAX(K11:K59)</f>
        <v>46145.686153588053</v>
      </c>
    </row>
    <row r="8" spans="2:16" x14ac:dyDescent="0.2">
      <c r="J8" t="s">
        <v>138</v>
      </c>
      <c r="K8">
        <f>+MIN(K11:K59)</f>
        <v>46.030609629514267</v>
      </c>
    </row>
    <row r="9" spans="2:16" x14ac:dyDescent="0.2">
      <c r="B9" s="4"/>
      <c r="C9" s="4"/>
      <c r="D9" s="4" t="s">
        <v>47</v>
      </c>
      <c r="E9" s="4"/>
      <c r="F9" s="4"/>
      <c r="G9" s="20"/>
      <c r="H9" s="4"/>
      <c r="I9" s="4"/>
      <c r="J9" s="4"/>
      <c r="K9" s="47" t="s">
        <v>81</v>
      </c>
      <c r="L9" s="47" t="s">
        <v>82</v>
      </c>
      <c r="M9" s="4"/>
      <c r="N9" s="4"/>
    </row>
    <row r="10" spans="2:16" x14ac:dyDescent="0.2">
      <c r="B10" s="5" t="s">
        <v>45</v>
      </c>
      <c r="C10" s="5"/>
      <c r="D10" s="6" t="s">
        <v>46</v>
      </c>
      <c r="E10" s="6" t="s">
        <v>83</v>
      </c>
      <c r="F10" s="6" t="s">
        <v>94</v>
      </c>
      <c r="G10" s="6" t="s">
        <v>87</v>
      </c>
      <c r="H10" s="22" t="s">
        <v>88</v>
      </c>
      <c r="I10" s="23" t="s">
        <v>123</v>
      </c>
      <c r="J10" s="49" t="s">
        <v>122</v>
      </c>
      <c r="K10" s="6" t="s">
        <v>84</v>
      </c>
      <c r="L10" s="6" t="s">
        <v>85</v>
      </c>
      <c r="M10" s="6" t="s">
        <v>68</v>
      </c>
      <c r="N10" s="6" t="s">
        <v>69</v>
      </c>
    </row>
    <row r="11" spans="2:16" x14ac:dyDescent="0.2">
      <c r="B11" s="8" t="s">
        <v>0</v>
      </c>
      <c r="C11" s="8"/>
      <c r="D11" s="8"/>
      <c r="F11" s="7"/>
      <c r="G11" s="7"/>
      <c r="H11" s="7"/>
      <c r="I11" s="7"/>
      <c r="J11" s="50"/>
      <c r="K11" s="7"/>
      <c r="L11" s="7"/>
      <c r="M11" s="7"/>
      <c r="N11" s="7"/>
    </row>
    <row r="12" spans="2:16" x14ac:dyDescent="0.2">
      <c r="B12" s="1" t="s">
        <v>1</v>
      </c>
      <c r="C12" t="s">
        <v>2</v>
      </c>
      <c r="G12" s="18"/>
      <c r="H12" s="3"/>
      <c r="I12" s="3"/>
      <c r="J12" s="48"/>
    </row>
    <row r="13" spans="2:16" x14ac:dyDescent="0.2">
      <c r="B13" s="8" t="s">
        <v>3</v>
      </c>
      <c r="C13" s="8"/>
      <c r="D13" s="8">
        <v>1</v>
      </c>
      <c r="F13" s="7"/>
      <c r="G13" s="7"/>
      <c r="H13" s="7"/>
      <c r="I13" s="7"/>
      <c r="J13" s="50"/>
      <c r="K13" s="7"/>
      <c r="L13" s="7"/>
      <c r="M13" s="7"/>
      <c r="N13" s="7"/>
    </row>
    <row r="14" spans="2:16" x14ac:dyDescent="0.2">
      <c r="B14" s="1" t="s">
        <v>4</v>
      </c>
      <c r="C14" t="s">
        <v>95</v>
      </c>
      <c r="H14" s="7"/>
      <c r="J14" s="48"/>
    </row>
    <row r="15" spans="2:16" x14ac:dyDescent="0.2">
      <c r="B15" s="1" t="s">
        <v>4</v>
      </c>
      <c r="C15" t="s">
        <v>5</v>
      </c>
      <c r="D15">
        <v>1</v>
      </c>
      <c r="E15">
        <f>+D15/$D$1</f>
        <v>3.0864197530864196E-3</v>
      </c>
      <c r="F15">
        <f>+(E15/$D$2)</f>
        <v>5.2356020942408371E-3</v>
      </c>
      <c r="G15">
        <v>5.25</v>
      </c>
      <c r="H15" t="s">
        <v>86</v>
      </c>
      <c r="I15" s="41">
        <v>6.0149999999999997</v>
      </c>
      <c r="J15" s="48">
        <f>+I15*10^-3</f>
        <v>6.0149999999999995E-3</v>
      </c>
      <c r="K15">
        <f>+$D$6/J15</f>
        <v>46.030609629514267</v>
      </c>
      <c r="L15">
        <f>+($D$6/J15)*F15</f>
        <v>0.24099795617546735</v>
      </c>
      <c r="M15">
        <f>+LOG(K15)</f>
        <v>1.6630467267293167</v>
      </c>
      <c r="N15">
        <f>+LOG(L15)</f>
        <v>-0.6179866405184109</v>
      </c>
      <c r="P15">
        <f>+J15*E15</f>
        <v>1.8564814814814813E-5</v>
      </c>
    </row>
    <row r="16" spans="2:16" x14ac:dyDescent="0.2">
      <c r="B16" s="8" t="s">
        <v>6</v>
      </c>
      <c r="C16" s="8"/>
      <c r="D16" s="8">
        <v>3</v>
      </c>
      <c r="F16" s="7"/>
      <c r="G16" s="7"/>
      <c r="H16" s="7"/>
      <c r="I16" s="44"/>
      <c r="J16" s="50"/>
      <c r="K16" s="7"/>
      <c r="L16" s="7"/>
      <c r="M16" s="7"/>
      <c r="N16" s="7"/>
    </row>
    <row r="17" spans="2:16" x14ac:dyDescent="0.2">
      <c r="B17" s="1" t="s">
        <v>7</v>
      </c>
      <c r="C17" t="s">
        <v>8</v>
      </c>
      <c r="D17">
        <v>3</v>
      </c>
      <c r="E17">
        <f>+D17/$D$1</f>
        <v>9.2592592592592587E-3</v>
      </c>
      <c r="F17">
        <f>+(E17/$D$2)</f>
        <v>1.5706806282722509E-2</v>
      </c>
      <c r="I17" s="41"/>
      <c r="J17" s="75">
        <v>1.8733333333333334E-3</v>
      </c>
      <c r="K17">
        <f>+$D$6/J17</f>
        <v>147.79757131042436</v>
      </c>
      <c r="L17">
        <f>+($D$6/J17)*F17</f>
        <v>2.3214278216297015</v>
      </c>
      <c r="M17">
        <f>+LOG(K17)</f>
        <v>2.1696672975557814</v>
      </c>
      <c r="N17">
        <f>+LOG(L17)</f>
        <v>0.36575518502771631</v>
      </c>
      <c r="P17">
        <f>+J17*E17</f>
        <v>1.734567901234568E-5</v>
      </c>
    </row>
    <row r="18" spans="2:16" x14ac:dyDescent="0.2">
      <c r="B18" s="8" t="s">
        <v>9</v>
      </c>
      <c r="C18" s="8"/>
      <c r="D18" s="8">
        <v>1</v>
      </c>
      <c r="G18" s="7"/>
      <c r="H18" s="7"/>
      <c r="I18" s="44"/>
      <c r="J18" s="50"/>
      <c r="K18" s="7"/>
      <c r="L18" s="7"/>
      <c r="M18" s="7"/>
      <c r="N18" s="7"/>
    </row>
    <row r="19" spans="2:16" x14ac:dyDescent="0.2">
      <c r="B19" s="1" t="s">
        <v>1</v>
      </c>
      <c r="C19" t="s">
        <v>10</v>
      </c>
      <c r="I19" s="41"/>
      <c r="J19" s="48"/>
    </row>
    <row r="20" spans="2:16" x14ac:dyDescent="0.2">
      <c r="B20" s="1"/>
      <c r="I20" s="41"/>
      <c r="J20" s="48"/>
    </row>
    <row r="21" spans="2:16" x14ac:dyDescent="0.2">
      <c r="B21" s="8" t="s">
        <v>11</v>
      </c>
      <c r="C21" s="8"/>
      <c r="D21" s="8">
        <v>2</v>
      </c>
      <c r="G21" s="7"/>
      <c r="H21" s="7"/>
      <c r="I21" s="44"/>
      <c r="J21" s="50"/>
      <c r="K21" s="7"/>
      <c r="L21" s="7"/>
      <c r="M21" s="7"/>
      <c r="N21" s="7"/>
    </row>
    <row r="22" spans="2:16" x14ac:dyDescent="0.2">
      <c r="B22" s="1" t="s">
        <v>12</v>
      </c>
      <c r="C22" t="s">
        <v>13</v>
      </c>
      <c r="I22" s="41"/>
      <c r="J22" s="48"/>
    </row>
    <row r="23" spans="2:16" x14ac:dyDescent="0.2">
      <c r="B23" s="8" t="s">
        <v>14</v>
      </c>
      <c r="C23" s="8"/>
      <c r="D23" s="8">
        <v>312</v>
      </c>
      <c r="G23" s="7"/>
      <c r="H23" s="7"/>
      <c r="I23" s="44"/>
      <c r="J23" s="50"/>
      <c r="K23" s="7"/>
      <c r="L23" s="7"/>
      <c r="M23" s="7"/>
      <c r="N23" s="7"/>
    </row>
    <row r="24" spans="2:16" x14ac:dyDescent="0.2">
      <c r="B24" s="21" t="s">
        <v>15</v>
      </c>
      <c r="C24" s="8"/>
      <c r="D24" s="8">
        <v>138</v>
      </c>
      <c r="I24" s="41"/>
      <c r="J24" s="48"/>
    </row>
    <row r="25" spans="2:16" x14ac:dyDescent="0.2">
      <c r="B25" s="3" t="s">
        <v>16</v>
      </c>
      <c r="C25" t="s">
        <v>17</v>
      </c>
      <c r="G25" s="19"/>
      <c r="I25" s="41"/>
      <c r="J25" s="48"/>
    </row>
    <row r="26" spans="2:16" x14ac:dyDescent="0.2">
      <c r="B26" s="3" t="s">
        <v>18</v>
      </c>
      <c r="C26" t="s">
        <v>19</v>
      </c>
      <c r="I26" s="41"/>
      <c r="J26" s="48"/>
    </row>
    <row r="27" spans="2:16" x14ac:dyDescent="0.2">
      <c r="B27" s="3" t="s">
        <v>20</v>
      </c>
      <c r="C27" t="s">
        <v>13</v>
      </c>
      <c r="G27" s="19"/>
      <c r="I27" s="41"/>
      <c r="J27" s="48"/>
    </row>
    <row r="28" spans="2:16" x14ac:dyDescent="0.2">
      <c r="B28" s="3" t="s">
        <v>21</v>
      </c>
      <c r="C28" t="s">
        <v>13</v>
      </c>
      <c r="I28" s="41"/>
      <c r="J28" s="48"/>
    </row>
    <row r="29" spans="2:16" x14ac:dyDescent="0.2">
      <c r="B29" s="3" t="s">
        <v>22</v>
      </c>
      <c r="C29" t="s">
        <v>13</v>
      </c>
      <c r="D29">
        <v>5</v>
      </c>
      <c r="E29">
        <f t="shared" ref="E29:E30" si="0">+D29/$D$1</f>
        <v>1.5432098765432098E-2</v>
      </c>
      <c r="F29">
        <f t="shared" ref="F29:F30" si="1">+(E29/$D$2)</f>
        <v>2.6178010471204185E-2</v>
      </c>
      <c r="I29" s="41"/>
      <c r="J29" s="73">
        <v>1.3420000000000004E-4</v>
      </c>
      <c r="K29">
        <f t="shared" ref="K29:K30" si="2">+$D$6/J29</f>
        <v>2063.1454316060226</v>
      </c>
      <c r="L29">
        <f t="shared" ref="L29:L30" si="3">+($D$6/J29)*F29</f>
        <v>54.009042712199538</v>
      </c>
      <c r="M29">
        <f t="shared" ref="M29:M30" si="4">+LOG(K29)</f>
        <v>3.314529842572207</v>
      </c>
      <c r="N29">
        <f t="shared" ref="N29:N30" si="5">+LOG(L29)</f>
        <v>1.732466479660498</v>
      </c>
      <c r="P29">
        <f t="shared" ref="P29:P30" si="6">+J29*E29</f>
        <v>2.0709876543209883E-6</v>
      </c>
    </row>
    <row r="30" spans="2:16" x14ac:dyDescent="0.2">
      <c r="B30" s="3" t="s">
        <v>23</v>
      </c>
      <c r="C30" t="s">
        <v>24</v>
      </c>
      <c r="D30">
        <v>6</v>
      </c>
      <c r="E30">
        <f t="shared" si="0"/>
        <v>1.8518518518518517E-2</v>
      </c>
      <c r="F30">
        <f t="shared" si="1"/>
        <v>3.1413612565445018E-2</v>
      </c>
      <c r="G30" s="19"/>
      <c r="I30" s="41"/>
      <c r="J30" s="73">
        <v>1.3420000000000004E-4</v>
      </c>
      <c r="K30">
        <f t="shared" si="2"/>
        <v>2063.1454316060226</v>
      </c>
      <c r="L30">
        <f t="shared" si="3"/>
        <v>64.810851254639431</v>
      </c>
      <c r="M30">
        <f t="shared" si="4"/>
        <v>3.314529842572207</v>
      </c>
      <c r="N30">
        <f t="shared" si="5"/>
        <v>1.8116477257081227</v>
      </c>
      <c r="P30">
        <f t="shared" si="6"/>
        <v>2.4851851851851858E-6</v>
      </c>
    </row>
    <row r="31" spans="2:16" x14ac:dyDescent="0.2">
      <c r="B31" s="3" t="s">
        <v>25</v>
      </c>
      <c r="C31" t="s">
        <v>26</v>
      </c>
      <c r="I31" s="41"/>
      <c r="J31" s="48"/>
    </row>
    <row r="32" spans="2:16" x14ac:dyDescent="0.2">
      <c r="B32" s="3" t="s">
        <v>27</v>
      </c>
      <c r="C32" t="s">
        <v>28</v>
      </c>
      <c r="I32" s="41"/>
      <c r="J32" s="48"/>
    </row>
    <row r="33" spans="2:16" x14ac:dyDescent="0.2">
      <c r="B33" s="3" t="s">
        <v>29</v>
      </c>
      <c r="C33" t="s">
        <v>30</v>
      </c>
      <c r="I33" s="41"/>
      <c r="J33" s="48"/>
    </row>
    <row r="34" spans="2:16" x14ac:dyDescent="0.2">
      <c r="B34" s="3" t="s">
        <v>31</v>
      </c>
      <c r="C34" t="s">
        <v>28</v>
      </c>
      <c r="D34">
        <v>2</v>
      </c>
      <c r="E34">
        <f>+D34/$D$1</f>
        <v>6.1728395061728392E-3</v>
      </c>
      <c r="F34">
        <f>+(E34/$D$2)</f>
        <v>1.0471204188481674E-2</v>
      </c>
      <c r="I34" s="41"/>
      <c r="J34" s="73">
        <v>1.3420000000000004E-4</v>
      </c>
      <c r="K34">
        <f>+$D$6/J34</f>
        <v>2063.1454316060226</v>
      </c>
      <c r="L34">
        <f>+($D$6/J34)*F34</f>
        <v>21.603617084879815</v>
      </c>
      <c r="M34">
        <f>+LOG(K34)</f>
        <v>3.314529842572207</v>
      </c>
      <c r="N34">
        <f>+LOG(L34)</f>
        <v>1.3345264709884603</v>
      </c>
      <c r="P34">
        <f>+J34*E34</f>
        <v>8.2839506172839525E-7</v>
      </c>
    </row>
    <row r="35" spans="2:16" x14ac:dyDescent="0.2">
      <c r="B35" s="3" t="s">
        <v>32</v>
      </c>
      <c r="C35" t="s">
        <v>33</v>
      </c>
      <c r="I35" s="41"/>
      <c r="J35" s="48"/>
    </row>
    <row r="36" spans="2:16" x14ac:dyDescent="0.2">
      <c r="B36" s="3" t="s">
        <v>32</v>
      </c>
      <c r="C36" t="s">
        <v>34</v>
      </c>
      <c r="I36" s="41"/>
      <c r="J36" s="48"/>
    </row>
    <row r="37" spans="2:16" x14ac:dyDescent="0.2">
      <c r="B37" s="3" t="s">
        <v>32</v>
      </c>
      <c r="C37" t="s">
        <v>13</v>
      </c>
      <c r="I37" s="41"/>
      <c r="J37" s="48"/>
    </row>
    <row r="38" spans="2:16" x14ac:dyDescent="0.2">
      <c r="B38" s="3" t="s">
        <v>35</v>
      </c>
      <c r="C38" t="s">
        <v>36</v>
      </c>
      <c r="D38">
        <v>13</v>
      </c>
      <c r="E38">
        <f t="shared" ref="E38:E53" si="7">+D38/$D$1</f>
        <v>4.0123456790123455E-2</v>
      </c>
      <c r="F38">
        <f>+(E38/$D$2)</f>
        <v>6.8062827225130879E-2</v>
      </c>
      <c r="G38">
        <v>1.5</v>
      </c>
      <c r="H38" t="s">
        <v>86</v>
      </c>
      <c r="I38" s="43">
        <v>0.26</v>
      </c>
      <c r="J38" s="48">
        <f>+I38*10^-3</f>
        <v>2.6000000000000003E-4</v>
      </c>
      <c r="K38">
        <f>+$D$6/J38</f>
        <v>1064.9004496981856</v>
      </c>
      <c r="L38">
        <f>+($D$6/J38)*F38</f>
        <v>72.48013531977179</v>
      </c>
      <c r="M38">
        <f t="shared" ref="M38:N38" si="8">+LOG(K38)</f>
        <v>3.0273090104343621</v>
      </c>
      <c r="N38">
        <f t="shared" si="8"/>
        <v>1.8602189954934714</v>
      </c>
      <c r="P38">
        <f>+J38*E38</f>
        <v>1.04320987654321E-5</v>
      </c>
    </row>
    <row r="39" spans="2:16" x14ac:dyDescent="0.2">
      <c r="B39" s="3" t="s">
        <v>37</v>
      </c>
      <c r="C39" t="s">
        <v>38</v>
      </c>
      <c r="I39" s="43"/>
      <c r="J39" s="48"/>
    </row>
    <row r="40" spans="2:16" x14ac:dyDescent="0.2">
      <c r="B40" s="3" t="s">
        <v>39</v>
      </c>
      <c r="C40" t="s">
        <v>13</v>
      </c>
      <c r="I40" s="41"/>
      <c r="J40" s="48"/>
    </row>
    <row r="41" spans="2:16" x14ac:dyDescent="0.2">
      <c r="B41" s="3" t="s">
        <v>40</v>
      </c>
      <c r="C41" t="s">
        <v>13</v>
      </c>
      <c r="I41" s="41"/>
      <c r="J41" s="48"/>
    </row>
    <row r="42" spans="2:16" x14ac:dyDescent="0.2">
      <c r="B42" s="3" t="s">
        <v>41</v>
      </c>
      <c r="C42" t="s">
        <v>13</v>
      </c>
      <c r="D42">
        <v>23</v>
      </c>
      <c r="E42">
        <f t="shared" si="7"/>
        <v>7.098765432098765E-2</v>
      </c>
      <c r="F42">
        <f t="shared" ref="F42:F45" si="9">+(E42/$D$2)</f>
        <v>0.12041884816753924</v>
      </c>
      <c r="G42">
        <v>1</v>
      </c>
      <c r="H42" t="s">
        <v>86</v>
      </c>
      <c r="I42" s="43">
        <v>0.1308</v>
      </c>
      <c r="J42" s="53">
        <f>+I42*10^-3</f>
        <v>1.3080000000000001E-4</v>
      </c>
      <c r="K42">
        <f>+$D$6/J42</f>
        <v>2116.7745942012866</v>
      </c>
      <c r="L42">
        <f>+($D$6/J42)*F42</f>
        <v>254.89955846402921</v>
      </c>
      <c r="M42">
        <f t="shared" ref="M42:N45" si="10">+LOG(K42)</f>
        <v>3.3256746144169318</v>
      </c>
      <c r="N42">
        <f t="shared" si="10"/>
        <v>2.4063690831867968</v>
      </c>
      <c r="P42">
        <f t="shared" ref="P42:P45" si="11">+J42*E42</f>
        <v>9.2851851851851847E-6</v>
      </c>
    </row>
    <row r="43" spans="2:16" x14ac:dyDescent="0.2">
      <c r="B43" s="3" t="s">
        <v>42</v>
      </c>
      <c r="D43">
        <v>26</v>
      </c>
      <c r="E43">
        <f t="shared" si="7"/>
        <v>8.0246913580246909E-2</v>
      </c>
      <c r="F43">
        <f t="shared" si="9"/>
        <v>0.13612565445026176</v>
      </c>
      <c r="G43">
        <v>1.59</v>
      </c>
      <c r="I43" s="43">
        <v>0.14000000000000001</v>
      </c>
      <c r="J43" s="48">
        <f>+I43*10^-3</f>
        <v>1.4000000000000001E-4</v>
      </c>
      <c r="K43">
        <f>+$D$6/J43</f>
        <v>1977.6722637252019</v>
      </c>
      <c r="L43">
        <f>+($D$6/J43)*F43</f>
        <v>269.21193118772379</v>
      </c>
      <c r="M43">
        <f t="shared" si="10"/>
        <v>3.2961543227269421</v>
      </c>
      <c r="N43">
        <f t="shared" si="10"/>
        <v>2.4300943034500326</v>
      </c>
      <c r="P43">
        <f t="shared" si="11"/>
        <v>1.1234567901234569E-5</v>
      </c>
    </row>
    <row r="44" spans="2:16" x14ac:dyDescent="0.2">
      <c r="B44" s="3" t="s">
        <v>43</v>
      </c>
      <c r="D44">
        <v>51</v>
      </c>
      <c r="E44">
        <f t="shared" si="7"/>
        <v>0.15740740740740741</v>
      </c>
      <c r="F44">
        <f t="shared" si="9"/>
        <v>0.26701570680628273</v>
      </c>
      <c r="G44" s="19"/>
      <c r="I44" s="41"/>
      <c r="J44" s="73">
        <v>1.3420000000000004E-4</v>
      </c>
      <c r="K44">
        <f>+$D$6/J44</f>
        <v>2063.1454316060226</v>
      </c>
      <c r="L44">
        <f>+($D$6/J44)*F44</f>
        <v>550.89223566443536</v>
      </c>
      <c r="M44">
        <f t="shared" si="10"/>
        <v>3.314529842572207</v>
      </c>
      <c r="N44">
        <f t="shared" si="10"/>
        <v>2.7410666514224156</v>
      </c>
      <c r="P44">
        <f t="shared" si="11"/>
        <v>2.112407407407408E-5</v>
      </c>
    </row>
    <row r="45" spans="2:16" x14ac:dyDescent="0.2">
      <c r="B45" s="3" t="s">
        <v>44</v>
      </c>
      <c r="D45">
        <v>12</v>
      </c>
      <c r="E45">
        <f t="shared" si="7"/>
        <v>3.7037037037037035E-2</v>
      </c>
      <c r="F45">
        <f t="shared" si="9"/>
        <v>6.2827225130890035E-2</v>
      </c>
      <c r="G45">
        <v>0.5</v>
      </c>
      <c r="H45" t="s">
        <v>86</v>
      </c>
      <c r="I45" s="43">
        <v>6.0000000000000001E-3</v>
      </c>
      <c r="J45" s="48">
        <f>+I45*10^-3</f>
        <v>6.0000000000000002E-6</v>
      </c>
      <c r="K45">
        <f>+$D$6/J45</f>
        <v>46145.686153588053</v>
      </c>
      <c r="L45">
        <f>+($D$6/J45)*F45</f>
        <v>2899.2054127908718</v>
      </c>
      <c r="M45">
        <f t="shared" si="10"/>
        <v>4.6641311080215369</v>
      </c>
      <c r="N45">
        <f t="shared" si="10"/>
        <v>3.4622789868214339</v>
      </c>
      <c r="P45">
        <f t="shared" si="11"/>
        <v>2.2222222222222222E-7</v>
      </c>
    </row>
    <row r="46" spans="2:16" x14ac:dyDescent="0.2">
      <c r="B46" s="21" t="s">
        <v>1</v>
      </c>
      <c r="C46" s="8" t="s">
        <v>51</v>
      </c>
      <c r="D46" s="8"/>
      <c r="E46" s="8"/>
      <c r="I46" s="41"/>
      <c r="J46" s="48"/>
    </row>
    <row r="47" spans="2:16" x14ac:dyDescent="0.2">
      <c r="B47" s="1" t="s">
        <v>52</v>
      </c>
      <c r="C47" t="s">
        <v>53</v>
      </c>
      <c r="G47" s="24"/>
      <c r="I47" s="41"/>
      <c r="J47" s="48"/>
    </row>
    <row r="48" spans="2:16" x14ac:dyDescent="0.2">
      <c r="B48" t="s">
        <v>1</v>
      </c>
      <c r="C48" t="s">
        <v>54</v>
      </c>
      <c r="D48">
        <v>26</v>
      </c>
      <c r="E48">
        <f t="shared" si="7"/>
        <v>8.0246913580246909E-2</v>
      </c>
      <c r="F48">
        <f t="shared" ref="F48:F50" si="12">+(E48/$D$2)</f>
        <v>0.13612565445026176</v>
      </c>
      <c r="G48" s="25">
        <v>0.75</v>
      </c>
      <c r="H48" t="s">
        <v>86</v>
      </c>
      <c r="I48" s="41">
        <v>8.1000000000000003E-2</v>
      </c>
      <c r="J48" s="48">
        <f>+I48*10^-3</f>
        <v>8.1000000000000004E-5</v>
      </c>
      <c r="K48">
        <f>+$D$6/J48</f>
        <v>3418.1989743398553</v>
      </c>
      <c r="L48">
        <f>+($D$6/J48)*F48</f>
        <v>465.30457242322632</v>
      </c>
      <c r="M48">
        <f t="shared" ref="M48:N50" si="13">+LOG(K48)</f>
        <v>3.5337973395265303</v>
      </c>
      <c r="N48">
        <f t="shared" si="13"/>
        <v>2.6677373202496208</v>
      </c>
      <c r="P48">
        <f>+J48*E48</f>
        <v>6.4999999999999996E-6</v>
      </c>
    </row>
    <row r="49" spans="2:16" x14ac:dyDescent="0.2">
      <c r="B49" t="s">
        <v>1</v>
      </c>
      <c r="C49" t="s">
        <v>55</v>
      </c>
      <c r="D49">
        <v>1</v>
      </c>
      <c r="E49">
        <f t="shared" si="7"/>
        <v>3.0864197530864196E-3</v>
      </c>
      <c r="F49">
        <f t="shared" si="12"/>
        <v>5.2356020942408371E-3</v>
      </c>
      <c r="I49" s="41"/>
      <c r="J49" s="48"/>
    </row>
    <row r="50" spans="2:16" x14ac:dyDescent="0.2">
      <c r="B50" t="s">
        <v>1</v>
      </c>
      <c r="C50" t="s">
        <v>56</v>
      </c>
      <c r="D50">
        <v>7</v>
      </c>
      <c r="E50">
        <f t="shared" si="7"/>
        <v>2.1604938271604937E-2</v>
      </c>
      <c r="F50">
        <f t="shared" si="12"/>
        <v>3.6649214659685861E-2</v>
      </c>
      <c r="G50" s="19">
        <v>7.83</v>
      </c>
      <c r="H50" t="s">
        <v>86</v>
      </c>
      <c r="I50" s="41">
        <v>4.58</v>
      </c>
      <c r="J50" s="58">
        <f>+I50*10^-3</f>
        <v>4.5799999999999999E-3</v>
      </c>
      <c r="K50">
        <f>+$D$6/J50</f>
        <v>60.452863956665567</v>
      </c>
      <c r="L50">
        <f>+($D$6/J50)*F50</f>
        <v>2.2155499879406229</v>
      </c>
      <c r="M50">
        <f t="shared" si="13"/>
        <v>1.7814168804013111</v>
      </c>
      <c r="N50">
        <f t="shared" si="13"/>
        <v>0.34548155316784029</v>
      </c>
      <c r="P50">
        <f>+J50*E50</f>
        <v>9.8950617283950605E-5</v>
      </c>
    </row>
    <row r="51" spans="2:16" x14ac:dyDescent="0.2">
      <c r="B51" s="8" t="s">
        <v>1</v>
      </c>
      <c r="C51" s="8" t="s">
        <v>57</v>
      </c>
      <c r="D51" s="8">
        <v>1</v>
      </c>
      <c r="E51" s="8"/>
      <c r="I51" s="41"/>
      <c r="J51" s="58"/>
    </row>
    <row r="52" spans="2:16" x14ac:dyDescent="0.2">
      <c r="B52" s="1" t="s">
        <v>58</v>
      </c>
      <c r="G52" s="19"/>
      <c r="I52" s="41"/>
      <c r="J52" s="48"/>
    </row>
    <row r="53" spans="2:16" x14ac:dyDescent="0.2">
      <c r="B53" s="1" t="s">
        <v>59</v>
      </c>
      <c r="C53" t="s">
        <v>96</v>
      </c>
      <c r="D53">
        <v>1</v>
      </c>
      <c r="E53">
        <f t="shared" si="7"/>
        <v>3.0864197530864196E-3</v>
      </c>
      <c r="F53">
        <f>+(E53/$D$2)</f>
        <v>5.2356020942408371E-3</v>
      </c>
      <c r="I53" s="41"/>
      <c r="J53" s="75">
        <v>1.8733333333333334E-3</v>
      </c>
      <c r="K53">
        <f>+$D$6/J53</f>
        <v>147.79757131042436</v>
      </c>
      <c r="L53">
        <f>+($D$6/J53)*F53</f>
        <v>0.77380927387656728</v>
      </c>
      <c r="M53">
        <f>+LOG(K53)</f>
        <v>2.1696672975557814</v>
      </c>
      <c r="N53">
        <f>+LOG(L53)</f>
        <v>-0.11136606969194604</v>
      </c>
      <c r="P53">
        <f>+J53*E53</f>
        <v>5.7818930041152262E-6</v>
      </c>
    </row>
    <row r="54" spans="2:16" x14ac:dyDescent="0.2">
      <c r="B54" s="8" t="s">
        <v>60</v>
      </c>
      <c r="C54" s="8"/>
      <c r="D54" s="8">
        <v>9</v>
      </c>
      <c r="E54" s="7"/>
      <c r="G54" s="7"/>
      <c r="H54" s="7"/>
      <c r="I54" s="44"/>
      <c r="J54" s="50"/>
      <c r="K54" s="7"/>
      <c r="L54" s="7"/>
      <c r="M54" s="7"/>
      <c r="N54" s="7"/>
    </row>
    <row r="55" spans="2:16" x14ac:dyDescent="0.2">
      <c r="B55" s="1" t="s">
        <v>1</v>
      </c>
      <c r="C55" t="s">
        <v>61</v>
      </c>
      <c r="I55" s="41"/>
      <c r="J55" s="48"/>
    </row>
    <row r="56" spans="2:16" x14ac:dyDescent="0.2">
      <c r="B56" s="1" t="s">
        <v>62</v>
      </c>
      <c r="C56" t="s">
        <v>13</v>
      </c>
      <c r="D56">
        <v>9</v>
      </c>
      <c r="E56">
        <f t="shared" ref="E56" si="14">+D56/$D$1</f>
        <v>2.7777777777777776E-2</v>
      </c>
      <c r="F56">
        <f>+(E56/$D$2)</f>
        <v>4.7120418848167533E-2</v>
      </c>
      <c r="G56">
        <v>0.39</v>
      </c>
      <c r="H56" t="s">
        <v>86</v>
      </c>
      <c r="I56" s="41">
        <v>0.03</v>
      </c>
      <c r="J56" s="48">
        <f>+I56*10^-3</f>
        <v>3.0000000000000001E-5</v>
      </c>
      <c r="K56">
        <f>+$D$6/J56</f>
        <v>9229.1372307176098</v>
      </c>
      <c r="L56">
        <f>+($D$6/J56)*F56</f>
        <v>434.8808119186308</v>
      </c>
      <c r="M56">
        <f>+LOG(K56)</f>
        <v>3.9651611036855177</v>
      </c>
      <c r="N56">
        <f>+LOG(L56)</f>
        <v>2.6383702458771152</v>
      </c>
      <c r="P56">
        <f>+J56*E56</f>
        <v>8.3333333333333333E-7</v>
      </c>
    </row>
    <row r="57" spans="2:16" x14ac:dyDescent="0.2">
      <c r="B57" s="8" t="s">
        <v>63</v>
      </c>
      <c r="C57" s="8"/>
      <c r="D57" s="8">
        <v>5</v>
      </c>
      <c r="E57" s="7"/>
      <c r="G57" s="7"/>
      <c r="H57" s="7"/>
      <c r="I57" s="44"/>
      <c r="J57" s="50"/>
      <c r="K57" s="7"/>
      <c r="L57" s="7"/>
      <c r="M57" s="7"/>
      <c r="N57" s="7"/>
    </row>
    <row r="58" spans="2:16" x14ac:dyDescent="0.2">
      <c r="B58" s="1" t="s">
        <v>64</v>
      </c>
      <c r="C58" t="s">
        <v>65</v>
      </c>
      <c r="D58">
        <v>3</v>
      </c>
      <c r="E58">
        <f t="shared" ref="E58:E59" si="15">+D58/$D$1</f>
        <v>9.2592592592592587E-3</v>
      </c>
      <c r="F58">
        <f t="shared" ref="F58:F59" si="16">+(E58/$D$2)</f>
        <v>1.5706806282722509E-2</v>
      </c>
      <c r="G58">
        <v>0.27</v>
      </c>
      <c r="H58" t="s">
        <v>90</v>
      </c>
      <c r="I58" s="41"/>
      <c r="J58" s="54">
        <v>2.6699999999999998E-4</v>
      </c>
      <c r="K58">
        <f>+$D$6/J58</f>
        <v>1036.9817113165855</v>
      </c>
      <c r="L58">
        <f>+($D$6/J58)*F58</f>
        <v>16.287670858375684</v>
      </c>
      <c r="M58">
        <f t="shared" ref="M58:N59" si="17">+LOG(K58)</f>
        <v>3.0157710970406049</v>
      </c>
      <c r="N58">
        <f t="shared" si="17"/>
        <v>1.2118589845125398</v>
      </c>
      <c r="P58">
        <f t="shared" ref="P58:P59" si="18">+J58*E58</f>
        <v>2.4722222222222218E-6</v>
      </c>
    </row>
    <row r="59" spans="2:16" x14ac:dyDescent="0.2">
      <c r="B59" s="1" t="s">
        <v>59</v>
      </c>
      <c r="D59">
        <v>2</v>
      </c>
      <c r="E59">
        <f t="shared" si="15"/>
        <v>6.1728395061728392E-3</v>
      </c>
      <c r="F59">
        <f t="shared" si="16"/>
        <v>1.0471204188481674E-2</v>
      </c>
      <c r="G59">
        <v>0.27</v>
      </c>
      <c r="H59" t="s">
        <v>90</v>
      </c>
      <c r="I59" s="41"/>
      <c r="J59" s="54">
        <v>2.6699999999999998E-4</v>
      </c>
      <c r="K59">
        <f>+$D$6/J59</f>
        <v>1036.9817113165855</v>
      </c>
      <c r="L59">
        <f>+($D$6/J59)*F59</f>
        <v>10.858447238917124</v>
      </c>
      <c r="M59">
        <f t="shared" si="17"/>
        <v>3.0157710970406049</v>
      </c>
      <c r="N59">
        <f t="shared" si="17"/>
        <v>1.0357677254568587</v>
      </c>
      <c r="P59">
        <f t="shared" si="18"/>
        <v>1.6481481481481479E-6</v>
      </c>
    </row>
    <row r="61" spans="2:16" x14ac:dyDescent="0.2">
      <c r="P61">
        <f>SUM(P15:P59)</f>
        <v>2.0977942386831276E-4</v>
      </c>
    </row>
    <row r="62" spans="2:16" x14ac:dyDescent="0.2">
      <c r="P62">
        <f>+P58/P61</f>
        <v>1.1784865153286616E-2</v>
      </c>
    </row>
  </sheetData>
  <mergeCells count="1">
    <mergeCell ref="G1:J1"/>
  </mergeCells>
  <hyperlinks>
    <hyperlink ref="C7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61"/>
  <sheetViews>
    <sheetView zoomScale="75" zoomScaleNormal="75" zoomScalePageLayoutView="75" workbookViewId="0">
      <selection activeCell="P61" sqref="P61"/>
    </sheetView>
  </sheetViews>
  <sheetFormatPr baseColWidth="10" defaultColWidth="8.83203125" defaultRowHeight="15" x14ac:dyDescent="0.2"/>
  <cols>
    <col min="2" max="2" width="17.33203125" customWidth="1"/>
    <col min="3" max="3" width="21" customWidth="1"/>
    <col min="4" max="4" width="13.83203125" customWidth="1"/>
    <col min="5" max="5" width="12.5" customWidth="1"/>
    <col min="6" max="6" width="10" customWidth="1"/>
    <col min="7" max="7" width="22.1640625" customWidth="1"/>
    <col min="8" max="8" width="12.6640625" customWidth="1"/>
    <col min="9" max="9" width="14.33203125" customWidth="1"/>
    <col min="10" max="10" width="20.33203125" style="51" customWidth="1"/>
    <col min="11" max="12" width="26.5" customWidth="1"/>
    <col min="13" max="13" width="12.5" customWidth="1"/>
    <col min="14" max="14" width="11.33203125" customWidth="1"/>
    <col min="16" max="16" width="11.83203125" bestFit="1" customWidth="1"/>
  </cols>
  <sheetData>
    <row r="1" spans="2:16" x14ac:dyDescent="0.2">
      <c r="C1" t="s">
        <v>66</v>
      </c>
      <c r="D1">
        <v>92</v>
      </c>
      <c r="G1" s="84" t="s">
        <v>127</v>
      </c>
      <c r="H1" s="84"/>
      <c r="I1" s="84"/>
      <c r="J1" s="84"/>
    </row>
    <row r="2" spans="2:16" ht="16" thickBot="1" x14ac:dyDescent="0.25">
      <c r="C2" t="s">
        <v>67</v>
      </c>
      <c r="D2" s="10">
        <f>+SUM(E11:E103)</f>
        <v>3.0652173913043486</v>
      </c>
      <c r="G2" s="71" t="s">
        <v>133</v>
      </c>
      <c r="H2" s="78">
        <f>+AVERAGE(J26:J45)</f>
        <v>1.20568E-4</v>
      </c>
      <c r="M2" s="2" t="s">
        <v>68</v>
      </c>
      <c r="N2" s="2" t="s">
        <v>69</v>
      </c>
      <c r="O2" s="40"/>
      <c r="P2" s="40"/>
    </row>
    <row r="3" spans="2:16" x14ac:dyDescent="0.2">
      <c r="B3" t="s">
        <v>97</v>
      </c>
      <c r="C3" t="s">
        <v>70</v>
      </c>
      <c r="D3" s="11">
        <v>3.5000000000000001E-3</v>
      </c>
      <c r="G3" s="72" t="s">
        <v>132</v>
      </c>
      <c r="H3" s="79">
        <f>+AVERAGE(J48:J59)</f>
        <v>1.0449999999999999E-3</v>
      </c>
      <c r="L3" s="27" t="s">
        <v>71</v>
      </c>
      <c r="M3" s="60">
        <f>+AVERAGE(M11:M59)</f>
        <v>2.7758149630057236</v>
      </c>
      <c r="N3" s="62">
        <f>+AVERAGE(N11:N59)</f>
        <v>1.0500043706688968</v>
      </c>
      <c r="P3">
        <f>+LN(10^M3)</f>
        <v>6.3915501547267981</v>
      </c>
    </row>
    <row r="4" spans="2:16" ht="16" thickBot="1" x14ac:dyDescent="0.25">
      <c r="B4" t="s">
        <v>97</v>
      </c>
      <c r="C4" t="s">
        <v>72</v>
      </c>
      <c r="D4">
        <v>2.84</v>
      </c>
      <c r="L4" s="28" t="s">
        <v>73</v>
      </c>
      <c r="M4" s="61">
        <f>+STDEV(M11:M59)</f>
        <v>1.0094590348945038</v>
      </c>
      <c r="N4" s="63">
        <f>+STDEV(N11:N59)</f>
        <v>1.1588631924285493</v>
      </c>
      <c r="P4">
        <f>+LN(10^M4)</f>
        <v>2.3243653257362409</v>
      </c>
    </row>
    <row r="5" spans="2:16" x14ac:dyDescent="0.2">
      <c r="C5" t="s">
        <v>74</v>
      </c>
      <c r="D5" s="12">
        <f>+((12+48.8)/2)/10</f>
        <v>3.04</v>
      </c>
      <c r="E5" t="s">
        <v>128</v>
      </c>
    </row>
    <row r="6" spans="2:16" ht="17" x14ac:dyDescent="0.2">
      <c r="C6" t="s">
        <v>75</v>
      </c>
      <c r="D6" s="13">
        <f>+D3*(D5^D4)</f>
        <v>8.2305531124422723E-2</v>
      </c>
      <c r="E6" t="s">
        <v>76</v>
      </c>
      <c r="F6" s="3" t="s">
        <v>77</v>
      </c>
      <c r="H6" s="3" t="s">
        <v>78</v>
      </c>
    </row>
    <row r="7" spans="2:16" ht="17" x14ac:dyDescent="0.2">
      <c r="B7" s="14" t="s">
        <v>79</v>
      </c>
      <c r="C7" s="15" t="s">
        <v>80</v>
      </c>
      <c r="D7" s="16"/>
      <c r="E7" s="16"/>
      <c r="F7" s="3" t="s">
        <v>92</v>
      </c>
      <c r="G7" s="16"/>
      <c r="H7" s="26" t="s">
        <v>93</v>
      </c>
      <c r="J7" s="51" t="s">
        <v>137</v>
      </c>
      <c r="K7">
        <f>+MAX(K11:K59)</f>
        <v>927929.95472753292</v>
      </c>
    </row>
    <row r="8" spans="2:16" x14ac:dyDescent="0.2">
      <c r="J8" s="51" t="s">
        <v>138</v>
      </c>
      <c r="K8">
        <f>+MIN(K12:K60)</f>
        <v>4.2689369414278309</v>
      </c>
    </row>
    <row r="9" spans="2:16" x14ac:dyDescent="0.2">
      <c r="B9" s="4"/>
      <c r="C9" s="4"/>
      <c r="D9" s="4" t="s">
        <v>47</v>
      </c>
      <c r="E9" s="4"/>
      <c r="F9" s="4"/>
      <c r="G9" s="20"/>
      <c r="H9" s="4"/>
      <c r="I9" s="4"/>
      <c r="J9" s="52"/>
      <c r="K9" s="47" t="s">
        <v>81</v>
      </c>
      <c r="L9" s="47" t="s">
        <v>82</v>
      </c>
      <c r="M9" s="4"/>
      <c r="N9" s="4"/>
    </row>
    <row r="10" spans="2:16" x14ac:dyDescent="0.2">
      <c r="B10" s="5" t="s">
        <v>45</v>
      </c>
      <c r="C10" s="5"/>
      <c r="D10" s="6" t="s">
        <v>46</v>
      </c>
      <c r="E10" s="6" t="s">
        <v>83</v>
      </c>
      <c r="F10" s="6" t="s">
        <v>94</v>
      </c>
      <c r="G10" s="6" t="s">
        <v>87</v>
      </c>
      <c r="H10" s="22" t="s">
        <v>88</v>
      </c>
      <c r="I10" s="23" t="s">
        <v>126</v>
      </c>
      <c r="J10" s="49" t="s">
        <v>122</v>
      </c>
      <c r="K10" s="6" t="s">
        <v>84</v>
      </c>
      <c r="L10" s="6" t="s">
        <v>85</v>
      </c>
      <c r="M10" s="6" t="s">
        <v>68</v>
      </c>
      <c r="N10" s="6" t="s">
        <v>69</v>
      </c>
    </row>
    <row r="11" spans="2:16" x14ac:dyDescent="0.2">
      <c r="B11" s="8" t="s">
        <v>0</v>
      </c>
      <c r="C11" s="8"/>
      <c r="D11" s="8">
        <v>6</v>
      </c>
      <c r="F11" s="7"/>
      <c r="G11" s="7"/>
      <c r="H11" s="7"/>
      <c r="I11" s="7"/>
      <c r="J11" s="50"/>
      <c r="K11" s="7"/>
      <c r="L11" s="7"/>
      <c r="M11" s="7"/>
      <c r="N11" s="7"/>
    </row>
    <row r="12" spans="2:16" x14ac:dyDescent="0.2">
      <c r="B12" s="1" t="s">
        <v>1</v>
      </c>
      <c r="C12" t="s">
        <v>2</v>
      </c>
      <c r="D12">
        <v>6</v>
      </c>
      <c r="E12">
        <f t="shared" ref="E12" si="0">+D12/$D$1</f>
        <v>6.5217391304347824E-2</v>
      </c>
      <c r="F12">
        <f>(+E12/$D$2)</f>
        <v>2.1276595744680847E-2</v>
      </c>
      <c r="G12" s="18">
        <v>88698</v>
      </c>
      <c r="H12" s="3" t="s">
        <v>89</v>
      </c>
      <c r="I12" s="3"/>
      <c r="J12" s="81">
        <f>+G12*10^-12</f>
        <v>8.8698000000000005E-8</v>
      </c>
      <c r="K12">
        <f>+$D$6/J12</f>
        <v>927929.95472753292</v>
      </c>
      <c r="L12">
        <f>+($D$6/J12)*F12</f>
        <v>19743.19052611772</v>
      </c>
      <c r="M12">
        <f t="shared" ref="M12" si="1">+LOG(K12)</f>
        <v>5.9675151945125773</v>
      </c>
      <c r="N12">
        <f t="shared" ref="N12" si="2">+LOG(L12)</f>
        <v>4.2954173365768602</v>
      </c>
      <c r="P12">
        <f>+J12*E12</f>
        <v>5.7846521739130439E-9</v>
      </c>
    </row>
    <row r="13" spans="2:16" x14ac:dyDescent="0.2">
      <c r="B13" s="8" t="s">
        <v>3</v>
      </c>
      <c r="C13" s="8"/>
      <c r="D13" s="8"/>
      <c r="F13" s="7"/>
      <c r="G13" s="7"/>
      <c r="H13" s="7"/>
      <c r="I13" s="7"/>
      <c r="J13" s="56"/>
      <c r="K13" s="7"/>
      <c r="L13" s="7"/>
      <c r="M13" s="7"/>
      <c r="N13" s="7"/>
    </row>
    <row r="14" spans="2:16" x14ac:dyDescent="0.2">
      <c r="B14" s="1" t="s">
        <v>4</v>
      </c>
      <c r="C14" t="s">
        <v>95</v>
      </c>
      <c r="H14" s="7"/>
      <c r="J14" s="55"/>
    </row>
    <row r="15" spans="2:16" x14ac:dyDescent="0.2">
      <c r="B15" s="1" t="s">
        <v>4</v>
      </c>
      <c r="C15" t="s">
        <v>5</v>
      </c>
      <c r="J15" s="55"/>
    </row>
    <row r="16" spans="2:16" x14ac:dyDescent="0.2">
      <c r="B16" s="8" t="s">
        <v>6</v>
      </c>
      <c r="C16" s="8"/>
      <c r="D16" s="8"/>
      <c r="F16" s="7"/>
      <c r="G16" s="7"/>
      <c r="H16" s="7"/>
      <c r="I16" s="7"/>
      <c r="J16" s="56"/>
      <c r="K16" s="7"/>
      <c r="L16" s="7"/>
      <c r="M16" s="7"/>
      <c r="N16" s="7"/>
    </row>
    <row r="17" spans="2:16" x14ac:dyDescent="0.2">
      <c r="B17" s="1" t="s">
        <v>7</v>
      </c>
      <c r="C17" t="s">
        <v>8</v>
      </c>
      <c r="J17" s="55"/>
    </row>
    <row r="18" spans="2:16" x14ac:dyDescent="0.2">
      <c r="B18" s="8" t="s">
        <v>9</v>
      </c>
      <c r="C18" s="8"/>
      <c r="D18" s="8"/>
      <c r="F18" s="7"/>
      <c r="G18" s="7"/>
      <c r="H18" s="7"/>
      <c r="I18" s="7"/>
      <c r="J18" s="56"/>
      <c r="K18" s="7"/>
      <c r="L18" s="7"/>
      <c r="M18" s="7"/>
      <c r="N18" s="7"/>
    </row>
    <row r="19" spans="2:16" x14ac:dyDescent="0.2">
      <c r="B19" s="1" t="s">
        <v>1</v>
      </c>
      <c r="C19" t="s">
        <v>10</v>
      </c>
      <c r="J19" s="55"/>
    </row>
    <row r="20" spans="2:16" x14ac:dyDescent="0.2">
      <c r="B20" s="1"/>
      <c r="J20" s="55"/>
    </row>
    <row r="21" spans="2:16" x14ac:dyDescent="0.2">
      <c r="B21" s="8" t="s">
        <v>11</v>
      </c>
      <c r="C21" s="8"/>
      <c r="D21" s="8">
        <v>4</v>
      </c>
      <c r="F21" s="7"/>
      <c r="G21" s="7"/>
      <c r="H21" s="7"/>
      <c r="I21" s="7"/>
      <c r="J21" s="56"/>
      <c r="K21" s="7"/>
      <c r="L21" s="7"/>
      <c r="M21" s="7"/>
      <c r="N21" s="7"/>
    </row>
    <row r="22" spans="2:16" x14ac:dyDescent="0.2">
      <c r="B22" s="1" t="s">
        <v>12</v>
      </c>
      <c r="C22" t="s">
        <v>13</v>
      </c>
      <c r="D22">
        <v>4</v>
      </c>
      <c r="E22">
        <f t="shared" ref="E22" si="3">+D22/$D$1</f>
        <v>4.3478260869565216E-2</v>
      </c>
      <c r="F22">
        <f>(+E22/$D$2)</f>
        <v>1.4184397163120564E-2</v>
      </c>
      <c r="G22">
        <v>21.41</v>
      </c>
      <c r="H22" t="s">
        <v>86</v>
      </c>
      <c r="I22">
        <v>19.280100000000001</v>
      </c>
      <c r="J22" s="55">
        <v>1.9280100000000001E-2</v>
      </c>
      <c r="K22">
        <f>+$D$6/J22</f>
        <v>4.2689369414278309</v>
      </c>
      <c r="L22">
        <f>+($D$6/J22)*F22</f>
        <v>6.05522970415295E-2</v>
      </c>
      <c r="M22">
        <f t="shared" ref="M22" si="4">+LOG(K22)</f>
        <v>0.63031973967342558</v>
      </c>
      <c r="N22">
        <f t="shared" ref="N22" si="5">+LOG(L22)</f>
        <v>-1.2178693773179732</v>
      </c>
      <c r="P22">
        <f>+J22*E22</f>
        <v>8.3826521739130443E-4</v>
      </c>
    </row>
    <row r="23" spans="2:16" x14ac:dyDescent="0.2">
      <c r="B23" s="8" t="s">
        <v>14</v>
      </c>
      <c r="C23" s="8"/>
      <c r="D23" s="8">
        <v>455</v>
      </c>
      <c r="F23" s="7"/>
      <c r="G23" s="7"/>
      <c r="H23" s="7"/>
      <c r="I23" s="7"/>
      <c r="J23" s="56"/>
      <c r="K23" s="7"/>
      <c r="L23" s="7"/>
      <c r="M23" s="7"/>
      <c r="N23" s="7"/>
    </row>
    <row r="24" spans="2:16" x14ac:dyDescent="0.2">
      <c r="B24" s="21" t="s">
        <v>15</v>
      </c>
      <c r="C24" s="8"/>
      <c r="D24" s="8">
        <v>208</v>
      </c>
      <c r="J24" s="55"/>
    </row>
    <row r="25" spans="2:16" x14ac:dyDescent="0.2">
      <c r="B25" s="3" t="s">
        <v>16</v>
      </c>
      <c r="C25" t="s">
        <v>17</v>
      </c>
      <c r="G25" s="19"/>
      <c r="J25" s="55"/>
    </row>
    <row r="26" spans="2:16" x14ac:dyDescent="0.2">
      <c r="B26" s="3" t="s">
        <v>18</v>
      </c>
      <c r="C26" t="s">
        <v>19</v>
      </c>
      <c r="D26">
        <v>1</v>
      </c>
      <c r="E26">
        <f t="shared" ref="E26" si="6">+D26/$D$1</f>
        <v>1.0869565217391304E-2</v>
      </c>
      <c r="F26">
        <f>(+E26/$D$2)</f>
        <v>3.5460992907801409E-3</v>
      </c>
      <c r="J26" s="77">
        <v>1.2056800000000002E-4</v>
      </c>
      <c r="K26">
        <f>+$D$6/J26</f>
        <v>682.64822444116771</v>
      </c>
      <c r="L26">
        <f>+($D$6/J26)*F26</f>
        <v>2.4207383845431472</v>
      </c>
      <c r="M26">
        <f t="shared" ref="M26" si="7">+LOG(K26)</f>
        <v>2.8341969649694483</v>
      </c>
      <c r="N26">
        <f t="shared" ref="N26" si="8">+LOG(L26)</f>
        <v>0.38394785665008718</v>
      </c>
      <c r="P26">
        <f>+J26*E26</f>
        <v>1.310521739130435E-6</v>
      </c>
    </row>
    <row r="27" spans="2:16" x14ac:dyDescent="0.2">
      <c r="B27" s="3" t="s">
        <v>20</v>
      </c>
      <c r="C27" t="s">
        <v>13</v>
      </c>
      <c r="G27" s="19"/>
      <c r="J27" s="55"/>
    </row>
    <row r="28" spans="2:16" x14ac:dyDescent="0.2">
      <c r="B28" s="3" t="s">
        <v>21</v>
      </c>
      <c r="C28" t="s">
        <v>13</v>
      </c>
      <c r="D28">
        <v>2</v>
      </c>
      <c r="E28">
        <f t="shared" ref="E28" si="9">+D28/$D$1</f>
        <v>2.1739130434782608E-2</v>
      </c>
      <c r="F28">
        <f t="shared" ref="F28:F32" si="10">(+E28/$D$2)</f>
        <v>7.0921985815602818E-3</v>
      </c>
      <c r="J28" s="77">
        <v>1.2056800000000002E-4</v>
      </c>
      <c r="K28">
        <f t="shared" ref="K28:K30" si="11">+$D$6/J28</f>
        <v>682.64822444116771</v>
      </c>
      <c r="L28">
        <f t="shared" ref="L28:L30" si="12">+($D$6/J28)*F28</f>
        <v>4.8414767690862943</v>
      </c>
      <c r="M28">
        <f t="shared" ref="M28:M30" si="13">+LOG(K28)</f>
        <v>2.8341969649694483</v>
      </c>
      <c r="N28">
        <f t="shared" ref="N28:N30" si="14">+LOG(L28)</f>
        <v>0.68497785231406838</v>
      </c>
      <c r="P28">
        <f t="shared" ref="P28:P32" si="15">+J28*E28</f>
        <v>2.62104347826087E-6</v>
      </c>
    </row>
    <row r="29" spans="2:16" x14ac:dyDescent="0.2">
      <c r="B29" s="3" t="s">
        <v>22</v>
      </c>
      <c r="C29" t="s">
        <v>13</v>
      </c>
      <c r="D29">
        <v>39</v>
      </c>
      <c r="E29">
        <f t="shared" ref="E29:E32" si="16">+D29/$D$1</f>
        <v>0.42391304347826086</v>
      </c>
      <c r="F29">
        <f t="shared" si="10"/>
        <v>0.13829787234042551</v>
      </c>
      <c r="J29" s="77">
        <v>1.2056800000000002E-4</v>
      </c>
      <c r="K29">
        <f t="shared" si="11"/>
        <v>682.64822444116771</v>
      </c>
      <c r="L29">
        <f t="shared" si="12"/>
        <v>94.408796997182748</v>
      </c>
      <c r="M29">
        <f t="shared" si="13"/>
        <v>2.8341969649694483</v>
      </c>
      <c r="N29">
        <f t="shared" si="14"/>
        <v>1.9750124636765864</v>
      </c>
      <c r="P29">
        <f t="shared" si="15"/>
        <v>5.111034782608696E-5</v>
      </c>
    </row>
    <row r="30" spans="2:16" x14ac:dyDescent="0.2">
      <c r="B30" s="3" t="s">
        <v>23</v>
      </c>
      <c r="C30" t="s">
        <v>24</v>
      </c>
      <c r="D30">
        <v>2</v>
      </c>
      <c r="E30">
        <f t="shared" si="16"/>
        <v>2.1739130434782608E-2</v>
      </c>
      <c r="F30">
        <f t="shared" si="10"/>
        <v>7.0921985815602818E-3</v>
      </c>
      <c r="G30" s="19"/>
      <c r="J30" s="77">
        <v>1.2056800000000002E-4</v>
      </c>
      <c r="K30">
        <f t="shared" si="11"/>
        <v>682.64822444116771</v>
      </c>
      <c r="L30">
        <f t="shared" si="12"/>
        <v>4.8414767690862943</v>
      </c>
      <c r="M30">
        <f t="shared" si="13"/>
        <v>2.8341969649694483</v>
      </c>
      <c r="N30">
        <f t="shared" si="14"/>
        <v>0.68497785231406838</v>
      </c>
      <c r="P30">
        <f t="shared" si="15"/>
        <v>2.62104347826087E-6</v>
      </c>
    </row>
    <row r="31" spans="2:16" x14ac:dyDescent="0.2">
      <c r="B31" s="3" t="s">
        <v>25</v>
      </c>
      <c r="C31" t="s">
        <v>26</v>
      </c>
      <c r="D31">
        <v>1</v>
      </c>
      <c r="E31">
        <f t="shared" si="16"/>
        <v>1.0869565217391304E-2</v>
      </c>
      <c r="F31">
        <f t="shared" si="10"/>
        <v>3.5460992907801409E-3</v>
      </c>
      <c r="G31">
        <v>0.89900000000000002</v>
      </c>
      <c r="H31" t="s">
        <v>86</v>
      </c>
      <c r="I31">
        <v>5.9339999999999997E-2</v>
      </c>
      <c r="J31" s="55">
        <f>+I31*10^-3</f>
        <v>5.9339999999999998E-5</v>
      </c>
      <c r="K31">
        <f>+$D$6/J31</f>
        <v>1387.0160283859577</v>
      </c>
      <c r="L31">
        <f>+($D$6/J31)*F31</f>
        <v>4.9184965545601322</v>
      </c>
      <c r="M31">
        <f t="shared" ref="M31:M32" si="17">+LOG(K31)</f>
        <v>3.1420814798183132</v>
      </c>
      <c r="N31">
        <f t="shared" ref="N31:N32" si="18">+LOG(L31)</f>
        <v>0.69183237149895183</v>
      </c>
      <c r="P31">
        <f t="shared" si="15"/>
        <v>6.4499999999999997E-7</v>
      </c>
    </row>
    <row r="32" spans="2:16" x14ac:dyDescent="0.2">
      <c r="B32" s="3" t="s">
        <v>27</v>
      </c>
      <c r="C32" t="s">
        <v>28</v>
      </c>
      <c r="D32">
        <v>1</v>
      </c>
      <c r="E32">
        <f t="shared" si="16"/>
        <v>1.0869565217391304E-2</v>
      </c>
      <c r="F32">
        <f t="shared" si="10"/>
        <v>3.5460992907801409E-3</v>
      </c>
      <c r="J32" s="77">
        <v>1.2056800000000002E-4</v>
      </c>
      <c r="K32">
        <f>+$D$6/J32</f>
        <v>682.64822444116771</v>
      </c>
      <c r="L32">
        <f>+($D$6/J32)*F32</f>
        <v>2.4207383845431472</v>
      </c>
      <c r="M32">
        <f t="shared" si="17"/>
        <v>2.8341969649694483</v>
      </c>
      <c r="N32">
        <f t="shared" si="18"/>
        <v>0.38394785665008718</v>
      </c>
      <c r="P32">
        <f t="shared" si="15"/>
        <v>1.310521739130435E-6</v>
      </c>
    </row>
    <row r="33" spans="2:16" x14ac:dyDescent="0.2">
      <c r="B33" s="3" t="s">
        <v>29</v>
      </c>
      <c r="C33" t="s">
        <v>30</v>
      </c>
      <c r="J33" s="55"/>
    </row>
    <row r="34" spans="2:16" x14ac:dyDescent="0.2">
      <c r="B34" s="3" t="s">
        <v>31</v>
      </c>
      <c r="C34" t="s">
        <v>28</v>
      </c>
      <c r="D34">
        <v>1</v>
      </c>
      <c r="E34">
        <f>+D34/$D$1</f>
        <v>1.0869565217391304E-2</v>
      </c>
      <c r="F34">
        <f>(+E34/$D$2)</f>
        <v>3.5460992907801409E-3</v>
      </c>
      <c r="J34" s="77">
        <v>1.2056800000000002E-4</v>
      </c>
      <c r="K34">
        <f>+$D$6/J34</f>
        <v>682.64822444116771</v>
      </c>
      <c r="L34">
        <f>+($D$6/J34)*F34</f>
        <v>2.4207383845431472</v>
      </c>
      <c r="M34">
        <f t="shared" ref="M34" si="19">+LOG(K34)</f>
        <v>2.8341969649694483</v>
      </c>
      <c r="N34">
        <f t="shared" ref="N34" si="20">+LOG(L34)</f>
        <v>0.38394785665008718</v>
      </c>
      <c r="P34">
        <f>+J34*E34</f>
        <v>1.310521739130435E-6</v>
      </c>
    </row>
    <row r="35" spans="2:16" x14ac:dyDescent="0.2">
      <c r="B35" s="3" t="s">
        <v>32</v>
      </c>
      <c r="C35" t="s">
        <v>33</v>
      </c>
      <c r="J35" s="55"/>
    </row>
    <row r="36" spans="2:16" x14ac:dyDescent="0.2">
      <c r="B36" s="3" t="s">
        <v>32</v>
      </c>
      <c r="C36" t="s">
        <v>34</v>
      </c>
      <c r="D36">
        <v>7</v>
      </c>
      <c r="E36">
        <f t="shared" ref="E36" si="21">+D36/$D$1</f>
        <v>7.6086956521739135E-2</v>
      </c>
      <c r="F36">
        <f>(+E36/$D$2)</f>
        <v>2.4822695035460987E-2</v>
      </c>
      <c r="J36" s="77">
        <v>1.2056800000000002E-4</v>
      </c>
      <c r="K36">
        <f>+$D$6/J36</f>
        <v>682.64822444116771</v>
      </c>
      <c r="L36">
        <f>+($D$6/J36)*F36</f>
        <v>16.945168691802031</v>
      </c>
      <c r="M36">
        <f t="shared" ref="M36" si="22">+LOG(K36)</f>
        <v>2.8341969649694483</v>
      </c>
      <c r="N36">
        <f t="shared" ref="N36" si="23">+LOG(L36)</f>
        <v>1.2290458966643441</v>
      </c>
      <c r="P36">
        <f>+J36*E36</f>
        <v>9.1736521739130456E-6</v>
      </c>
    </row>
    <row r="37" spans="2:16" x14ac:dyDescent="0.2">
      <c r="B37" s="3" t="s">
        <v>32</v>
      </c>
      <c r="C37" t="s">
        <v>13</v>
      </c>
      <c r="J37" s="55"/>
    </row>
    <row r="38" spans="2:16" x14ac:dyDescent="0.2">
      <c r="B38" s="3" t="s">
        <v>35</v>
      </c>
      <c r="C38" t="s">
        <v>36</v>
      </c>
      <c r="D38">
        <v>46</v>
      </c>
      <c r="E38">
        <f t="shared" ref="E38:E53" si="24">+D38/$D$1</f>
        <v>0.5</v>
      </c>
      <c r="F38">
        <f t="shared" ref="F38:F39" si="25">(+E38/$D$2)</f>
        <v>0.16312056737588648</v>
      </c>
      <c r="G38">
        <v>1.5</v>
      </c>
      <c r="H38" t="s">
        <v>86</v>
      </c>
      <c r="I38" s="17">
        <v>0.26</v>
      </c>
      <c r="J38" s="55">
        <f>+I38*10^-3</f>
        <v>2.6000000000000003E-4</v>
      </c>
      <c r="K38">
        <f>+$D$6/J38</f>
        <v>316.55973509393351</v>
      </c>
      <c r="L38">
        <f>+($D$6/J38)*F38</f>
        <v>51.637403596882756</v>
      </c>
      <c r="M38">
        <f t="shared" ref="M38:N38" si="26">+LOG(K38)</f>
        <v>2.5004556738283181</v>
      </c>
      <c r="N38">
        <f t="shared" si="26"/>
        <v>1.7129643971905308</v>
      </c>
      <c r="P38">
        <f t="shared" ref="P38:P39" si="27">+J38*E38</f>
        <v>1.3000000000000002E-4</v>
      </c>
    </row>
    <row r="39" spans="2:16" x14ac:dyDescent="0.2">
      <c r="B39" s="3" t="s">
        <v>37</v>
      </c>
      <c r="C39" t="s">
        <v>38</v>
      </c>
      <c r="D39">
        <v>2</v>
      </c>
      <c r="E39">
        <f t="shared" si="24"/>
        <v>2.1739130434782608E-2</v>
      </c>
      <c r="F39">
        <f t="shared" si="25"/>
        <v>7.0921985815602818E-3</v>
      </c>
      <c r="G39">
        <v>1.03</v>
      </c>
      <c r="H39" t="s">
        <v>86</v>
      </c>
      <c r="I39" s="17">
        <v>0.13750000000000001</v>
      </c>
      <c r="J39" s="55">
        <f>+I39*10^-3</f>
        <v>1.3750000000000001E-4</v>
      </c>
      <c r="K39">
        <f>+$D$6/J39</f>
        <v>598.58568090489246</v>
      </c>
      <c r="L39">
        <f>+($D$6/J39)*F39</f>
        <v>4.2452885170559735</v>
      </c>
      <c r="M39">
        <f t="shared" ref="M39" si="28">+LOG(K39)</f>
        <v>2.7771263236328547</v>
      </c>
      <c r="N39">
        <f t="shared" ref="N39" si="29">+LOG(L39)</f>
        <v>0.62790721097747448</v>
      </c>
      <c r="P39">
        <f t="shared" si="27"/>
        <v>2.9891304347826089E-6</v>
      </c>
    </row>
    <row r="40" spans="2:16" x14ac:dyDescent="0.2">
      <c r="B40" s="3" t="s">
        <v>39</v>
      </c>
      <c r="C40" t="s">
        <v>13</v>
      </c>
      <c r="J40" s="55"/>
    </row>
    <row r="41" spans="2:16" x14ac:dyDescent="0.2">
      <c r="B41" s="3" t="s">
        <v>40</v>
      </c>
      <c r="C41" t="s">
        <v>13</v>
      </c>
      <c r="J41" s="55"/>
    </row>
    <row r="42" spans="2:16" x14ac:dyDescent="0.2">
      <c r="B42" s="3" t="s">
        <v>41</v>
      </c>
      <c r="C42" t="s">
        <v>13</v>
      </c>
      <c r="I42" s="17"/>
      <c r="J42" s="55"/>
    </row>
    <row r="43" spans="2:16" x14ac:dyDescent="0.2">
      <c r="B43" s="3" t="s">
        <v>42</v>
      </c>
      <c r="D43">
        <v>73</v>
      </c>
      <c r="E43">
        <f t="shared" si="24"/>
        <v>0.79347826086956519</v>
      </c>
      <c r="F43">
        <f t="shared" ref="F43:F45" si="30">(+E43/$D$2)</f>
        <v>0.25886524822695028</v>
      </c>
      <c r="G43">
        <v>1.59</v>
      </c>
      <c r="I43" s="17">
        <v>0.14000000000000001</v>
      </c>
      <c r="J43" s="55">
        <f>+I43*10^-3</f>
        <v>1.4000000000000001E-4</v>
      </c>
      <c r="K43">
        <f>+$D$6/J43</f>
        <v>587.89665088873369</v>
      </c>
      <c r="L43">
        <f>+($D$6/J43)*F43</f>
        <v>152.18601246410478</v>
      </c>
      <c r="M43">
        <f>+LOG(K43)</f>
        <v>2.7693009861208981</v>
      </c>
      <c r="N43">
        <f>+LOG(L43)</f>
        <v>2.1823747379219927</v>
      </c>
      <c r="P43">
        <f t="shared" ref="P43:P45" si="31">+J43*E43</f>
        <v>1.1108695652173913E-4</v>
      </c>
    </row>
    <row r="44" spans="2:16" x14ac:dyDescent="0.2">
      <c r="B44" s="3" t="s">
        <v>43</v>
      </c>
      <c r="D44">
        <v>31</v>
      </c>
      <c r="E44">
        <f t="shared" si="24"/>
        <v>0.33695652173913043</v>
      </c>
      <c r="F44">
        <f t="shared" si="30"/>
        <v>0.10992907801418438</v>
      </c>
      <c r="G44" s="19"/>
      <c r="J44" s="77">
        <v>1.2056800000000002E-4</v>
      </c>
      <c r="K44">
        <f>+$D$6/J44</f>
        <v>682.64822444116771</v>
      </c>
      <c r="L44">
        <f>+($D$6/J44)*F44</f>
        <v>75.042889920837567</v>
      </c>
      <c r="M44">
        <f t="shared" ref="M44" si="32">+LOG(K44)</f>
        <v>2.8341969649694483</v>
      </c>
      <c r="N44">
        <f t="shared" ref="N44" si="33">+LOG(L44)</f>
        <v>1.8753095504843598</v>
      </c>
      <c r="P44">
        <f t="shared" si="31"/>
        <v>4.0626173913043485E-5</v>
      </c>
    </row>
    <row r="45" spans="2:16" x14ac:dyDescent="0.2">
      <c r="B45" s="3" t="s">
        <v>44</v>
      </c>
      <c r="D45">
        <v>2</v>
      </c>
      <c r="E45">
        <f t="shared" si="24"/>
        <v>2.1739130434782608E-2</v>
      </c>
      <c r="F45">
        <f t="shared" si="30"/>
        <v>7.0921985815602818E-3</v>
      </c>
      <c r="G45">
        <v>0.5</v>
      </c>
      <c r="H45" t="s">
        <v>86</v>
      </c>
      <c r="I45" s="17">
        <v>6.0000000000000001E-3</v>
      </c>
      <c r="J45" s="55">
        <f>+I45*10^-3</f>
        <v>6.0000000000000002E-6</v>
      </c>
      <c r="K45">
        <f>+$D$6/J45</f>
        <v>13717.588520737119</v>
      </c>
      <c r="L45">
        <f>+($D$6/J45)*F45</f>
        <v>97.287861849199402</v>
      </c>
      <c r="M45">
        <f>+LOG(K45)</f>
        <v>4.1372777714154925</v>
      </c>
      <c r="N45">
        <f>+LOG(L45)</f>
        <v>1.9880586587601123</v>
      </c>
      <c r="P45">
        <f t="shared" si="31"/>
        <v>1.3043478260869566E-7</v>
      </c>
    </row>
    <row r="46" spans="2:16" x14ac:dyDescent="0.2">
      <c r="B46" s="21" t="s">
        <v>1</v>
      </c>
      <c r="C46" s="8" t="s">
        <v>51</v>
      </c>
      <c r="D46" s="8"/>
      <c r="E46" s="8"/>
      <c r="J46" s="55"/>
    </row>
    <row r="47" spans="2:16" x14ac:dyDescent="0.2">
      <c r="B47" s="1" t="s">
        <v>52</v>
      </c>
      <c r="C47" t="s">
        <v>53</v>
      </c>
      <c r="G47" s="24"/>
      <c r="J47" s="55"/>
    </row>
    <row r="48" spans="2:16" x14ac:dyDescent="0.2">
      <c r="B48" t="s">
        <v>1</v>
      </c>
      <c r="C48" t="s">
        <v>54</v>
      </c>
      <c r="D48">
        <v>10</v>
      </c>
      <c r="E48">
        <f t="shared" si="24"/>
        <v>0.10869565217391304</v>
      </c>
      <c r="F48">
        <f>(+E48/$D$2)</f>
        <v>3.5460992907801407E-2</v>
      </c>
      <c r="G48" s="25">
        <v>0.75</v>
      </c>
      <c r="H48" t="s">
        <v>86</v>
      </c>
      <c r="I48">
        <v>8.1000000000000003E-2</v>
      </c>
      <c r="J48" s="55">
        <f>+I48*10^-3</f>
        <v>8.1000000000000004E-5</v>
      </c>
      <c r="K48">
        <f>+$D$6/J48</f>
        <v>1016.1176682027497</v>
      </c>
      <c r="L48">
        <f>+($D$6/J48)*F48</f>
        <v>36.032541425629411</v>
      </c>
      <c r="M48">
        <f t="shared" ref="M48:N50" si="34">+LOG(K48)</f>
        <v>3.0069440029204864</v>
      </c>
      <c r="N48">
        <f t="shared" si="34"/>
        <v>1.5566948946011252</v>
      </c>
      <c r="P48">
        <f>+J48*E48</f>
        <v>8.8043478260869574E-6</v>
      </c>
    </row>
    <row r="49" spans="2:16" x14ac:dyDescent="0.2">
      <c r="B49" t="s">
        <v>1</v>
      </c>
      <c r="C49" t="s">
        <v>55</v>
      </c>
      <c r="J49" s="55"/>
    </row>
    <row r="50" spans="2:16" x14ac:dyDescent="0.2">
      <c r="B50" t="s">
        <v>1</v>
      </c>
      <c r="C50" t="s">
        <v>56</v>
      </c>
      <c r="D50">
        <v>5</v>
      </c>
      <c r="E50">
        <f t="shared" si="24"/>
        <v>5.434782608695652E-2</v>
      </c>
      <c r="F50">
        <f>(+E50/$D$2)</f>
        <v>1.7730496453900704E-2</v>
      </c>
      <c r="G50" s="19">
        <v>7.83</v>
      </c>
      <c r="H50" t="s">
        <v>86</v>
      </c>
      <c r="I50">
        <v>4.58</v>
      </c>
      <c r="J50" s="55">
        <f>+I50*10^-3</f>
        <v>4.5799999999999999E-3</v>
      </c>
      <c r="K50">
        <f>+$D$6/J50</f>
        <v>17.970639983498412</v>
      </c>
      <c r="L50">
        <f>+($D$6/J50)*F50</f>
        <v>0.31862836850174481</v>
      </c>
      <c r="M50">
        <f t="shared" si="34"/>
        <v>1.2545635437952669</v>
      </c>
      <c r="N50" s="80">
        <f t="shared" si="34"/>
        <v>-0.4967155601880755</v>
      </c>
      <c r="P50">
        <f>+J50*E50</f>
        <v>2.4891304347826083E-4</v>
      </c>
    </row>
    <row r="51" spans="2:16" x14ac:dyDescent="0.2">
      <c r="B51" s="8" t="s">
        <v>1</v>
      </c>
      <c r="C51" s="8" t="s">
        <v>57</v>
      </c>
      <c r="D51" s="8">
        <v>12</v>
      </c>
      <c r="E51" s="8"/>
      <c r="J51" s="55"/>
      <c r="N51" s="80"/>
    </row>
    <row r="52" spans="2:16" x14ac:dyDescent="0.2">
      <c r="B52" s="1" t="s">
        <v>58</v>
      </c>
      <c r="D52">
        <v>3</v>
      </c>
      <c r="E52">
        <f t="shared" si="24"/>
        <v>3.2608695652173912E-2</v>
      </c>
      <c r="F52">
        <f t="shared" ref="F52:F53" si="35">(+E52/$D$2)</f>
        <v>1.0638297872340424E-2</v>
      </c>
      <c r="G52" s="19"/>
      <c r="J52" s="79">
        <v>1.0449999999999999E-3</v>
      </c>
      <c r="K52">
        <f>+$D$6/J52</f>
        <v>78.761273803275344</v>
      </c>
      <c r="L52">
        <f>+($D$6/J52)*F52</f>
        <v>0.83788589152420567</v>
      </c>
      <c r="M52">
        <f t="shared" ref="M52:M53" si="36">+LOG(K52)</f>
        <v>1.8963127313520634</v>
      </c>
      <c r="N52" s="80">
        <f t="shared" ref="N52:N53" si="37">+LOG(L52)</f>
        <v>-7.6815122247635384E-2</v>
      </c>
      <c r="P52">
        <f t="shared" ref="P52:P53" si="38">+J52*E52</f>
        <v>3.4076086956521733E-5</v>
      </c>
    </row>
    <row r="53" spans="2:16" x14ac:dyDescent="0.2">
      <c r="B53" s="1" t="s">
        <v>59</v>
      </c>
      <c r="C53" t="s">
        <v>96</v>
      </c>
      <c r="D53">
        <v>9</v>
      </c>
      <c r="E53">
        <f t="shared" si="24"/>
        <v>9.7826086956521743E-2</v>
      </c>
      <c r="F53">
        <f t="shared" si="35"/>
        <v>3.1914893617021267E-2</v>
      </c>
      <c r="J53" s="79">
        <v>1.0449999999999999E-3</v>
      </c>
      <c r="K53">
        <f>+$D$6/J53</f>
        <v>78.761273803275344</v>
      </c>
      <c r="L53">
        <f>+($D$6/J53)*F53</f>
        <v>2.5136576745726167</v>
      </c>
      <c r="M53">
        <f t="shared" si="36"/>
        <v>1.8963127313520634</v>
      </c>
      <c r="N53">
        <f t="shared" si="37"/>
        <v>0.40030613247202701</v>
      </c>
      <c r="P53">
        <f t="shared" si="38"/>
        <v>1.0222826086956522E-4</v>
      </c>
    </row>
    <row r="54" spans="2:16" x14ac:dyDescent="0.2">
      <c r="B54" s="8" t="s">
        <v>60</v>
      </c>
      <c r="C54" s="8"/>
      <c r="D54" s="8">
        <v>21</v>
      </c>
      <c r="E54" s="7"/>
      <c r="G54" s="7"/>
      <c r="H54" s="7"/>
      <c r="I54" s="7"/>
      <c r="J54" s="56"/>
      <c r="K54" s="7"/>
      <c r="L54" s="7"/>
      <c r="M54" s="7"/>
      <c r="N54" s="7"/>
    </row>
    <row r="55" spans="2:16" x14ac:dyDescent="0.2">
      <c r="B55" s="1" t="s">
        <v>1</v>
      </c>
      <c r="C55" t="s">
        <v>61</v>
      </c>
      <c r="J55" s="55"/>
    </row>
    <row r="56" spans="2:16" x14ac:dyDescent="0.2">
      <c r="B56" s="1" t="s">
        <v>62</v>
      </c>
      <c r="C56" t="s">
        <v>13</v>
      </c>
      <c r="D56">
        <v>21</v>
      </c>
      <c r="E56">
        <f t="shared" ref="E56" si="39">+D56/$D$1</f>
        <v>0.22826086956521738</v>
      </c>
      <c r="F56">
        <f>(+E56/$D$2)</f>
        <v>7.4468085106382961E-2</v>
      </c>
      <c r="G56">
        <v>0.39</v>
      </c>
      <c r="H56" t="s">
        <v>86</v>
      </c>
      <c r="I56">
        <v>0.03</v>
      </c>
      <c r="J56" s="55">
        <f>+I56*10^-3</f>
        <v>3.0000000000000001E-5</v>
      </c>
      <c r="K56">
        <f>+$D$6/J56</f>
        <v>2743.517704147424</v>
      </c>
      <c r="L56">
        <f>+($D$6/J56)*F56</f>
        <v>204.30450988331876</v>
      </c>
      <c r="M56">
        <f>+LOG(K56)</f>
        <v>3.4383077670794737</v>
      </c>
      <c r="N56">
        <f>+LOG(L56)</f>
        <v>2.3102779534940319</v>
      </c>
      <c r="P56">
        <f>+J56*E56</f>
        <v>6.8478260869565211E-6</v>
      </c>
    </row>
    <row r="57" spans="2:16" x14ac:dyDescent="0.2">
      <c r="B57" s="8" t="s">
        <v>63</v>
      </c>
      <c r="C57" s="8"/>
      <c r="D57" s="8">
        <v>16</v>
      </c>
      <c r="E57" s="7"/>
      <c r="G57" s="7"/>
      <c r="H57" s="7"/>
      <c r="I57" s="7"/>
      <c r="J57" s="56"/>
      <c r="K57" s="7"/>
      <c r="L57" s="7"/>
      <c r="M57" s="7"/>
      <c r="N57" s="7"/>
    </row>
    <row r="58" spans="2:16" x14ac:dyDescent="0.2">
      <c r="B58" s="1" t="s">
        <v>64</v>
      </c>
      <c r="C58" t="s">
        <v>65</v>
      </c>
      <c r="D58">
        <v>2</v>
      </c>
      <c r="E58">
        <f t="shared" ref="E58:E59" si="40">+D58/$D$1</f>
        <v>2.1739130434782608E-2</v>
      </c>
      <c r="F58">
        <f t="shared" ref="F58:F59" si="41">(+E58/$D$2)</f>
        <v>7.0921985815602818E-3</v>
      </c>
      <c r="G58">
        <v>0.27</v>
      </c>
      <c r="H58" t="s">
        <v>90</v>
      </c>
      <c r="J58" s="57">
        <v>2.6699999999999998E-4</v>
      </c>
      <c r="K58">
        <f>+$D$6/J58</f>
        <v>308.2604161963398</v>
      </c>
      <c r="L58">
        <f>+($D$6/J58)*F58</f>
        <v>2.1862440864988635</v>
      </c>
      <c r="M58">
        <f t="shared" ref="M58:N59" si="42">+LOG(K58)</f>
        <v>2.4889177604345609</v>
      </c>
      <c r="N58">
        <f t="shared" si="42"/>
        <v>0.33969864777918091</v>
      </c>
      <c r="P58">
        <f t="shared" ref="P58:P59" si="43">+J58*E58</f>
        <v>5.8043478260869557E-6</v>
      </c>
    </row>
    <row r="59" spans="2:16" x14ac:dyDescent="0.2">
      <c r="B59" s="1" t="s">
        <v>59</v>
      </c>
      <c r="D59">
        <v>14</v>
      </c>
      <c r="E59">
        <f t="shared" si="40"/>
        <v>0.15217391304347827</v>
      </c>
      <c r="F59">
        <f t="shared" si="41"/>
        <v>4.9645390070921974E-2</v>
      </c>
      <c r="G59">
        <v>0.27</v>
      </c>
      <c r="H59" t="s">
        <v>90</v>
      </c>
      <c r="J59" s="57">
        <v>2.6699999999999998E-4</v>
      </c>
      <c r="K59">
        <f>+$D$6/J59</f>
        <v>308.2604161963398</v>
      </c>
      <c r="L59">
        <f>+($D$6/J59)*F59</f>
        <v>15.303708605492043</v>
      </c>
      <c r="M59">
        <f t="shared" si="42"/>
        <v>2.4889177604345609</v>
      </c>
      <c r="N59">
        <f t="shared" si="42"/>
        <v>1.1847966877934377</v>
      </c>
      <c r="P59">
        <f t="shared" si="43"/>
        <v>4.0630434782608695E-5</v>
      </c>
    </row>
    <row r="60" spans="2:16" x14ac:dyDescent="0.2">
      <c r="P60">
        <f>SUM(P11:P59)</f>
        <v>1.6405106976956525E-3</v>
      </c>
    </row>
    <row r="61" spans="2:16" x14ac:dyDescent="0.2">
      <c r="P61">
        <f>+P58/P60</f>
        <v>3.5381347005173738E-3</v>
      </c>
    </row>
  </sheetData>
  <mergeCells count="1">
    <mergeCell ref="G1:J1"/>
  </mergeCells>
  <hyperlinks>
    <hyperlink ref="C7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Mesopelagic</vt:lpstr>
      <vt:lpstr>T. mexicanus</vt:lpstr>
      <vt:lpstr>D. atlanticus</vt:lpstr>
      <vt:lpstr>V.lucetia</vt:lpstr>
      <vt:lpstr>C. acclinidens</vt:lpstr>
      <vt:lpstr>Sheet3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tmca500</dc:creator>
  <cp:lastModifiedBy>Mariella Canales</cp:lastModifiedBy>
  <dcterms:created xsi:type="dcterms:W3CDTF">2011-02-22T13:04:35Z</dcterms:created>
  <dcterms:modified xsi:type="dcterms:W3CDTF">2018-09-11T13:12:35Z</dcterms:modified>
</cp:coreProperties>
</file>