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Volumes/MLLA/GUSTAV_DataPPMR/"/>
    </mc:Choice>
  </mc:AlternateContent>
  <xr:revisionPtr revIDLastSave="0" documentId="13_ncr:1_{3794661A-5A97-6341-9FC9-35B3F93F9A19}" xr6:coauthVersionLast="36" xr6:coauthVersionMax="36" xr10:uidLastSave="{00000000-0000-0000-0000-000000000000}"/>
  <bookViews>
    <workbookView xWindow="12180" yWindow="1920" windowWidth="26220" windowHeight="17180" tabRatio="440" xr2:uid="{00000000-000D-0000-FFFF-FFFF00000000}"/>
  </bookViews>
  <sheets>
    <sheet name="Palm ruff" sheetId="4" r:id="rId1"/>
    <sheet name="Eastern Pacific Bonito" sheetId="1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4" l="1"/>
  <c r="L8" i="4" s="1"/>
  <c r="K8" i="4"/>
  <c r="J9" i="4"/>
  <c r="K9" i="4"/>
  <c r="L9" i="4"/>
  <c r="P9" i="4" s="1"/>
  <c r="N9" i="4"/>
  <c r="D10" i="4"/>
  <c r="J10" i="4" s="1"/>
  <c r="K10" i="4"/>
  <c r="D11" i="4"/>
  <c r="J11" i="4"/>
  <c r="L11" i="4" s="1"/>
  <c r="K11" i="4"/>
  <c r="D12" i="4"/>
  <c r="J12" i="4"/>
  <c r="K12" i="4"/>
  <c r="L12" i="4"/>
  <c r="P12" i="4" s="1"/>
  <c r="N12" i="4"/>
  <c r="D13" i="4"/>
  <c r="J13" i="4" s="1"/>
  <c r="K13" i="4"/>
  <c r="J14" i="4"/>
  <c r="K14" i="4"/>
  <c r="M14" i="4" s="1"/>
  <c r="O14" i="4" s="1"/>
  <c r="L14" i="4"/>
  <c r="N14" i="4"/>
  <c r="J15" i="4"/>
  <c r="K15" i="4"/>
  <c r="L15" i="4"/>
  <c r="N15" i="4"/>
  <c r="J16" i="4"/>
  <c r="K16" i="4"/>
  <c r="L16" i="4"/>
  <c r="P16" i="4" s="1"/>
  <c r="N16" i="4"/>
  <c r="J17" i="4"/>
  <c r="K17" i="4"/>
  <c r="L17" i="4"/>
  <c r="N17" i="4"/>
  <c r="J18" i="4"/>
  <c r="K18" i="4"/>
  <c r="L18" i="4"/>
  <c r="P18" i="4" s="1"/>
  <c r="N18" i="4"/>
  <c r="J19" i="4"/>
  <c r="K19" i="4"/>
  <c r="L19" i="4"/>
  <c r="N19" i="4"/>
  <c r="J20" i="4"/>
  <c r="K20" i="4"/>
  <c r="M20" i="4" s="1"/>
  <c r="O20" i="4" s="1"/>
  <c r="L20" i="4"/>
  <c r="P20" i="4" s="1"/>
  <c r="N20" i="4"/>
  <c r="J21" i="4"/>
  <c r="K21" i="4"/>
  <c r="L21" i="4"/>
  <c r="N21" i="4"/>
  <c r="J22" i="4"/>
  <c r="K22" i="4"/>
  <c r="M22" i="4" s="1"/>
  <c r="O22" i="4" s="1"/>
  <c r="L22" i="4"/>
  <c r="P22" i="4" s="1"/>
  <c r="N22" i="4"/>
  <c r="J23" i="4"/>
  <c r="K23" i="4"/>
  <c r="L23" i="4"/>
  <c r="N23" i="4"/>
  <c r="J24" i="4"/>
  <c r="K24" i="4"/>
  <c r="L24" i="4"/>
  <c r="P24" i="4" s="1"/>
  <c r="N24" i="4"/>
  <c r="J25" i="4"/>
  <c r="K25" i="4"/>
  <c r="L25" i="4"/>
  <c r="N25" i="4"/>
  <c r="J26" i="4"/>
  <c r="K26" i="4"/>
  <c r="L26" i="4"/>
  <c r="P26" i="4" s="1"/>
  <c r="N26" i="4"/>
  <c r="D27" i="4"/>
  <c r="J27" i="4"/>
  <c r="K27" i="4"/>
  <c r="L27" i="4"/>
  <c r="N27" i="4" s="1"/>
  <c r="D28" i="4"/>
  <c r="J28" i="4"/>
  <c r="L28" i="4" s="1"/>
  <c r="K28" i="4"/>
  <c r="L30" i="4"/>
  <c r="N30" i="4"/>
  <c r="P30" i="4"/>
  <c r="K31" i="4"/>
  <c r="L31" i="4" s="1"/>
  <c r="K32" i="4"/>
  <c r="L32" i="4"/>
  <c r="N32" i="4" s="1"/>
  <c r="P32" i="4"/>
  <c r="D8" i="1"/>
  <c r="K8" i="1" s="1"/>
  <c r="K27" i="1"/>
  <c r="M27" i="1" s="1"/>
  <c r="K28" i="1"/>
  <c r="M28" i="1" s="1"/>
  <c r="K29" i="1"/>
  <c r="M29" i="1" s="1"/>
  <c r="K30" i="1"/>
  <c r="K31" i="1"/>
  <c r="K32" i="1"/>
  <c r="K33" i="1"/>
  <c r="K34" i="1"/>
  <c r="K35" i="1"/>
  <c r="M35" i="1" s="1"/>
  <c r="K36" i="1"/>
  <c r="M36" i="1" s="1"/>
  <c r="K37" i="1"/>
  <c r="M37" i="1" s="1"/>
  <c r="K38" i="1"/>
  <c r="K39" i="1"/>
  <c r="K15" i="1"/>
  <c r="K16" i="1"/>
  <c r="K17" i="1"/>
  <c r="K18" i="1"/>
  <c r="M18" i="1" s="1"/>
  <c r="K19" i="1"/>
  <c r="K20" i="1"/>
  <c r="K21" i="1"/>
  <c r="K22" i="1"/>
  <c r="K23" i="1"/>
  <c r="K24" i="1"/>
  <c r="M24" i="1" s="1"/>
  <c r="K25" i="1"/>
  <c r="K9" i="1"/>
  <c r="K10" i="1"/>
  <c r="M10" i="1" s="1"/>
  <c r="K11" i="1"/>
  <c r="M11" i="1" s="1"/>
  <c r="K12" i="1"/>
  <c r="K13" i="1"/>
  <c r="M15" i="4"/>
  <c r="O15" i="4" s="1"/>
  <c r="M16" i="4"/>
  <c r="O16" i="4" s="1"/>
  <c r="M17" i="4"/>
  <c r="O17" i="4" s="1"/>
  <c r="M18" i="4"/>
  <c r="O18" i="4" s="1"/>
  <c r="M19" i="4"/>
  <c r="M21" i="4"/>
  <c r="M23" i="4"/>
  <c r="M24" i="4"/>
  <c r="O24" i="4" s="1"/>
  <c r="M25" i="4"/>
  <c r="O25" i="4" s="1"/>
  <c r="M26" i="4"/>
  <c r="O26" i="4" s="1"/>
  <c r="D3" i="1"/>
  <c r="D4" i="1"/>
  <c r="P25" i="4"/>
  <c r="P23" i="4"/>
  <c r="P21" i="4"/>
  <c r="P19" i="4"/>
  <c r="P17" i="4"/>
  <c r="P15" i="4"/>
  <c r="P14" i="4"/>
  <c r="M9" i="4"/>
  <c r="O9" i="4" s="1"/>
  <c r="F36" i="1"/>
  <c r="F37" i="1"/>
  <c r="F35" i="1"/>
  <c r="F33" i="1"/>
  <c r="F34" i="1"/>
  <c r="F32" i="1"/>
  <c r="F30" i="1"/>
  <c r="F31" i="1"/>
  <c r="F29" i="1"/>
  <c r="F27" i="1"/>
  <c r="F28" i="1"/>
  <c r="F26" i="1"/>
  <c r="F24" i="1"/>
  <c r="F25" i="1"/>
  <c r="F23" i="1"/>
  <c r="F21" i="1"/>
  <c r="F22" i="1"/>
  <c r="F20" i="1"/>
  <c r="F18" i="1"/>
  <c r="F19" i="1"/>
  <c r="F17" i="1"/>
  <c r="F15" i="1"/>
  <c r="F16" i="1"/>
  <c r="F14" i="1"/>
  <c r="F12" i="1"/>
  <c r="F13" i="1"/>
  <c r="F11" i="1"/>
  <c r="F9" i="1"/>
  <c r="F10" i="1"/>
  <c r="F8" i="1"/>
  <c r="O19" i="4"/>
  <c r="O21" i="4"/>
  <c r="O23" i="4"/>
  <c r="H39" i="1"/>
  <c r="L39" i="1"/>
  <c r="M39" i="1"/>
  <c r="Q39" i="1" s="1"/>
  <c r="L36" i="1"/>
  <c r="L37" i="1"/>
  <c r="L35" i="1"/>
  <c r="L33" i="1"/>
  <c r="M33" i="1" s="1"/>
  <c r="L34" i="1"/>
  <c r="M34" i="1"/>
  <c r="Q34" i="1" s="1"/>
  <c r="L32" i="1"/>
  <c r="M32" i="1" s="1"/>
  <c r="L27" i="1"/>
  <c r="L28" i="1"/>
  <c r="L26" i="1"/>
  <c r="D26" i="1"/>
  <c r="K26" i="1" s="1"/>
  <c r="M26" i="1" s="1"/>
  <c r="L24" i="1"/>
  <c r="L25" i="1"/>
  <c r="M25" i="1"/>
  <c r="N25" i="1" s="1"/>
  <c r="P25" i="1" s="1"/>
  <c r="L23" i="1"/>
  <c r="M23" i="1"/>
  <c r="N23" i="1" s="1"/>
  <c r="P23" i="1" s="1"/>
  <c r="O23" i="1"/>
  <c r="I20" i="1"/>
  <c r="H21" i="1" s="1"/>
  <c r="L21" i="1" s="1"/>
  <c r="M21" i="1" s="1"/>
  <c r="H20" i="1"/>
  <c r="H22" i="1" s="1"/>
  <c r="L22" i="1" s="1"/>
  <c r="M22" i="1" s="1"/>
  <c r="I14" i="1"/>
  <c r="I11" i="1"/>
  <c r="L20" i="1"/>
  <c r="M20" i="1"/>
  <c r="O20" i="1" s="1"/>
  <c r="H17" i="1"/>
  <c r="H14" i="1"/>
  <c r="H16" i="1"/>
  <c r="L16" i="1"/>
  <c r="D14" i="1"/>
  <c r="L9" i="1"/>
  <c r="M9" i="1"/>
  <c r="O9" i="1" s="1"/>
  <c r="L10" i="1"/>
  <c r="I8" i="1"/>
  <c r="E4" i="1"/>
  <c r="E3" i="1"/>
  <c r="L13" i="1" s="1"/>
  <c r="M13" i="1" s="1"/>
  <c r="H11" i="1"/>
  <c r="H12" i="1"/>
  <c r="L12" i="1"/>
  <c r="M12" i="1" s="1"/>
  <c r="H8" i="1"/>
  <c r="L8" i="1" s="1"/>
  <c r="M8" i="4"/>
  <c r="O8" i="4"/>
  <c r="M16" i="1"/>
  <c r="O16" i="1" s="1"/>
  <c r="Q20" i="1"/>
  <c r="M12" i="4"/>
  <c r="O12" i="4"/>
  <c r="M27" i="4"/>
  <c r="O27" i="4" s="1"/>
  <c r="H13" i="1"/>
  <c r="H15" i="1"/>
  <c r="L15" i="1" s="1"/>
  <c r="M15" i="1" s="1"/>
  <c r="Q25" i="1"/>
  <c r="L31" i="1"/>
  <c r="M31" i="1"/>
  <c r="Q31" i="1" s="1"/>
  <c r="N34" i="1"/>
  <c r="P34" i="1" s="1"/>
  <c r="L11" i="1"/>
  <c r="K14" i="1"/>
  <c r="G14" i="1"/>
  <c r="L14" i="1"/>
  <c r="L17" i="1"/>
  <c r="M17" i="1"/>
  <c r="Q17" i="1" s="1"/>
  <c r="L18" i="1"/>
  <c r="Q23" i="1"/>
  <c r="L29" i="1"/>
  <c r="O39" i="1"/>
  <c r="O25" i="1"/>
  <c r="M14" i="1"/>
  <c r="N17" i="1"/>
  <c r="P17" i="1" s="1"/>
  <c r="P27" i="4"/>
  <c r="N16" i="1"/>
  <c r="P16" i="1" s="1"/>
  <c r="Q16" i="1"/>
  <c r="N14" i="1"/>
  <c r="P14" i="1"/>
  <c r="Q14" i="1"/>
  <c r="O14" i="1"/>
  <c r="N27" i="1" l="1"/>
  <c r="P27" i="1" s="1"/>
  <c r="O27" i="1"/>
  <c r="Q27" i="1"/>
  <c r="O11" i="1"/>
  <c r="N11" i="1"/>
  <c r="P11" i="1" s="1"/>
  <c r="Q11" i="1"/>
  <c r="Q10" i="1"/>
  <c r="N10" i="1"/>
  <c r="P10" i="1" s="1"/>
  <c r="O10" i="1"/>
  <c r="O28" i="1"/>
  <c r="N28" i="1"/>
  <c r="P28" i="1" s="1"/>
  <c r="Q28" i="1"/>
  <c r="O22" i="1"/>
  <c r="N22" i="1"/>
  <c r="P22" i="1" s="1"/>
  <c r="Q22" i="1"/>
  <c r="N26" i="1"/>
  <c r="P26" i="1" s="1"/>
  <c r="O26" i="1"/>
  <c r="Q26" i="1"/>
  <c r="M8" i="1"/>
  <c r="Q12" i="1"/>
  <c r="N12" i="1"/>
  <c r="P12" i="1" s="1"/>
  <c r="O12" i="1"/>
  <c r="N13" i="1"/>
  <c r="P13" i="1" s="1"/>
  <c r="Q13" i="1"/>
  <c r="O13" i="1"/>
  <c r="N24" i="1"/>
  <c r="P24" i="1" s="1"/>
  <c r="O24" i="1"/>
  <c r="Q24" i="1"/>
  <c r="P28" i="4"/>
  <c r="N28" i="4"/>
  <c r="N29" i="1"/>
  <c r="P29" i="1" s="1"/>
  <c r="Q29" i="1"/>
  <c r="O29" i="1"/>
  <c r="N36" i="1"/>
  <c r="P36" i="1" s="1"/>
  <c r="O36" i="1"/>
  <c r="Q36" i="1"/>
  <c r="N33" i="1"/>
  <c r="P33" i="1" s="1"/>
  <c r="O33" i="1"/>
  <c r="Q33" i="1"/>
  <c r="N18" i="1"/>
  <c r="P18" i="1" s="1"/>
  <c r="Q18" i="1"/>
  <c r="O18" i="1"/>
  <c r="O37" i="1"/>
  <c r="N37" i="1"/>
  <c r="P37" i="1" s="1"/>
  <c r="Q37" i="1"/>
  <c r="L10" i="4"/>
  <c r="M10" i="4"/>
  <c r="O10" i="4" s="1"/>
  <c r="O5" i="4" s="1"/>
  <c r="Q35" i="1"/>
  <c r="N35" i="1"/>
  <c r="P35" i="1" s="1"/>
  <c r="O35" i="1"/>
  <c r="Q21" i="1"/>
  <c r="N21" i="1"/>
  <c r="P21" i="1" s="1"/>
  <c r="O21" i="1"/>
  <c r="N11" i="4"/>
  <c r="P11" i="4"/>
  <c r="M19" i="1"/>
  <c r="Q15" i="1"/>
  <c r="O15" i="1"/>
  <c r="N15" i="1"/>
  <c r="P15" i="1" s="1"/>
  <c r="O32" i="1"/>
  <c r="Q32" i="1"/>
  <c r="N32" i="1"/>
  <c r="P32" i="1" s="1"/>
  <c r="P31" i="4"/>
  <c r="N31" i="4"/>
  <c r="L13" i="4"/>
  <c r="M13" i="4"/>
  <c r="O13" i="4" s="1"/>
  <c r="P8" i="4"/>
  <c r="N8" i="4"/>
  <c r="H38" i="1"/>
  <c r="L38" i="1" s="1"/>
  <c r="M38" i="1" s="1"/>
  <c r="N20" i="1"/>
  <c r="P20" i="1" s="1"/>
  <c r="O31" i="1"/>
  <c r="N39" i="1"/>
  <c r="P39" i="1" s="1"/>
  <c r="L19" i="1"/>
  <c r="L30" i="1"/>
  <c r="M30" i="1" s="1"/>
  <c r="M28" i="4"/>
  <c r="O28" i="4" s="1"/>
  <c r="Q9" i="1"/>
  <c r="O17" i="1"/>
  <c r="G26" i="1"/>
  <c r="O34" i="1"/>
  <c r="N9" i="1"/>
  <c r="P9" i="1" s="1"/>
  <c r="N31" i="1"/>
  <c r="P31" i="1" s="1"/>
  <c r="M11" i="4"/>
  <c r="O11" i="4" s="1"/>
  <c r="N19" i="1" l="1"/>
  <c r="P19" i="1" s="1"/>
  <c r="Q19" i="1"/>
  <c r="O19" i="1"/>
  <c r="Q30" i="1"/>
  <c r="N30" i="1"/>
  <c r="P30" i="1" s="1"/>
  <c r="O30" i="1"/>
  <c r="P10" i="4"/>
  <c r="Q5" i="4" s="1"/>
  <c r="N10" i="4"/>
  <c r="N5" i="4" s="1"/>
  <c r="S5" i="4" s="1"/>
  <c r="T5" i="4" s="1"/>
  <c r="P13" i="4"/>
  <c r="N13" i="4"/>
  <c r="N8" i="1"/>
  <c r="P8" i="1" s="1"/>
  <c r="Q8" i="1"/>
  <c r="O8" i="1"/>
  <c r="N38" i="1"/>
  <c r="P38" i="1" s="1"/>
  <c r="Q38" i="1"/>
  <c r="O38" i="1"/>
  <c r="O4" i="4"/>
  <c r="P5" i="1" l="1"/>
  <c r="P4" i="1"/>
  <c r="N4" i="4"/>
  <c r="S4" i="4" s="1"/>
  <c r="T4" i="4" s="1"/>
  <c r="Q4" i="4"/>
  <c r="P4" i="4"/>
  <c r="P5" i="4"/>
  <c r="O4" i="1"/>
  <c r="Q4" i="1" s="1"/>
  <c r="O5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tmca500</author>
  </authors>
  <commentList>
    <comment ref="E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Parapercis schauinslandii 
FISHBASE.
Lo mas razonble en esta base
</t>
        </r>
      </text>
    </comment>
    <comment ref="D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average size</t>
        </r>
      </text>
    </comment>
    <comment ref="F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average 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tmca500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Fishbase a &amp; B for
Sarda sarda Eastern Atlantic Bonito</t>
        </r>
      </text>
    </comment>
    <comment ref="D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average size</t>
        </r>
      </text>
    </comment>
    <comment ref="H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average LT
</t>
        </r>
      </text>
    </comment>
    <comment ref="H3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tmca500:</t>
        </r>
        <r>
          <rPr>
            <sz val="8"/>
            <color indexed="81"/>
            <rFont val="Tahoma"/>
            <family val="2"/>
          </rPr>
          <t xml:space="preserve">
no detail about body length of Trachurus, tool average of item decsribe
</t>
        </r>
      </text>
    </comment>
  </commentList>
</comments>
</file>

<file path=xl/sharedStrings.xml><?xml version="1.0" encoding="utf-8"?>
<sst xmlns="http://schemas.openxmlformats.org/spreadsheetml/2006/main" count="110" uniqueCount="56">
  <si>
    <t>Prey</t>
  </si>
  <si>
    <t>oct</t>
  </si>
  <si>
    <t>year</t>
  </si>
  <si>
    <t>area</t>
  </si>
  <si>
    <t>mes</t>
  </si>
  <si>
    <t>29°-30°</t>
  </si>
  <si>
    <t>prey_item</t>
  </si>
  <si>
    <t>Trachurus symmetricus</t>
  </si>
  <si>
    <t>Predatos_LT (cm)</t>
  </si>
  <si>
    <t>prey_LT (cm)</t>
  </si>
  <si>
    <t>Pinguipes chilensis</t>
  </si>
  <si>
    <t>nov</t>
  </si>
  <si>
    <t>sd Predator_LT (cm)</t>
  </si>
  <si>
    <t>Scomberesox saurus</t>
  </si>
  <si>
    <t>feb</t>
  </si>
  <si>
    <t>mar</t>
  </si>
  <si>
    <t>Sardinops sagax</t>
  </si>
  <si>
    <t>a</t>
  </si>
  <si>
    <t>b</t>
  </si>
  <si>
    <t>Predator</t>
  </si>
  <si>
    <t>Predator_weight (g)</t>
  </si>
  <si>
    <t>Prey_weight (g)</t>
  </si>
  <si>
    <t xml:space="preserve">PPMR </t>
  </si>
  <si>
    <t>log10PPMR</t>
  </si>
  <si>
    <t>mean</t>
  </si>
  <si>
    <t>sd</t>
  </si>
  <si>
    <t>A.alosa</t>
  </si>
  <si>
    <t>S.pilchardus</t>
  </si>
  <si>
    <t>S.aurita</t>
  </si>
  <si>
    <t>E. encrasicolus</t>
  </si>
  <si>
    <t>Trachurus sp</t>
  </si>
  <si>
    <t>S. flexuosa</t>
  </si>
  <si>
    <t>FL min</t>
  </si>
  <si>
    <t>FL max</t>
  </si>
  <si>
    <t>S. pilchardus</t>
  </si>
  <si>
    <t>prey_LT (sd)</t>
  </si>
  <si>
    <t>A.  alosa</t>
  </si>
  <si>
    <t>(%) Nprey/N</t>
  </si>
  <si>
    <t>E. Encrausicolus</t>
  </si>
  <si>
    <t>Trachurus</t>
  </si>
  <si>
    <t>S.fluxuosa</t>
  </si>
  <si>
    <t>a/b par =Fish base</t>
  </si>
  <si>
    <t>diet = Campo et al 2006</t>
  </si>
  <si>
    <t>%Nprey/N</t>
  </si>
  <si>
    <t>PPMRw</t>
  </si>
  <si>
    <t>log10PPMRw</t>
  </si>
  <si>
    <t>weighted</t>
  </si>
  <si>
    <t>Preys</t>
  </si>
  <si>
    <t>max</t>
  </si>
  <si>
    <t>min</t>
  </si>
  <si>
    <t>Predator_LT (cm)</t>
  </si>
  <si>
    <t>log10</t>
  </si>
  <si>
    <t>ln</t>
  </si>
  <si>
    <t>Eufausidos</t>
  </si>
  <si>
    <t>Copepodos</t>
  </si>
  <si>
    <t>Fish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</si>
</sst>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E+00"/>
  </numFmts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8.25"/>
      <color theme="10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2" fontId="0" fillId="0" borderId="0" xfId="0" applyNumberFormat="1" applyAlignment="1"/>
    <xf numFmtId="0" fontId="4" fillId="0" borderId="0" xfId="1" applyAlignment="1" applyProtection="1"/>
    <xf numFmtId="0" fontId="3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5" fillId="0" borderId="0" xfId="2" applyFill="1"/>
    <xf numFmtId="0" fontId="7" fillId="0" borderId="0" xfId="0" applyFont="1"/>
    <xf numFmtId="0" fontId="6" fillId="3" borderId="0" xfId="2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7" fillId="3" borderId="1" xfId="2" applyFont="1" applyFill="1" applyBorder="1"/>
    <xf numFmtId="0" fontId="7" fillId="3" borderId="2" xfId="2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0" fillId="4" borderId="0" xfId="0" applyFill="1"/>
    <xf numFmtId="0" fontId="7" fillId="0" borderId="1" xfId="2" applyFont="1" applyFill="1" applyBorder="1"/>
    <xf numFmtId="0" fontId="7" fillId="0" borderId="2" xfId="2" applyFont="1" applyFill="1" applyBorder="1"/>
    <xf numFmtId="166" fontId="0" fillId="0" borderId="0" xfId="0" applyNumberFormat="1" applyFont="1"/>
    <xf numFmtId="2" fontId="8" fillId="0" borderId="0" xfId="0" applyNumberFormat="1" applyFont="1" applyFill="1"/>
    <xf numFmtId="0" fontId="0" fillId="0" borderId="0" xfId="0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="110" zoomScaleNormal="110" zoomScalePageLayoutView="110" workbookViewId="0">
      <selection activeCell="L4" sqref="L4"/>
    </sheetView>
  </sheetViews>
  <sheetFormatPr baseColWidth="10" defaultColWidth="9" defaultRowHeight="15" x14ac:dyDescent="0.2"/>
  <cols>
    <col min="1" max="1" width="11" customWidth="1"/>
    <col min="2" max="2" width="12" customWidth="1"/>
    <col min="3" max="3" width="11.33203125" customWidth="1"/>
    <col min="4" max="4" width="22.1640625" customWidth="1"/>
    <col min="5" max="5" width="19.83203125" customWidth="1"/>
    <col min="6" max="6" width="19" customWidth="1"/>
    <col min="7" max="8" width="22.33203125" customWidth="1"/>
    <col min="9" max="9" width="12" customWidth="1"/>
    <col min="10" max="10" width="21" customWidth="1"/>
    <col min="11" max="11" width="18.1640625" customWidth="1"/>
    <col min="12" max="12" width="11.33203125" customWidth="1"/>
    <col min="13" max="13" width="14.83203125" customWidth="1"/>
    <col min="14" max="14" width="13.83203125" customWidth="1"/>
    <col min="15" max="15" width="12.6640625" customWidth="1"/>
  </cols>
  <sheetData>
    <row r="1" spans="1:20" x14ac:dyDescent="0.2">
      <c r="D1" s="26" t="s">
        <v>47</v>
      </c>
      <c r="E1" s="26"/>
      <c r="F1" s="26"/>
      <c r="G1" s="26"/>
    </row>
    <row r="2" spans="1:20" x14ac:dyDescent="0.2">
      <c r="C2" t="s">
        <v>19</v>
      </c>
      <c r="D2" s="2" t="s">
        <v>7</v>
      </c>
      <c r="E2" s="2" t="s">
        <v>10</v>
      </c>
      <c r="F2" s="2" t="s">
        <v>13</v>
      </c>
      <c r="G2" s="2" t="s">
        <v>16</v>
      </c>
      <c r="H2" s="2"/>
      <c r="I2" s="2"/>
    </row>
    <row r="3" spans="1:20" x14ac:dyDescent="0.2">
      <c r="B3" t="s">
        <v>17</v>
      </c>
      <c r="C3">
        <v>1.34E-2</v>
      </c>
      <c r="D3">
        <v>1.0027461954239494E-2</v>
      </c>
      <c r="E3">
        <v>1.61E-2</v>
      </c>
      <c r="F3">
        <v>1.2999999999999999E-3</v>
      </c>
      <c r="G3">
        <v>6.7748353470918369E-3</v>
      </c>
      <c r="K3" s="5"/>
      <c r="N3" s="12" t="s">
        <v>51</v>
      </c>
      <c r="O3" s="1" t="s">
        <v>46</v>
      </c>
      <c r="P3" t="s">
        <v>52</v>
      </c>
    </row>
    <row r="4" spans="1:20" x14ac:dyDescent="0.2">
      <c r="B4" t="s">
        <v>18</v>
      </c>
      <c r="C4">
        <v>3.0712000000000002</v>
      </c>
      <c r="D4">
        <v>3.0578897553157893</v>
      </c>
      <c r="E4" s="3">
        <v>3</v>
      </c>
      <c r="F4">
        <v>3.0859999999999999</v>
      </c>
      <c r="G4">
        <v>3.1293922863157899</v>
      </c>
      <c r="M4" s="9" t="s">
        <v>24</v>
      </c>
      <c r="N4" s="17">
        <f>+AVERAGE(N8:N28)</f>
        <v>2.2518784174958193</v>
      </c>
      <c r="O4" s="9">
        <f>+AVERAGE(O8:O28)</f>
        <v>1.9067828781197518</v>
      </c>
      <c r="P4" s="22">
        <f>+AVERAGE(P8:P28)</f>
        <v>5.185141675360895</v>
      </c>
      <c r="Q4" s="22">
        <f>+AVERAGE(P8:P32)</f>
        <v>6.5645319263098294</v>
      </c>
      <c r="S4">
        <f>10^N4</f>
        <v>178.59875104001065</v>
      </c>
      <c r="T4">
        <f>+LN(S4)</f>
        <v>5.1851416753608959</v>
      </c>
    </row>
    <row r="5" spans="1:20" x14ac:dyDescent="0.2">
      <c r="M5" s="10" t="s">
        <v>25</v>
      </c>
      <c r="N5" s="18">
        <f>+STDEV(N8:N28)</f>
        <v>0.49698476981949935</v>
      </c>
      <c r="O5" s="10">
        <f>+STDEV(O8:O28)</f>
        <v>0.6526929747395368</v>
      </c>
      <c r="P5" s="23">
        <f>+STDEV(P8:P28)</f>
        <v>1.1443497224314589</v>
      </c>
      <c r="Q5" s="23">
        <f>+STDEV(P8:P32)</f>
        <v>3.940058035712759</v>
      </c>
      <c r="S5">
        <f>10^N5</f>
        <v>3.1403985619781731</v>
      </c>
      <c r="T5">
        <f>+LN(S5)</f>
        <v>1.1443497224314565</v>
      </c>
    </row>
    <row r="6" spans="1:20" x14ac:dyDescent="0.2">
      <c r="N6" s="19"/>
    </row>
    <row r="7" spans="1:20" x14ac:dyDescent="0.2">
      <c r="A7" t="s">
        <v>3</v>
      </c>
      <c r="B7" t="s">
        <v>2</v>
      </c>
      <c r="C7" t="s">
        <v>4</v>
      </c>
      <c r="D7" t="s">
        <v>8</v>
      </c>
      <c r="E7" t="s">
        <v>12</v>
      </c>
      <c r="F7" s="1" t="s">
        <v>9</v>
      </c>
      <c r="G7" s="1" t="s">
        <v>6</v>
      </c>
      <c r="H7" s="1" t="s">
        <v>43</v>
      </c>
      <c r="I7" s="1"/>
      <c r="J7" t="s">
        <v>20</v>
      </c>
      <c r="K7" s="1" t="s">
        <v>21</v>
      </c>
      <c r="L7" s="1" t="s">
        <v>22</v>
      </c>
      <c r="M7" s="1" t="s">
        <v>44</v>
      </c>
      <c r="N7" s="20" t="s">
        <v>23</v>
      </c>
      <c r="O7" s="1" t="s">
        <v>45</v>
      </c>
    </row>
    <row r="8" spans="1:20" x14ac:dyDescent="0.2">
      <c r="A8" t="s">
        <v>5</v>
      </c>
      <c r="B8">
        <v>1990</v>
      </c>
      <c r="C8" s="1" t="s">
        <v>1</v>
      </c>
      <c r="D8">
        <v>106</v>
      </c>
      <c r="E8">
        <v>3.04</v>
      </c>
      <c r="F8" s="13">
        <v>30</v>
      </c>
      <c r="G8" s="2" t="s">
        <v>7</v>
      </c>
      <c r="H8" s="2">
        <v>0.8</v>
      </c>
      <c r="I8" s="2"/>
      <c r="J8" s="1">
        <f>+$C$3*(D8^$C$4)</f>
        <v>22244.578029066797</v>
      </c>
      <c r="K8" s="4">
        <f t="shared" ref="K8:K27" si="0">+$D$3*(F8^$D$4)</f>
        <v>329.65902896118399</v>
      </c>
      <c r="L8">
        <f>+(J8/K8)</f>
        <v>67.477533071560444</v>
      </c>
      <c r="M8">
        <f>+(J8/K8)*H8</f>
        <v>53.982026457248359</v>
      </c>
      <c r="N8" s="19">
        <f>+LOG10(L8)</f>
        <v>1.8291591967239547</v>
      </c>
      <c r="O8">
        <f>+LOG10(M8)</f>
        <v>1.7322491837158982</v>
      </c>
      <c r="P8">
        <f>+LN(L8)</f>
        <v>4.2117946990895412</v>
      </c>
    </row>
    <row r="9" spans="1:20" x14ac:dyDescent="0.2">
      <c r="A9" t="s">
        <v>5</v>
      </c>
      <c r="B9">
        <v>1990</v>
      </c>
      <c r="C9" s="1" t="s">
        <v>1</v>
      </c>
      <c r="D9">
        <v>106</v>
      </c>
      <c r="E9">
        <v>3.04</v>
      </c>
      <c r="F9">
        <v>27</v>
      </c>
      <c r="G9" s="2" t="s">
        <v>10</v>
      </c>
      <c r="H9" s="2">
        <v>0.2</v>
      </c>
      <c r="I9" s="2"/>
      <c r="J9" s="1">
        <f t="shared" ref="J9:J28" si="1">+$C$3*(D9^$C$4)</f>
        <v>22244.578029066797</v>
      </c>
      <c r="K9" s="4">
        <f>+$E$3*(F9^$E$4)</f>
        <v>316.8963</v>
      </c>
      <c r="L9">
        <f t="shared" ref="L9:L32" si="2">+(J9/K9)</f>
        <v>70.195133326160004</v>
      </c>
      <c r="M9">
        <f t="shared" ref="M9:M28" si="3">+(J9/K9)*H9</f>
        <v>14.039026665232001</v>
      </c>
      <c r="N9" s="19">
        <f t="shared" ref="N9:N28" si="4">+LOG10(L9)</f>
        <v>1.8463070032571585</v>
      </c>
      <c r="O9">
        <f t="shared" ref="O9:O28" si="5">+LOG10(M9)</f>
        <v>1.1473369989211395</v>
      </c>
      <c r="P9">
        <f t="shared" ref="P9:P28" si="6">+LN(L9)</f>
        <v>4.251278982790442</v>
      </c>
    </row>
    <row r="10" spans="1:20" x14ac:dyDescent="0.2">
      <c r="C10" s="1"/>
      <c r="D10">
        <f>106+3.04</f>
        <v>109.04</v>
      </c>
      <c r="F10">
        <v>30</v>
      </c>
      <c r="G10" s="2" t="s">
        <v>7</v>
      </c>
      <c r="H10" s="2">
        <v>0.8</v>
      </c>
      <c r="I10" s="2"/>
      <c r="J10" s="1">
        <f t="shared" si="1"/>
        <v>24262.661480196683</v>
      </c>
      <c r="K10" s="4">
        <f t="shared" si="0"/>
        <v>329.65902896118399</v>
      </c>
      <c r="L10">
        <f t="shared" si="2"/>
        <v>73.59926271897595</v>
      </c>
      <c r="M10">
        <f t="shared" si="3"/>
        <v>58.879410175180766</v>
      </c>
      <c r="N10" s="19">
        <f t="shared" si="4"/>
        <v>1.8668734638118991</v>
      </c>
      <c r="O10">
        <f t="shared" si="5"/>
        <v>1.7699634508038427</v>
      </c>
      <c r="P10">
        <f t="shared" si="6"/>
        <v>4.2986350082794376</v>
      </c>
    </row>
    <row r="11" spans="1:20" x14ac:dyDescent="0.2">
      <c r="C11" s="1"/>
      <c r="D11">
        <f>106+3.04</f>
        <v>109.04</v>
      </c>
      <c r="F11">
        <v>27</v>
      </c>
      <c r="G11" s="2" t="s">
        <v>10</v>
      </c>
      <c r="H11" s="2">
        <v>0.2</v>
      </c>
      <c r="I11" s="2"/>
      <c r="J11" s="1">
        <f t="shared" si="1"/>
        <v>24262.661480196683</v>
      </c>
      <c r="K11" s="4">
        <f>+$E$3*(F11^$E$4)</f>
        <v>316.8963</v>
      </c>
      <c r="L11">
        <f t="shared" si="2"/>
        <v>76.563410428574528</v>
      </c>
      <c r="M11">
        <f t="shared" si="3"/>
        <v>15.312682085714906</v>
      </c>
      <c r="N11" s="19">
        <f t="shared" si="4"/>
        <v>1.8840212703451029</v>
      </c>
      <c r="O11">
        <f t="shared" si="5"/>
        <v>1.1850512660090842</v>
      </c>
      <c r="P11">
        <f t="shared" si="6"/>
        <v>4.3381192919803393</v>
      </c>
    </row>
    <row r="12" spans="1:20" x14ac:dyDescent="0.2">
      <c r="C12" s="1"/>
      <c r="D12">
        <f>106-3.04</f>
        <v>102.96</v>
      </c>
      <c r="F12">
        <v>30</v>
      </c>
      <c r="G12" s="2" t="s">
        <v>7</v>
      </c>
      <c r="H12" s="2">
        <v>0.8</v>
      </c>
      <c r="I12" s="2"/>
      <c r="J12" s="1">
        <f t="shared" si="1"/>
        <v>20342.878239219368</v>
      </c>
      <c r="K12" s="4">
        <f t="shared" si="0"/>
        <v>329.65902896118399</v>
      </c>
      <c r="L12">
        <f t="shared" si="2"/>
        <v>61.708845965249324</v>
      </c>
      <c r="M12">
        <f t="shared" si="3"/>
        <v>49.367076772199461</v>
      </c>
      <c r="N12" s="19">
        <f t="shared" si="4"/>
        <v>1.790347424625202</v>
      </c>
      <c r="O12">
        <f t="shared" si="5"/>
        <v>1.6934374116171456</v>
      </c>
      <c r="P12">
        <f t="shared" si="6"/>
        <v>4.1224272912222713</v>
      </c>
    </row>
    <row r="13" spans="1:20" x14ac:dyDescent="0.2">
      <c r="C13" s="1"/>
      <c r="D13">
        <f>106-3.04</f>
        <v>102.96</v>
      </c>
      <c r="F13">
        <v>27</v>
      </c>
      <c r="G13" s="2" t="s">
        <v>10</v>
      </c>
      <c r="H13" s="2">
        <v>0.2</v>
      </c>
      <c r="I13" s="2"/>
      <c r="J13" s="1">
        <f t="shared" si="1"/>
        <v>20342.878239219368</v>
      </c>
      <c r="K13" s="4">
        <f>+$E$3*(F13^$E$4)</f>
        <v>316.8963</v>
      </c>
      <c r="L13">
        <f t="shared" si="2"/>
        <v>64.194117252929018</v>
      </c>
      <c r="M13">
        <f t="shared" si="3"/>
        <v>12.838823450585805</v>
      </c>
      <c r="N13" s="19">
        <f t="shared" si="4"/>
        <v>1.8074952311584058</v>
      </c>
      <c r="O13">
        <f t="shared" si="5"/>
        <v>1.1085252268223871</v>
      </c>
      <c r="P13">
        <f t="shared" si="6"/>
        <v>4.1619115749231721</v>
      </c>
    </row>
    <row r="14" spans="1:20" x14ac:dyDescent="0.2">
      <c r="A14" t="s">
        <v>5</v>
      </c>
      <c r="B14">
        <v>1990</v>
      </c>
      <c r="C14" s="1" t="s">
        <v>11</v>
      </c>
      <c r="D14">
        <v>108.1</v>
      </c>
      <c r="E14">
        <v>7.45</v>
      </c>
      <c r="F14">
        <v>34</v>
      </c>
      <c r="G14" s="2" t="s">
        <v>13</v>
      </c>
      <c r="H14" s="2">
        <v>1</v>
      </c>
      <c r="I14" s="2"/>
      <c r="J14" s="1">
        <f t="shared" si="1"/>
        <v>23626.003808428479</v>
      </c>
      <c r="K14" s="4">
        <f>+$F$3*(F14^$F$4)</f>
        <v>69.197003831307242</v>
      </c>
      <c r="L14">
        <f t="shared" si="2"/>
        <v>341.4310230255839</v>
      </c>
      <c r="M14">
        <f t="shared" si="3"/>
        <v>341.4310230255839</v>
      </c>
      <c r="N14" s="19">
        <f t="shared" si="4"/>
        <v>2.5333029793349784</v>
      </c>
      <c r="O14">
        <f t="shared" si="5"/>
        <v>2.5333029793349784</v>
      </c>
      <c r="P14">
        <f t="shared" si="6"/>
        <v>5.8331456762541238</v>
      </c>
    </row>
    <row r="15" spans="1:20" x14ac:dyDescent="0.2">
      <c r="C15" s="1"/>
      <c r="D15">
        <v>115.55</v>
      </c>
      <c r="F15">
        <v>34</v>
      </c>
      <c r="G15" s="2" t="s">
        <v>13</v>
      </c>
      <c r="H15" s="2">
        <v>1</v>
      </c>
      <c r="I15" s="2"/>
      <c r="J15" s="1">
        <f t="shared" si="1"/>
        <v>28992.379996798194</v>
      </c>
      <c r="K15" s="4">
        <f>+$F$3*(F15^$F$4)</f>
        <v>69.197003831307242</v>
      </c>
      <c r="L15">
        <f t="shared" si="2"/>
        <v>418.98316966840963</v>
      </c>
      <c r="M15">
        <f t="shared" si="3"/>
        <v>418.98316966840963</v>
      </c>
      <c r="N15" s="19">
        <f t="shared" si="4"/>
        <v>2.6221965779377938</v>
      </c>
      <c r="O15">
        <f t="shared" si="5"/>
        <v>2.6221965779377938</v>
      </c>
      <c r="P15">
        <f t="shared" si="6"/>
        <v>6.0378307512595635</v>
      </c>
    </row>
    <row r="16" spans="1:20" x14ac:dyDescent="0.2">
      <c r="C16" s="1"/>
      <c r="D16">
        <v>100.64999999999999</v>
      </c>
      <c r="F16">
        <v>34</v>
      </c>
      <c r="G16" s="2" t="s">
        <v>13</v>
      </c>
      <c r="H16" s="2">
        <v>1</v>
      </c>
      <c r="I16" s="2"/>
      <c r="J16" s="1">
        <f t="shared" si="1"/>
        <v>18973.457425504741</v>
      </c>
      <c r="K16" s="4">
        <f>+$F$3*(F16^$F$4)</f>
        <v>69.197003831307242</v>
      </c>
      <c r="L16">
        <f t="shared" si="2"/>
        <v>274.19478264925192</v>
      </c>
      <c r="M16">
        <f t="shared" si="3"/>
        <v>274.19478264925192</v>
      </c>
      <c r="N16" s="19">
        <f t="shared" si="4"/>
        <v>2.4380591868203894</v>
      </c>
      <c r="O16">
        <f t="shared" si="5"/>
        <v>2.4380591868203894</v>
      </c>
      <c r="P16">
        <f t="shared" si="6"/>
        <v>5.6138387394098137</v>
      </c>
    </row>
    <row r="17" spans="1:16" x14ac:dyDescent="0.2">
      <c r="A17" t="s">
        <v>5</v>
      </c>
      <c r="B17">
        <v>1991</v>
      </c>
      <c r="C17" s="1" t="s">
        <v>14</v>
      </c>
      <c r="D17">
        <v>55.3</v>
      </c>
      <c r="E17">
        <v>2.0299999999999998</v>
      </c>
      <c r="F17">
        <v>15.5</v>
      </c>
      <c r="G17" s="2" t="s">
        <v>7</v>
      </c>
      <c r="H17" s="2">
        <v>0.4</v>
      </c>
      <c r="I17" s="2"/>
      <c r="J17" s="1">
        <f t="shared" si="1"/>
        <v>3015.5200584362328</v>
      </c>
      <c r="K17" s="4">
        <f t="shared" si="0"/>
        <v>43.761694312227732</v>
      </c>
      <c r="L17">
        <f t="shared" si="2"/>
        <v>68.90775382052901</v>
      </c>
      <c r="M17">
        <f t="shared" si="3"/>
        <v>27.563101528211604</v>
      </c>
      <c r="N17" s="19">
        <f t="shared" si="4"/>
        <v>1.8382680934896611</v>
      </c>
      <c r="O17">
        <f t="shared" si="5"/>
        <v>1.4403280848176234</v>
      </c>
      <c r="P17">
        <f t="shared" si="6"/>
        <v>4.2327687089958781</v>
      </c>
    </row>
    <row r="18" spans="1:16" x14ac:dyDescent="0.2">
      <c r="A18" t="s">
        <v>5</v>
      </c>
      <c r="B18">
        <v>1991</v>
      </c>
      <c r="C18" s="1" t="s">
        <v>14</v>
      </c>
      <c r="D18">
        <v>55.3</v>
      </c>
      <c r="E18">
        <v>2.0299999999999998</v>
      </c>
      <c r="F18">
        <v>21.3</v>
      </c>
      <c r="G18" s="2" t="s">
        <v>13</v>
      </c>
      <c r="H18" s="2">
        <v>0.2</v>
      </c>
      <c r="I18" s="2"/>
      <c r="J18" s="1">
        <f t="shared" si="1"/>
        <v>3015.5200584362328</v>
      </c>
      <c r="K18" s="4">
        <f>+$F$3*(F18^$F$4)</f>
        <v>16.342662369758607</v>
      </c>
      <c r="L18">
        <f t="shared" si="2"/>
        <v>184.51828656855341</v>
      </c>
      <c r="M18">
        <f t="shared" si="3"/>
        <v>36.903657313710681</v>
      </c>
      <c r="N18" s="19">
        <f t="shared" si="4"/>
        <v>2.266039413109016</v>
      </c>
      <c r="O18">
        <f t="shared" si="5"/>
        <v>1.5670694087729971</v>
      </c>
      <c r="P18">
        <f t="shared" si="6"/>
        <v>5.2177485727617965</v>
      </c>
    </row>
    <row r="19" spans="1:16" x14ac:dyDescent="0.2">
      <c r="A19" t="s">
        <v>5</v>
      </c>
      <c r="B19">
        <v>1991</v>
      </c>
      <c r="C19" s="1" t="s">
        <v>14</v>
      </c>
      <c r="D19">
        <v>55.3</v>
      </c>
      <c r="E19">
        <v>2.0299999999999998</v>
      </c>
      <c r="F19">
        <v>7</v>
      </c>
      <c r="G19" s="2" t="s">
        <v>16</v>
      </c>
      <c r="H19" s="2">
        <v>0.3</v>
      </c>
      <c r="I19" s="2"/>
      <c r="J19" s="1">
        <f t="shared" si="1"/>
        <v>3015.5200584362328</v>
      </c>
      <c r="K19" s="4">
        <f>+$G$3*(F19^$G$4)</f>
        <v>2.9891109283065433</v>
      </c>
      <c r="L19">
        <f t="shared" si="2"/>
        <v>1008.8351120995871</v>
      </c>
      <c r="M19">
        <f t="shared" si="3"/>
        <v>302.65053362987612</v>
      </c>
      <c r="N19" s="19">
        <f t="shared" si="4"/>
        <v>3.0038201892725271</v>
      </c>
      <c r="O19">
        <f t="shared" si="5"/>
        <v>2.4809414439921897</v>
      </c>
      <c r="P19">
        <f t="shared" si="6"/>
        <v>6.9165515898534746</v>
      </c>
    </row>
    <row r="20" spans="1:16" x14ac:dyDescent="0.2">
      <c r="C20" s="1"/>
      <c r="D20">
        <v>57.33</v>
      </c>
      <c r="F20">
        <v>15.5</v>
      </c>
      <c r="G20" s="2" t="s">
        <v>7</v>
      </c>
      <c r="H20" s="2">
        <v>0.4</v>
      </c>
      <c r="I20" s="2"/>
      <c r="J20" s="1">
        <f t="shared" si="1"/>
        <v>3368.5842825264963</v>
      </c>
      <c r="K20" s="4">
        <f t="shared" si="0"/>
        <v>43.761694312227732</v>
      </c>
      <c r="L20">
        <f t="shared" si="2"/>
        <v>76.975636694789912</v>
      </c>
      <c r="M20">
        <f t="shared" si="3"/>
        <v>30.790254677915968</v>
      </c>
      <c r="N20" s="19">
        <f t="shared" si="4"/>
        <v>1.886353289805055</v>
      </c>
      <c r="O20">
        <f t="shared" si="5"/>
        <v>1.4884132811330175</v>
      </c>
      <c r="P20">
        <f t="shared" si="6"/>
        <v>4.3434889652253963</v>
      </c>
    </row>
    <row r="21" spans="1:16" x14ac:dyDescent="0.2">
      <c r="C21" s="1"/>
      <c r="D21">
        <v>57.33</v>
      </c>
      <c r="F21">
        <v>21.3</v>
      </c>
      <c r="G21" s="2" t="s">
        <v>13</v>
      </c>
      <c r="H21" s="2">
        <v>0.2</v>
      </c>
      <c r="I21" s="2"/>
      <c r="J21" s="1">
        <f t="shared" si="1"/>
        <v>3368.5842825264963</v>
      </c>
      <c r="K21" s="4">
        <f>+$F$3*(F21^$F$4)</f>
        <v>16.342662369758607</v>
      </c>
      <c r="L21">
        <f t="shared" si="2"/>
        <v>206.12212418705514</v>
      </c>
      <c r="M21">
        <f t="shared" si="3"/>
        <v>41.224424837411028</v>
      </c>
      <c r="N21" s="19">
        <f t="shared" si="4"/>
        <v>2.3141246094244101</v>
      </c>
      <c r="O21">
        <f t="shared" si="5"/>
        <v>1.6151546050883911</v>
      </c>
      <c r="P21">
        <f t="shared" si="6"/>
        <v>5.3284688289913147</v>
      </c>
    </row>
    <row r="22" spans="1:16" x14ac:dyDescent="0.2">
      <c r="C22" s="1"/>
      <c r="D22">
        <v>57.33</v>
      </c>
      <c r="F22">
        <v>7</v>
      </c>
      <c r="G22" s="2" t="s">
        <v>16</v>
      </c>
      <c r="H22" s="2">
        <v>0.3</v>
      </c>
      <c r="I22" s="2"/>
      <c r="J22" s="1">
        <f t="shared" si="1"/>
        <v>3368.5842825264963</v>
      </c>
      <c r="K22" s="4">
        <f t="shared" si="0"/>
        <v>3.8495295848911146</v>
      </c>
      <c r="L22">
        <f t="shared" si="2"/>
        <v>875.0638768299732</v>
      </c>
      <c r="M22">
        <f t="shared" si="3"/>
        <v>262.51916304899197</v>
      </c>
      <c r="N22" s="19">
        <f t="shared" si="4"/>
        <v>2.9420397562705873</v>
      </c>
      <c r="O22">
        <f t="shared" si="5"/>
        <v>2.4191610109902495</v>
      </c>
      <c r="P22">
        <f t="shared" si="6"/>
        <v>6.774296885784489</v>
      </c>
    </row>
    <row r="23" spans="1:16" x14ac:dyDescent="0.2">
      <c r="C23" s="1"/>
      <c r="D23">
        <v>53.269999999999996</v>
      </c>
      <c r="F23">
        <v>15.5</v>
      </c>
      <c r="G23" s="2" t="s">
        <v>7</v>
      </c>
      <c r="H23" s="2">
        <v>0.4</v>
      </c>
      <c r="I23" s="2"/>
      <c r="J23" s="1">
        <f t="shared" si="1"/>
        <v>2688.3044858444268</v>
      </c>
      <c r="K23" s="4">
        <f t="shared" si="0"/>
        <v>43.761694312227732</v>
      </c>
      <c r="L23">
        <f t="shared" si="2"/>
        <v>61.430539381407606</v>
      </c>
      <c r="M23">
        <f t="shared" si="3"/>
        <v>24.572215752563043</v>
      </c>
      <c r="N23" s="19">
        <f t="shared" si="4"/>
        <v>1.7883843285922405</v>
      </c>
      <c r="O23">
        <f t="shared" si="5"/>
        <v>1.390444319920203</v>
      </c>
      <c r="P23">
        <f t="shared" si="6"/>
        <v>4.1179070955606578</v>
      </c>
    </row>
    <row r="24" spans="1:16" x14ac:dyDescent="0.2">
      <c r="C24" s="1"/>
      <c r="D24">
        <v>53.269999999999996</v>
      </c>
      <c r="F24">
        <v>21.3</v>
      </c>
      <c r="G24" s="2" t="s">
        <v>13</v>
      </c>
      <c r="H24" s="2">
        <v>0.2</v>
      </c>
      <c r="I24" s="2"/>
      <c r="J24" s="1">
        <f t="shared" si="1"/>
        <v>2688.3044858444268</v>
      </c>
      <c r="K24" s="4">
        <f t="shared" si="0"/>
        <v>115.67230861019125</v>
      </c>
      <c r="L24">
        <f t="shared" si="2"/>
        <v>23.240691900633294</v>
      </c>
      <c r="M24">
        <f t="shared" si="3"/>
        <v>4.6481383801266594</v>
      </c>
      <c r="N24" s="19">
        <f t="shared" si="4"/>
        <v>1.3662490533290541</v>
      </c>
      <c r="O24">
        <f t="shared" si="5"/>
        <v>0.66727904899303536</v>
      </c>
      <c r="P24">
        <f t="shared" si="6"/>
        <v>3.145904703512707</v>
      </c>
    </row>
    <row r="25" spans="1:16" x14ac:dyDescent="0.2">
      <c r="C25" s="1"/>
      <c r="D25">
        <v>53.269999999999996</v>
      </c>
      <c r="F25">
        <v>7</v>
      </c>
      <c r="G25" s="2" t="s">
        <v>16</v>
      </c>
      <c r="H25" s="2">
        <v>0.3</v>
      </c>
      <c r="I25" s="2"/>
      <c r="J25" s="1">
        <f t="shared" si="1"/>
        <v>2688.3044858444268</v>
      </c>
      <c r="K25" s="4">
        <f>+$G$3*(F25^$G$4)</f>
        <v>2.9891109283065433</v>
      </c>
      <c r="L25">
        <f t="shared" si="2"/>
        <v>899.36591525810786</v>
      </c>
      <c r="M25">
        <f t="shared" si="3"/>
        <v>269.80977457743234</v>
      </c>
      <c r="N25" s="19">
        <f t="shared" si="4"/>
        <v>2.9539364243751067</v>
      </c>
      <c r="O25">
        <f t="shared" si="5"/>
        <v>2.4310576790947693</v>
      </c>
      <c r="P25">
        <f t="shared" si="6"/>
        <v>6.8016899764182543</v>
      </c>
    </row>
    <row r="26" spans="1:16" x14ac:dyDescent="0.2">
      <c r="A26" t="s">
        <v>5</v>
      </c>
      <c r="B26">
        <v>1991</v>
      </c>
      <c r="C26" s="1" t="s">
        <v>15</v>
      </c>
      <c r="D26">
        <v>57.6</v>
      </c>
      <c r="E26">
        <v>1.06</v>
      </c>
      <c r="F26">
        <v>8</v>
      </c>
      <c r="G26" s="2" t="s">
        <v>7</v>
      </c>
      <c r="H26" s="2">
        <v>1</v>
      </c>
      <c r="I26" s="2"/>
      <c r="J26" s="1">
        <f t="shared" si="1"/>
        <v>3417.5456898968282</v>
      </c>
      <c r="K26" s="4">
        <f t="shared" si="0"/>
        <v>5.790827687697365</v>
      </c>
      <c r="L26">
        <f t="shared" si="2"/>
        <v>590.16532250776811</v>
      </c>
      <c r="M26">
        <f t="shared" si="3"/>
        <v>590.16532250776811</v>
      </c>
      <c r="N26" s="19">
        <f t="shared" si="4"/>
        <v>2.7709736872276887</v>
      </c>
      <c r="O26">
        <f t="shared" si="5"/>
        <v>2.7709736872276887</v>
      </c>
      <c r="P26">
        <f t="shared" si="6"/>
        <v>6.3804027052892209</v>
      </c>
    </row>
    <row r="27" spans="1:16" x14ac:dyDescent="0.2">
      <c r="A27" t="s">
        <v>5</v>
      </c>
      <c r="D27">
        <f>57.6+1.06</f>
        <v>58.660000000000004</v>
      </c>
      <c r="F27">
        <v>8</v>
      </c>
      <c r="G27" s="2" t="s">
        <v>7</v>
      </c>
      <c r="H27" s="2">
        <v>1</v>
      </c>
      <c r="I27" s="2"/>
      <c r="J27" s="1">
        <f t="shared" si="1"/>
        <v>3614.4059530432069</v>
      </c>
      <c r="K27" s="4">
        <f t="shared" si="0"/>
        <v>5.790827687697365</v>
      </c>
      <c r="L27">
        <f t="shared" si="2"/>
        <v>624.16050830212509</v>
      </c>
      <c r="M27">
        <f t="shared" si="3"/>
        <v>624.16050830212509</v>
      </c>
      <c r="N27" s="19">
        <f t="shared" si="4"/>
        <v>2.7952962866474107</v>
      </c>
      <c r="O27">
        <f t="shared" si="5"/>
        <v>2.7952962866474107</v>
      </c>
      <c r="P27">
        <f t="shared" si="6"/>
        <v>6.4364075601359385</v>
      </c>
    </row>
    <row r="28" spans="1:16" x14ac:dyDescent="0.2">
      <c r="D28">
        <f>57.6-1.06</f>
        <v>56.54</v>
      </c>
      <c r="F28">
        <v>8</v>
      </c>
      <c r="G28" s="2" t="s">
        <v>7</v>
      </c>
      <c r="H28" s="2">
        <v>1</v>
      </c>
      <c r="I28" s="2"/>
      <c r="J28" s="1">
        <f t="shared" si="1"/>
        <v>3228.0477039383059</v>
      </c>
      <c r="K28" s="4">
        <f>+$D$3*(F28^$D$4)</f>
        <v>5.790827687697365</v>
      </c>
      <c r="L28">
        <f t="shared" si="2"/>
        <v>557.44150543389594</v>
      </c>
      <c r="M28">
        <f t="shared" si="3"/>
        <v>557.44150543389594</v>
      </c>
      <c r="N28" s="19">
        <f t="shared" si="4"/>
        <v>2.746199301854551</v>
      </c>
      <c r="O28">
        <f t="shared" si="5"/>
        <v>2.746199301854551</v>
      </c>
      <c r="P28">
        <f t="shared" si="6"/>
        <v>6.3233575748409443</v>
      </c>
    </row>
    <row r="30" spans="1:16" x14ac:dyDescent="0.2">
      <c r="G30" s="2" t="s">
        <v>53</v>
      </c>
      <c r="J30">
        <v>11560</v>
      </c>
      <c r="K30" s="24">
        <v>1.137E-2</v>
      </c>
      <c r="L30">
        <f t="shared" si="2"/>
        <v>1016710.6420404573</v>
      </c>
      <c r="N30" s="19">
        <f>+LOG10(L30)</f>
        <v>6.0071973693967751</v>
      </c>
      <c r="P30">
        <f>+LN(L30)</f>
        <v>13.83208311344606</v>
      </c>
    </row>
    <row r="31" spans="1:16" x14ac:dyDescent="0.2">
      <c r="G31" s="2" t="s">
        <v>55</v>
      </c>
      <c r="J31">
        <v>11560</v>
      </c>
      <c r="K31">
        <f>10^-3</f>
        <v>1E-3</v>
      </c>
      <c r="L31">
        <f>+(J31/K31)</f>
        <v>11560000</v>
      </c>
      <c r="N31" s="19">
        <f>+LOG10(L31)</f>
        <v>7.0629578340845098</v>
      </c>
      <c r="P31">
        <f>+LN(L31)</f>
        <v>16.263061421208505</v>
      </c>
    </row>
    <row r="32" spans="1:16" x14ac:dyDescent="0.2">
      <c r="G32" s="2" t="s">
        <v>54</v>
      </c>
      <c r="J32">
        <v>11560</v>
      </c>
      <c r="K32">
        <f>10^(-4)</f>
        <v>1E-4</v>
      </c>
      <c r="L32">
        <f t="shared" si="2"/>
        <v>115600000</v>
      </c>
      <c r="N32" s="19">
        <f t="shared" ref="N32" si="7">+LOG10(L32)</f>
        <v>8.0629578340845107</v>
      </c>
      <c r="P32">
        <f t="shared" ref="P32" si="8">+LN(L32)</f>
        <v>18.565646514202552</v>
      </c>
    </row>
    <row r="37" spans="10:10" ht="17" x14ac:dyDescent="0.25">
      <c r="J37" s="25"/>
    </row>
  </sheetData>
  <mergeCells count="1">
    <mergeCell ref="D1:G1"/>
  </mergeCells>
  <pageMargins left="0.7" right="0.7" top="0.75" bottom="0.75" header="0.3" footer="0.3"/>
  <pageSetup paperSize="9" orientation="portrait" r:id="rId1"/>
  <ignoredErrors>
    <ignoredError sqref="K9 K11 K17 K21 K2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41"/>
  <sheetViews>
    <sheetView topLeftCell="B1" zoomScale="75" zoomScaleNormal="75" zoomScalePageLayoutView="75" workbookViewId="0">
      <selection activeCell="F55" sqref="F55"/>
    </sheetView>
  </sheetViews>
  <sheetFormatPr baseColWidth="10" defaultColWidth="9" defaultRowHeight="15" x14ac:dyDescent="0.2"/>
  <cols>
    <col min="1" max="1" width="11" customWidth="1"/>
    <col min="2" max="2" width="12" customWidth="1"/>
    <col min="3" max="3" width="14.83203125" customWidth="1"/>
    <col min="4" max="4" width="22.1640625" customWidth="1"/>
    <col min="5" max="6" width="19.83203125" customWidth="1"/>
    <col min="7" max="7" width="14.83203125" customWidth="1"/>
    <col min="8" max="9" width="19" customWidth="1"/>
    <col min="10" max="10" width="22.33203125" customWidth="1"/>
    <col min="11" max="11" width="23.1640625" customWidth="1"/>
    <col min="12" max="12" width="18.1640625" customWidth="1"/>
    <col min="13" max="14" width="11.33203125" customWidth="1"/>
    <col min="15" max="15" width="14.83203125" customWidth="1"/>
    <col min="16" max="16" width="12.6640625" customWidth="1"/>
  </cols>
  <sheetData>
    <row r="1" spans="2:17" x14ac:dyDescent="0.2">
      <c r="D1" t="s">
        <v>0</v>
      </c>
      <c r="K1" t="s">
        <v>41</v>
      </c>
    </row>
    <row r="2" spans="2:17" x14ac:dyDescent="0.2">
      <c r="C2" t="s">
        <v>19</v>
      </c>
      <c r="D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K2" s="2" t="s">
        <v>42</v>
      </c>
    </row>
    <row r="3" spans="2:17" x14ac:dyDescent="0.2">
      <c r="B3" t="s">
        <v>17</v>
      </c>
      <c r="C3" s="21">
        <v>1.18E-2</v>
      </c>
      <c r="D3">
        <f>+(0.0096+0.0049)/2</f>
        <v>7.2499999999999995E-3</v>
      </c>
      <c r="E3">
        <f>+(0.0049+0.0033)/2</f>
        <v>4.0999999999999995E-3</v>
      </c>
      <c r="F3">
        <v>5.3E-3</v>
      </c>
      <c r="G3">
        <v>1.01E-2</v>
      </c>
      <c r="H3">
        <v>1.21E-2</v>
      </c>
      <c r="I3">
        <v>8.1300000000000001E-3</v>
      </c>
      <c r="K3" s="5"/>
      <c r="O3" t="s">
        <v>51</v>
      </c>
      <c r="P3" s="1" t="s">
        <v>46</v>
      </c>
      <c r="Q3" t="s">
        <v>52</v>
      </c>
    </row>
    <row r="4" spans="2:17" x14ac:dyDescent="0.2">
      <c r="B4" t="s">
        <v>18</v>
      </c>
      <c r="C4" s="21">
        <v>3.02</v>
      </c>
      <c r="D4">
        <f>+(2.981+3.202)/2</f>
        <v>3.0914999999999999</v>
      </c>
      <c r="E4">
        <f>+(3.056+3.152)/2</f>
        <v>3.1040000000000001</v>
      </c>
      <c r="F4" s="3">
        <v>3.06</v>
      </c>
      <c r="G4">
        <v>2.8359999999999999</v>
      </c>
      <c r="H4">
        <v>2.9180000000000001</v>
      </c>
      <c r="I4">
        <v>3.1549999999999998</v>
      </c>
      <c r="N4" t="s">
        <v>24</v>
      </c>
      <c r="O4" s="14">
        <f>+AVERAGE(O8:O39)</f>
        <v>1.8397111187904032</v>
      </c>
      <c r="P4" s="12">
        <f>+AVERAGE(P8:P39)</f>
        <v>0.53107175711112908</v>
      </c>
      <c r="Q4">
        <f>+LN(10^O4)</f>
        <v>4.2360913975421806</v>
      </c>
    </row>
    <row r="5" spans="2:17" x14ac:dyDescent="0.2">
      <c r="N5" t="s">
        <v>25</v>
      </c>
      <c r="O5" s="14">
        <f>+STDEV(O8:O39)</f>
        <v>0.55342771489668119</v>
      </c>
      <c r="P5" s="12">
        <f>+STDEV(P8:P39)</f>
        <v>1.0878218904730288</v>
      </c>
      <c r="Q5">
        <f>+LN(10^O5)</f>
        <v>1.2743144063708569</v>
      </c>
    </row>
    <row r="6" spans="2:17" x14ac:dyDescent="0.2">
      <c r="O6" s="15"/>
    </row>
    <row r="7" spans="2:17" x14ac:dyDescent="0.2">
      <c r="B7" t="s">
        <v>32</v>
      </c>
      <c r="C7" t="s">
        <v>33</v>
      </c>
      <c r="D7" t="s">
        <v>50</v>
      </c>
      <c r="F7" s="1" t="s">
        <v>37</v>
      </c>
      <c r="G7" s="1"/>
      <c r="H7" s="1" t="s">
        <v>9</v>
      </c>
      <c r="I7" s="1" t="s">
        <v>35</v>
      </c>
      <c r="J7" s="1" t="s">
        <v>6</v>
      </c>
      <c r="K7" t="s">
        <v>20</v>
      </c>
      <c r="L7" s="1" t="s">
        <v>21</v>
      </c>
      <c r="M7" s="1" t="s">
        <v>22</v>
      </c>
      <c r="N7" s="1" t="s">
        <v>44</v>
      </c>
      <c r="O7" s="16" t="s">
        <v>23</v>
      </c>
      <c r="P7" s="1" t="s">
        <v>45</v>
      </c>
    </row>
    <row r="8" spans="2:17" x14ac:dyDescent="0.2">
      <c r="B8">
        <v>320</v>
      </c>
      <c r="C8" s="1">
        <v>370</v>
      </c>
      <c r="D8" s="21">
        <f>+((B8+C8)/2)/10</f>
        <v>34.5</v>
      </c>
      <c r="F8" s="11">
        <f>0.75/3</f>
        <v>0.25</v>
      </c>
      <c r="G8" s="11"/>
      <c r="H8">
        <f>+(88.57)/10</f>
        <v>8.8569999999999993</v>
      </c>
      <c r="I8">
        <f>+(6.62)/10</f>
        <v>0.66200000000000003</v>
      </c>
      <c r="J8" s="6" t="s">
        <v>29</v>
      </c>
      <c r="K8" s="21">
        <f>+$C$3*(D8^$C$4)</f>
        <v>520.110563495939</v>
      </c>
      <c r="L8" s="4">
        <f>+$G$3*(H8^$G$4)</f>
        <v>4.9071157021428258</v>
      </c>
      <c r="M8">
        <f t="shared" ref="M8:M13" si="0">+K8/L8</f>
        <v>105.99109437521894</v>
      </c>
      <c r="N8">
        <f>+M8*F8</f>
        <v>26.497773593804734</v>
      </c>
      <c r="O8" s="15">
        <f t="shared" ref="O8:P23" si="1">+LOG10(M8)</f>
        <v>2.0252693763385352</v>
      </c>
      <c r="P8">
        <f>+LN(N8)</f>
        <v>3.277060714134568</v>
      </c>
      <c r="Q8">
        <f>+LN(M8:M39)</f>
        <v>4.6633550752544588</v>
      </c>
    </row>
    <row r="9" spans="2:17" x14ac:dyDescent="0.2">
      <c r="C9" s="1"/>
      <c r="D9" s="21">
        <v>34.5</v>
      </c>
      <c r="F9" s="11">
        <f t="shared" ref="F9:F10" si="2">0.75/3</f>
        <v>0.25</v>
      </c>
      <c r="G9" s="11"/>
      <c r="H9">
        <v>9.5190000000000001</v>
      </c>
      <c r="I9" t="s">
        <v>48</v>
      </c>
      <c r="J9" s="6"/>
      <c r="K9" s="21">
        <f t="shared" ref="K9:K39" si="3">+$C$3*(D9^$C$4)</f>
        <v>520.110563495939</v>
      </c>
      <c r="L9" s="4">
        <f>+$G$3*(H9^$G$4)</f>
        <v>6.0201370284606313</v>
      </c>
      <c r="M9">
        <f t="shared" si="0"/>
        <v>86.395137027127262</v>
      </c>
      <c r="N9">
        <f t="shared" ref="N9:N39" si="4">+M9*F9</f>
        <v>21.598784256781816</v>
      </c>
      <c r="O9" s="15">
        <f t="shared" si="1"/>
        <v>1.9364892977830395</v>
      </c>
      <c r="P9">
        <f t="shared" si="1"/>
        <v>1.334429306455077</v>
      </c>
      <c r="Q9">
        <f t="shared" ref="Q9:Q39" si="5">+LN(M9:M40)</f>
        <v>4.4589313898177343</v>
      </c>
    </row>
    <row r="10" spans="2:17" x14ac:dyDescent="0.2">
      <c r="C10" s="1"/>
      <c r="D10" s="21">
        <v>34.5</v>
      </c>
      <c r="F10" s="11">
        <f t="shared" si="2"/>
        <v>0.25</v>
      </c>
      <c r="G10" s="11"/>
      <c r="H10">
        <v>8.1949999999999985</v>
      </c>
      <c r="I10" t="s">
        <v>49</v>
      </c>
      <c r="J10" s="6"/>
      <c r="K10" s="21">
        <f t="shared" si="3"/>
        <v>520.110563495939</v>
      </c>
      <c r="L10" s="4">
        <f>+$G$3*(H10^$G$4)</f>
        <v>3.936825983291369</v>
      </c>
      <c r="M10">
        <f t="shared" si="0"/>
        <v>132.11418683563517</v>
      </c>
      <c r="N10">
        <f t="shared" si="4"/>
        <v>33.028546708908792</v>
      </c>
      <c r="O10" s="15">
        <f t="shared" si="1"/>
        <v>2.1209494560218869</v>
      </c>
      <c r="P10">
        <f t="shared" si="1"/>
        <v>1.5188894646939246</v>
      </c>
      <c r="Q10">
        <f t="shared" si="5"/>
        <v>4.8836666004298275</v>
      </c>
    </row>
    <row r="11" spans="2:17" x14ac:dyDescent="0.2">
      <c r="C11" s="1"/>
      <c r="D11" s="21">
        <v>34.5</v>
      </c>
      <c r="F11" s="11">
        <f>0.25/3</f>
        <v>8.3333333333333329E-2</v>
      </c>
      <c r="G11" s="11"/>
      <c r="H11">
        <f>+(121.88)/10</f>
        <v>12.187999999999999</v>
      </c>
      <c r="I11">
        <f>+(4.51)/10</f>
        <v>0.45099999999999996</v>
      </c>
      <c r="J11" s="6" t="s">
        <v>34</v>
      </c>
      <c r="K11" s="21">
        <f t="shared" si="3"/>
        <v>520.110563495939</v>
      </c>
      <c r="L11" s="4">
        <f>+($E$3*(H11^$E$4))</f>
        <v>9.6276028698905431</v>
      </c>
      <c r="M11">
        <f t="shared" si="0"/>
        <v>54.022851848463517</v>
      </c>
      <c r="N11">
        <f t="shared" si="4"/>
        <v>4.5019043207052931</v>
      </c>
      <c r="O11" s="15">
        <f t="shared" si="1"/>
        <v>1.7325775067185043</v>
      </c>
      <c r="P11">
        <f t="shared" si="1"/>
        <v>0.65339626067087953</v>
      </c>
      <c r="Q11">
        <f t="shared" si="5"/>
        <v>3.9894071394268189</v>
      </c>
    </row>
    <row r="12" spans="2:17" x14ac:dyDescent="0.2">
      <c r="C12" s="1"/>
      <c r="D12" s="21">
        <v>34.5</v>
      </c>
      <c r="F12" s="11">
        <f t="shared" ref="F12:F13" si="6">0.25/3</f>
        <v>8.3333333333333329E-2</v>
      </c>
      <c r="G12" s="11"/>
      <c r="H12">
        <f>+(H11+I11)</f>
        <v>12.638999999999999</v>
      </c>
      <c r="J12" s="2"/>
      <c r="K12" s="21">
        <f t="shared" si="3"/>
        <v>520.110563495939</v>
      </c>
      <c r="L12" s="4">
        <f>+($E$3*(H12^$E$4))</f>
        <v>10.777055527143544</v>
      </c>
      <c r="M12">
        <f t="shared" si="0"/>
        <v>48.260915255188834</v>
      </c>
      <c r="N12">
        <f t="shared" si="4"/>
        <v>4.0217429379324026</v>
      </c>
      <c r="O12" s="15">
        <f t="shared" si="1"/>
        <v>1.6835955539281104</v>
      </c>
      <c r="P12">
        <f t="shared" si="1"/>
        <v>0.60441430788048556</v>
      </c>
      <c r="Q12">
        <f t="shared" si="5"/>
        <v>3.8766220251059198</v>
      </c>
    </row>
    <row r="13" spans="2:17" x14ac:dyDescent="0.2">
      <c r="C13" s="1"/>
      <c r="D13" s="21">
        <v>34.5</v>
      </c>
      <c r="F13" s="11">
        <f t="shared" si="6"/>
        <v>8.3333333333333329E-2</v>
      </c>
      <c r="G13" s="11"/>
      <c r="H13">
        <f>+H11-I11</f>
        <v>11.736999999999998</v>
      </c>
      <c r="J13" s="2"/>
      <c r="K13" s="21">
        <f t="shared" si="3"/>
        <v>520.110563495939</v>
      </c>
      <c r="L13" s="4">
        <f>+($E$3*(H13^$E$4))</f>
        <v>8.5642455235244483</v>
      </c>
      <c r="M13">
        <f t="shared" si="0"/>
        <v>60.730459217602821</v>
      </c>
      <c r="N13">
        <f t="shared" si="4"/>
        <v>5.0608716014669017</v>
      </c>
      <c r="O13" s="15">
        <f t="shared" si="1"/>
        <v>1.7834065650829927</v>
      </c>
      <c r="P13">
        <f t="shared" si="1"/>
        <v>0.704225319035368</v>
      </c>
      <c r="Q13">
        <f t="shared" si="5"/>
        <v>4.1064453715078146</v>
      </c>
    </row>
    <row r="14" spans="2:17" x14ac:dyDescent="0.2">
      <c r="B14">
        <v>371</v>
      </c>
      <c r="C14" s="1">
        <v>470</v>
      </c>
      <c r="D14" s="21">
        <f>+((B14+C14)/2)/10</f>
        <v>42.05</v>
      </c>
      <c r="F14">
        <f>0.0103/3</f>
        <v>3.4333333333333334E-3</v>
      </c>
      <c r="G14" s="11">
        <f>+C3*(D14^C4)</f>
        <v>945.48649020273479</v>
      </c>
      <c r="H14">
        <f>+(240)/10</f>
        <v>24</v>
      </c>
      <c r="I14" s="7">
        <f>+(30)/10</f>
        <v>3</v>
      </c>
      <c r="J14" s="6" t="s">
        <v>36</v>
      </c>
      <c r="K14" s="21">
        <f t="shared" si="3"/>
        <v>945.48649020273479</v>
      </c>
      <c r="L14" s="4">
        <f>+($D$3*(H14^$D$4))</f>
        <v>134.04822273977035</v>
      </c>
      <c r="M14">
        <f t="shared" ref="M14:M16" si="7">+K14/L14</f>
        <v>7.0533310392202706</v>
      </c>
      <c r="N14">
        <f t="shared" si="4"/>
        <v>2.4216436567989597E-2</v>
      </c>
      <c r="O14" s="15">
        <f t="shared" ref="O14:O15" si="8">+LOG10(M14)</f>
        <v>0.84839426738817292</v>
      </c>
      <c r="P14">
        <f t="shared" si="1"/>
        <v>-1.6158897626263173</v>
      </c>
      <c r="Q14">
        <f t="shared" si="5"/>
        <v>1.9534999930696115</v>
      </c>
    </row>
    <row r="15" spans="2:17" x14ac:dyDescent="0.2">
      <c r="C15" s="1"/>
      <c r="D15" s="21">
        <v>42.05</v>
      </c>
      <c r="F15">
        <f t="shared" ref="F15:F16" si="9">0.0103/3</f>
        <v>3.4333333333333334E-3</v>
      </c>
      <c r="G15" s="11"/>
      <c r="H15" s="8">
        <f>+H14+I14</f>
        <v>27</v>
      </c>
      <c r="J15" s="2"/>
      <c r="K15" s="21">
        <f t="shared" si="3"/>
        <v>945.48649020273479</v>
      </c>
      <c r="L15" s="4">
        <f t="shared" ref="L15:L16" si="10">+($D$3*(H15^$D$4))</f>
        <v>192.92969754811048</v>
      </c>
      <c r="M15">
        <f t="shared" si="7"/>
        <v>4.9006788598057112</v>
      </c>
      <c r="N15">
        <f t="shared" si="4"/>
        <v>1.6825664085332943E-2</v>
      </c>
      <c r="O15" s="15">
        <f t="shared" si="8"/>
        <v>0.6902562442420942</v>
      </c>
      <c r="P15">
        <f t="shared" si="1"/>
        <v>-1.7740277857723961</v>
      </c>
      <c r="Q15">
        <f t="shared" si="5"/>
        <v>1.5893737383379032</v>
      </c>
    </row>
    <row r="16" spans="2:17" x14ac:dyDescent="0.2">
      <c r="C16" s="1"/>
      <c r="D16" s="21">
        <v>42.05</v>
      </c>
      <c r="F16">
        <f t="shared" si="9"/>
        <v>3.4333333333333334E-3</v>
      </c>
      <c r="G16" s="11"/>
      <c r="H16" s="8">
        <f>+H14-I14</f>
        <v>21</v>
      </c>
      <c r="J16" s="2"/>
      <c r="K16" s="21">
        <f t="shared" si="3"/>
        <v>945.48649020273479</v>
      </c>
      <c r="L16" s="4">
        <f t="shared" si="10"/>
        <v>88.711302589405093</v>
      </c>
      <c r="M16">
        <f t="shared" si="7"/>
        <v>10.658016088196359</v>
      </c>
      <c r="N16">
        <f t="shared" si="4"/>
        <v>3.6592521902807498E-2</v>
      </c>
      <c r="O16" s="15">
        <f>+LOG10(M16)</f>
        <v>1.0276763714696922</v>
      </c>
      <c r="P16">
        <f t="shared" si="1"/>
        <v>-1.4366076585447982</v>
      </c>
      <c r="Q16">
        <f t="shared" si="5"/>
        <v>2.3663122933683245</v>
      </c>
    </row>
    <row r="17" spans="2:17" x14ac:dyDescent="0.2">
      <c r="C17" s="1"/>
      <c r="D17" s="21">
        <v>42.05</v>
      </c>
      <c r="F17">
        <f>0.3814/3</f>
        <v>0.12713333333333335</v>
      </c>
      <c r="G17" s="11"/>
      <c r="H17">
        <f>+(121.88)/10</f>
        <v>12.187999999999999</v>
      </c>
      <c r="J17" s="6" t="s">
        <v>34</v>
      </c>
      <c r="K17" s="21">
        <f t="shared" si="3"/>
        <v>945.48649020273479</v>
      </c>
      <c r="L17" s="4">
        <f>+($E$3*(H17^$E$4))</f>
        <v>9.6276028698905431</v>
      </c>
      <c r="M17">
        <f t="shared" ref="M17:M19" si="11">+K17/L17</f>
        <v>98.205805015042557</v>
      </c>
      <c r="N17">
        <f t="shared" si="4"/>
        <v>12.485231344245745</v>
      </c>
      <c r="O17" s="15">
        <f t="shared" ref="O17:P39" si="12">+LOG10(M17)</f>
        <v>1.9921371600016877</v>
      </c>
      <c r="P17">
        <f t="shared" si="1"/>
        <v>1.0963965939920122</v>
      </c>
      <c r="Q17">
        <f t="shared" si="5"/>
        <v>4.5870653278193805</v>
      </c>
    </row>
    <row r="18" spans="2:17" x14ac:dyDescent="0.2">
      <c r="C18" s="1"/>
      <c r="D18" s="21">
        <v>42.05</v>
      </c>
      <c r="F18">
        <f t="shared" ref="F18:F19" si="13">0.3814/3</f>
        <v>0.12713333333333335</v>
      </c>
      <c r="G18" s="11"/>
      <c r="H18">
        <v>16.698</v>
      </c>
      <c r="J18" s="2"/>
      <c r="K18" s="21">
        <f t="shared" si="3"/>
        <v>945.48649020273479</v>
      </c>
      <c r="L18" s="4">
        <f t="shared" ref="L18:L19" si="14">+($E$3*(H18^$E$4))</f>
        <v>25.581990326184322</v>
      </c>
      <c r="M18">
        <f t="shared" si="11"/>
        <v>36.95906683363048</v>
      </c>
      <c r="N18">
        <f t="shared" si="4"/>
        <v>4.6987293634488889</v>
      </c>
      <c r="O18" s="15">
        <f t="shared" si="12"/>
        <v>1.5677209973391626</v>
      </c>
      <c r="P18">
        <f t="shared" si="1"/>
        <v>0.67198043132948704</v>
      </c>
      <c r="Q18">
        <f t="shared" si="5"/>
        <v>3.6098109984469136</v>
      </c>
    </row>
    <row r="19" spans="2:17" x14ac:dyDescent="0.2">
      <c r="C19" s="1"/>
      <c r="D19" s="21">
        <v>42.05</v>
      </c>
      <c r="F19">
        <f t="shared" si="13"/>
        <v>0.12713333333333335</v>
      </c>
      <c r="G19" s="11"/>
      <c r="H19">
        <v>7.677999999999999</v>
      </c>
      <c r="J19" s="2"/>
      <c r="K19" s="21">
        <f t="shared" si="3"/>
        <v>945.48649020273479</v>
      </c>
      <c r="L19" s="4">
        <f t="shared" si="14"/>
        <v>2.294003009273327</v>
      </c>
      <c r="M19">
        <f t="shared" si="11"/>
        <v>412.15573230753398</v>
      </c>
      <c r="N19">
        <f t="shared" si="4"/>
        <v>52.398732100697828</v>
      </c>
      <c r="O19" s="15">
        <f t="shared" si="12"/>
        <v>2.6150613444374393</v>
      </c>
      <c r="P19">
        <f t="shared" si="1"/>
        <v>1.7193207784277635</v>
      </c>
      <c r="Q19">
        <f t="shared" si="5"/>
        <v>6.0214012689666152</v>
      </c>
    </row>
    <row r="20" spans="2:17" x14ac:dyDescent="0.2">
      <c r="C20" s="1"/>
      <c r="D20" s="21">
        <v>42.05</v>
      </c>
      <c r="F20">
        <f>0.1649/3</f>
        <v>5.4966666666666664E-2</v>
      </c>
      <c r="G20" s="11"/>
      <c r="H20">
        <f>+(172.82)/10</f>
        <v>17.282</v>
      </c>
      <c r="I20">
        <f>+(8.52)/10</f>
        <v>0.85199999999999998</v>
      </c>
      <c r="J20" s="6" t="s">
        <v>28</v>
      </c>
      <c r="K20" s="21">
        <f t="shared" si="3"/>
        <v>945.48649020273479</v>
      </c>
      <c r="L20" s="4">
        <f>+($F$3*(H20^$F$4))</f>
        <v>32.457383881113969</v>
      </c>
      <c r="M20">
        <f t="shared" ref="M20:M22" si="15">+K20/L20</f>
        <v>29.130089278479605</v>
      </c>
      <c r="N20">
        <f t="shared" si="4"/>
        <v>1.6011839073404288</v>
      </c>
      <c r="O20" s="15">
        <f t="shared" si="12"/>
        <v>1.4643418156641119</v>
      </c>
      <c r="P20">
        <f t="shared" si="1"/>
        <v>0.20444121658896813</v>
      </c>
      <c r="Q20">
        <f t="shared" si="5"/>
        <v>3.3717716357960188</v>
      </c>
    </row>
    <row r="21" spans="2:17" x14ac:dyDescent="0.2">
      <c r="C21" s="1"/>
      <c r="D21" s="21">
        <v>42.05</v>
      </c>
      <c r="F21">
        <f t="shared" ref="F21:F22" si="16">0.1649/3</f>
        <v>5.4966666666666664E-2</v>
      </c>
      <c r="G21" s="11"/>
      <c r="H21">
        <f>+H20+I20</f>
        <v>18.134</v>
      </c>
      <c r="J21" s="2"/>
      <c r="K21" s="21">
        <f t="shared" si="3"/>
        <v>945.48649020273479</v>
      </c>
      <c r="L21" s="4">
        <f t="shared" ref="L21:L22" si="17">+($F$3*(H21^$F$4))</f>
        <v>37.606794806233061</v>
      </c>
      <c r="M21">
        <f t="shared" si="15"/>
        <v>25.141373921236891</v>
      </c>
      <c r="N21">
        <f t="shared" si="4"/>
        <v>1.3819375198706543</v>
      </c>
      <c r="O21" s="15">
        <f t="shared" si="12"/>
        <v>1.4003890072444358</v>
      </c>
      <c r="P21">
        <f t="shared" si="1"/>
        <v>0.14048840816929201</v>
      </c>
      <c r="Q21">
        <f t="shared" si="5"/>
        <v>3.2245148524737686</v>
      </c>
    </row>
    <row r="22" spans="2:17" x14ac:dyDescent="0.2">
      <c r="C22" s="1"/>
      <c r="D22" s="21">
        <v>42.05</v>
      </c>
      <c r="F22">
        <f t="shared" si="16"/>
        <v>5.4966666666666664E-2</v>
      </c>
      <c r="G22" s="11"/>
      <c r="H22">
        <f>+H20-I20</f>
        <v>16.43</v>
      </c>
      <c r="J22" s="2"/>
      <c r="K22" s="21">
        <f t="shared" si="3"/>
        <v>945.48649020273479</v>
      </c>
      <c r="L22" s="4">
        <f t="shared" si="17"/>
        <v>27.805250607786011</v>
      </c>
      <c r="M22">
        <f t="shared" si="15"/>
        <v>34.003883062934172</v>
      </c>
      <c r="N22">
        <f t="shared" si="4"/>
        <v>1.869080105692615</v>
      </c>
      <c r="O22" s="15">
        <f t="shared" si="12"/>
        <v>1.5315285139985191</v>
      </c>
      <c r="P22">
        <f t="shared" si="1"/>
        <v>0.27162791492337546</v>
      </c>
      <c r="Q22">
        <f t="shared" si="5"/>
        <v>3.5264747258283129</v>
      </c>
    </row>
    <row r="23" spans="2:17" x14ac:dyDescent="0.2">
      <c r="C23" s="1"/>
      <c r="D23" s="21">
        <v>42.05</v>
      </c>
      <c r="F23">
        <f>0.2938/3</f>
        <v>9.7933333333333331E-2</v>
      </c>
      <c r="G23" s="11"/>
      <c r="H23">
        <v>8.8569999999999993</v>
      </c>
      <c r="J23" s="6" t="s">
        <v>29</v>
      </c>
      <c r="K23" s="21">
        <f t="shared" si="3"/>
        <v>945.48649020273479</v>
      </c>
      <c r="L23" s="4">
        <f>+($G$3*(H23^$G$4))</f>
        <v>4.9071157021428258</v>
      </c>
      <c r="M23">
        <f t="shared" ref="M23:M25" si="18">+K23/L23</f>
        <v>192.67662463916682</v>
      </c>
      <c r="N23">
        <f t="shared" si="4"/>
        <v>18.869464106329069</v>
      </c>
      <c r="O23" s="15">
        <f t="shared" si="12"/>
        <v>2.2848290296217186</v>
      </c>
      <c r="P23">
        <f t="shared" si="1"/>
        <v>1.2757595663562937</v>
      </c>
      <c r="Q23">
        <f t="shared" si="5"/>
        <v>5.2610132636470199</v>
      </c>
    </row>
    <row r="24" spans="2:17" x14ac:dyDescent="0.2">
      <c r="C24" s="1"/>
      <c r="D24" s="21">
        <v>42.05</v>
      </c>
      <c r="F24">
        <f t="shared" ref="F24:F25" si="19">0.2938/3</f>
        <v>9.7933333333333331E-2</v>
      </c>
      <c r="G24" s="11"/>
      <c r="H24">
        <v>9.5190000000000001</v>
      </c>
      <c r="J24" s="2"/>
      <c r="K24" s="21">
        <f t="shared" si="3"/>
        <v>945.48649020273479</v>
      </c>
      <c r="L24" s="4">
        <f>+($G$3*(H24^$G$4))</f>
        <v>6.0201370284606313</v>
      </c>
      <c r="M24">
        <f t="shared" si="18"/>
        <v>157.05398161750793</v>
      </c>
      <c r="N24">
        <f t="shared" si="4"/>
        <v>15.38081993307461</v>
      </c>
      <c r="O24" s="15">
        <f t="shared" si="12"/>
        <v>2.1960489510662229</v>
      </c>
      <c r="P24">
        <f t="shared" si="12"/>
        <v>1.1869794878007982</v>
      </c>
      <c r="Q24">
        <f t="shared" si="5"/>
        <v>5.0565895782102954</v>
      </c>
    </row>
    <row r="25" spans="2:17" x14ac:dyDescent="0.2">
      <c r="C25" s="1"/>
      <c r="D25" s="21">
        <v>42.05</v>
      </c>
      <c r="F25">
        <f t="shared" si="19"/>
        <v>9.7933333333333331E-2</v>
      </c>
      <c r="G25" s="11"/>
      <c r="H25">
        <v>8.1949999999999985</v>
      </c>
      <c r="J25" s="2"/>
      <c r="K25" s="21">
        <f t="shared" si="3"/>
        <v>945.48649020273479</v>
      </c>
      <c r="L25" s="4">
        <f>+($G$3*(H25^$G$4))</f>
        <v>3.936825983291369</v>
      </c>
      <c r="M25">
        <f t="shared" si="18"/>
        <v>240.16466417757795</v>
      </c>
      <c r="N25">
        <f t="shared" si="4"/>
        <v>23.520126111790798</v>
      </c>
      <c r="O25" s="15">
        <f t="shared" si="12"/>
        <v>2.3805091093050703</v>
      </c>
      <c r="P25">
        <f t="shared" si="12"/>
        <v>1.3714396460396456</v>
      </c>
      <c r="Q25">
        <f t="shared" si="5"/>
        <v>5.4813247888223886</v>
      </c>
    </row>
    <row r="26" spans="2:17" x14ac:dyDescent="0.2">
      <c r="B26">
        <v>471</v>
      </c>
      <c r="C26" s="1">
        <v>606</v>
      </c>
      <c r="D26" s="21">
        <f>+((B26+C26)/2)/10</f>
        <v>53.85</v>
      </c>
      <c r="F26">
        <f>0.0227/3</f>
        <v>7.5666666666666669E-3</v>
      </c>
      <c r="G26" s="11">
        <f>+C3*(D26^C4)</f>
        <v>1995.5510592721303</v>
      </c>
      <c r="H26">
        <v>24</v>
      </c>
      <c r="J26" s="6" t="s">
        <v>36</v>
      </c>
      <c r="K26" s="21">
        <f t="shared" si="3"/>
        <v>1995.5510592721303</v>
      </c>
      <c r="L26" s="4">
        <f>+($D$3*(H26^$D$4))</f>
        <v>134.04822273977035</v>
      </c>
      <c r="M26">
        <f t="shared" ref="M26:M28" si="20">+K26/L26</f>
        <v>14.886814748347099</v>
      </c>
      <c r="N26">
        <f t="shared" si="4"/>
        <v>0.11264356492915972</v>
      </c>
      <c r="O26" s="15">
        <f t="shared" si="12"/>
        <v>1.1728017840383826</v>
      </c>
      <c r="P26">
        <f t="shared" si="12"/>
        <v>-0.94829361348815699</v>
      </c>
      <c r="Q26">
        <f t="shared" si="5"/>
        <v>2.7004759049636022</v>
      </c>
    </row>
    <row r="27" spans="2:17" x14ac:dyDescent="0.2">
      <c r="C27" s="5"/>
      <c r="D27" s="21">
        <v>53.85</v>
      </c>
      <c r="F27">
        <f t="shared" ref="F27:F28" si="21">0.0227/3</f>
        <v>7.5666666666666669E-3</v>
      </c>
      <c r="G27" s="11"/>
      <c r="H27" s="8">
        <v>27</v>
      </c>
      <c r="J27" s="2"/>
      <c r="K27" s="21">
        <f t="shared" si="3"/>
        <v>1995.5510592721303</v>
      </c>
      <c r="L27" s="4">
        <f t="shared" ref="L27:L28" si="22">+($D$3*(H27^$D$4))</f>
        <v>192.92969754811048</v>
      </c>
      <c r="M27">
        <f t="shared" si="20"/>
        <v>10.34341049943596</v>
      </c>
      <c r="N27">
        <f t="shared" si="4"/>
        <v>7.8265139445732101E-2</v>
      </c>
      <c r="O27" s="15">
        <f t="shared" si="12"/>
        <v>1.0146637608923039</v>
      </c>
      <c r="P27">
        <f t="shared" si="12"/>
        <v>-1.1064316366342357</v>
      </c>
      <c r="Q27">
        <f t="shared" si="5"/>
        <v>2.3363496502318934</v>
      </c>
    </row>
    <row r="28" spans="2:17" x14ac:dyDescent="0.2">
      <c r="C28" s="1"/>
      <c r="D28" s="21">
        <v>53.85</v>
      </c>
      <c r="F28">
        <f t="shared" si="21"/>
        <v>7.5666666666666669E-3</v>
      </c>
      <c r="G28" s="11"/>
      <c r="H28" s="8">
        <v>21</v>
      </c>
      <c r="J28" s="2"/>
      <c r="K28" s="21">
        <f t="shared" si="3"/>
        <v>1995.5510592721303</v>
      </c>
      <c r="L28" s="4">
        <f t="shared" si="22"/>
        <v>88.711302589405093</v>
      </c>
      <c r="M28">
        <f t="shared" si="20"/>
        <v>22.494890741357025</v>
      </c>
      <c r="N28">
        <f t="shared" si="4"/>
        <v>0.17021133994293483</v>
      </c>
      <c r="O28" s="15">
        <f t="shared" si="12"/>
        <v>1.3520838881199018</v>
      </c>
      <c r="P28">
        <f t="shared" si="12"/>
        <v>-0.76901150940663787</v>
      </c>
      <c r="Q28">
        <f t="shared" si="5"/>
        <v>3.113288205262315</v>
      </c>
    </row>
    <row r="29" spans="2:17" x14ac:dyDescent="0.2">
      <c r="D29" s="21">
        <v>53.85</v>
      </c>
      <c r="F29">
        <f>0.0909/3</f>
        <v>3.0299999999999997E-2</v>
      </c>
      <c r="G29" s="11"/>
      <c r="H29">
        <v>12.187999999999999</v>
      </c>
      <c r="J29" s="6" t="s">
        <v>34</v>
      </c>
      <c r="K29" s="21">
        <f t="shared" si="3"/>
        <v>1995.5510592721303</v>
      </c>
      <c r="L29" s="4">
        <f>+($E$3*(H29^$E$4))</f>
        <v>9.6276028698905431</v>
      </c>
      <c r="M29">
        <f t="shared" ref="M29:M31" si="23">+K29/L29</f>
        <v>207.27392750204058</v>
      </c>
      <c r="N29">
        <f t="shared" si="4"/>
        <v>6.2804000033118292</v>
      </c>
      <c r="O29" s="15">
        <f t="shared" si="12"/>
        <v>2.3165446766518976</v>
      </c>
      <c r="P29">
        <f t="shared" si="12"/>
        <v>0.79798730515420246</v>
      </c>
      <c r="Q29">
        <f t="shared" si="5"/>
        <v>5.334041239713371</v>
      </c>
    </row>
    <row r="30" spans="2:17" x14ac:dyDescent="0.2">
      <c r="D30" s="21">
        <v>53.85</v>
      </c>
      <c r="F30">
        <f t="shared" ref="F30:F31" si="24">0.0909/3</f>
        <v>3.0299999999999997E-2</v>
      </c>
      <c r="G30" s="11"/>
      <c r="H30">
        <v>16.698</v>
      </c>
      <c r="J30" s="2"/>
      <c r="K30" s="21">
        <f t="shared" si="3"/>
        <v>1995.5510592721303</v>
      </c>
      <c r="L30" s="4">
        <f t="shared" ref="L30:L31" si="25">+($E$3*(H30^$E$4))</f>
        <v>25.581990326184322</v>
      </c>
      <c r="M30">
        <f t="shared" si="23"/>
        <v>78.006090762593786</v>
      </c>
      <c r="N30">
        <f t="shared" si="4"/>
        <v>2.3635845501065913</v>
      </c>
      <c r="O30" s="15">
        <f t="shared" si="12"/>
        <v>1.8921285139893724</v>
      </c>
      <c r="P30">
        <f t="shared" si="12"/>
        <v>0.37357114249167728</v>
      </c>
      <c r="Q30">
        <f t="shared" si="5"/>
        <v>4.3567869103409045</v>
      </c>
    </row>
    <row r="31" spans="2:17" x14ac:dyDescent="0.2">
      <c r="D31" s="21">
        <v>53.85</v>
      </c>
      <c r="F31">
        <f t="shared" si="24"/>
        <v>3.0299999999999997E-2</v>
      </c>
      <c r="G31" s="11"/>
      <c r="H31">
        <v>7.677999999999999</v>
      </c>
      <c r="K31" s="21">
        <f t="shared" si="3"/>
        <v>1995.5510592721303</v>
      </c>
      <c r="L31" s="4">
        <f t="shared" si="25"/>
        <v>2.294003009273327</v>
      </c>
      <c r="M31">
        <f t="shared" si="23"/>
        <v>869.8990590706602</v>
      </c>
      <c r="N31">
        <f t="shared" si="4"/>
        <v>26.357941489841</v>
      </c>
      <c r="O31" s="15">
        <f t="shared" si="12"/>
        <v>2.9394688610876489</v>
      </c>
      <c r="P31">
        <f t="shared" si="12"/>
        <v>1.4209114895899537</v>
      </c>
      <c r="Q31">
        <f t="shared" si="5"/>
        <v>6.7683771808606057</v>
      </c>
    </row>
    <row r="32" spans="2:17" x14ac:dyDescent="0.2">
      <c r="C32" s="5"/>
      <c r="D32" s="21">
        <v>53.85</v>
      </c>
      <c r="F32">
        <f>0.7386/3</f>
        <v>0.2462</v>
      </c>
      <c r="G32" s="11"/>
      <c r="H32">
        <v>17.282</v>
      </c>
      <c r="J32" s="6" t="s">
        <v>28</v>
      </c>
      <c r="K32" s="21">
        <f t="shared" si="3"/>
        <v>1995.5510592721303</v>
      </c>
      <c r="L32" s="4">
        <f>+($F$3*(H32^$F$4))</f>
        <v>32.457383881113969</v>
      </c>
      <c r="M32">
        <f t="shared" ref="M32:M34" si="26">+K32/L32</f>
        <v>61.482190511148524</v>
      </c>
      <c r="N32">
        <f t="shared" si="4"/>
        <v>15.136915303844766</v>
      </c>
      <c r="O32" s="15">
        <f t="shared" si="12"/>
        <v>1.7887493323143215</v>
      </c>
      <c r="P32">
        <f t="shared" si="12"/>
        <v>1.180037380909619</v>
      </c>
      <c r="Q32">
        <f t="shared" si="5"/>
        <v>4.1187475476900088</v>
      </c>
    </row>
    <row r="33" spans="3:17" x14ac:dyDescent="0.2">
      <c r="C33" s="5"/>
      <c r="D33" s="21">
        <v>53.85</v>
      </c>
      <c r="F33">
        <f t="shared" ref="F33:F34" si="27">0.7386/3</f>
        <v>0.2462</v>
      </c>
      <c r="G33" s="11"/>
      <c r="H33">
        <v>18.134</v>
      </c>
      <c r="K33" s="21">
        <f t="shared" si="3"/>
        <v>1995.5510592721303</v>
      </c>
      <c r="L33" s="4">
        <f t="shared" ref="L33:L34" si="28">+($F$3*(H33^$F$4))</f>
        <v>37.606794806233061</v>
      </c>
      <c r="M33">
        <f t="shared" si="26"/>
        <v>53.063577195400384</v>
      </c>
      <c r="N33">
        <f t="shared" si="4"/>
        <v>13.064252705507574</v>
      </c>
      <c r="O33" s="15">
        <f t="shared" si="12"/>
        <v>1.7247965238946454</v>
      </c>
      <c r="P33">
        <f t="shared" si="12"/>
        <v>1.1160845724899429</v>
      </c>
      <c r="Q33">
        <f t="shared" si="5"/>
        <v>3.9714907643677591</v>
      </c>
    </row>
    <row r="34" spans="3:17" x14ac:dyDescent="0.2">
      <c r="C34" s="5"/>
      <c r="D34" s="21">
        <v>53.85</v>
      </c>
      <c r="F34">
        <f t="shared" si="27"/>
        <v>0.2462</v>
      </c>
      <c r="G34" s="11"/>
      <c r="H34">
        <v>16.43</v>
      </c>
      <c r="K34" s="21">
        <f t="shared" si="3"/>
        <v>1995.5510592721303</v>
      </c>
      <c r="L34" s="4">
        <f t="shared" si="28"/>
        <v>27.805250607786011</v>
      </c>
      <c r="M34">
        <f t="shared" si="26"/>
        <v>71.768857163737891</v>
      </c>
      <c r="N34">
        <f t="shared" si="4"/>
        <v>17.66949263371227</v>
      </c>
      <c r="O34" s="15">
        <f t="shared" si="12"/>
        <v>1.8559360306487289</v>
      </c>
      <c r="P34">
        <f t="shared" si="12"/>
        <v>1.2472240792440263</v>
      </c>
      <c r="Q34">
        <f t="shared" si="5"/>
        <v>4.2734506377223029</v>
      </c>
    </row>
    <row r="35" spans="3:17" x14ac:dyDescent="0.2">
      <c r="C35" s="5"/>
      <c r="D35" s="21">
        <v>53.85</v>
      </c>
      <c r="F35">
        <f>0.0568/3</f>
        <v>1.8933333333333333E-2</v>
      </c>
      <c r="G35" s="11"/>
      <c r="H35">
        <v>8.8569999999999993</v>
      </c>
      <c r="J35" s="6" t="s">
        <v>38</v>
      </c>
      <c r="K35" s="21">
        <f t="shared" si="3"/>
        <v>1995.5510592721303</v>
      </c>
      <c r="L35" s="4">
        <f>+($G$3*(H35^$G$4))</f>
        <v>4.9071157021428258</v>
      </c>
      <c r="M35">
        <f t="shared" ref="M35:M37" si="29">+K35/L35</f>
        <v>406.66476610704706</v>
      </c>
      <c r="N35">
        <f t="shared" si="4"/>
        <v>7.6995195716267579</v>
      </c>
      <c r="O35" s="15">
        <f t="shared" si="12"/>
        <v>2.6092365462719282</v>
      </c>
      <c r="P35">
        <f t="shared" si="12"/>
        <v>0.88646362726328465</v>
      </c>
      <c r="Q35">
        <f t="shared" si="5"/>
        <v>6.0079891755410104</v>
      </c>
    </row>
    <row r="36" spans="3:17" x14ac:dyDescent="0.2">
      <c r="D36" s="21">
        <v>53.85</v>
      </c>
      <c r="F36">
        <f t="shared" ref="F36:F37" si="30">0.0568/3</f>
        <v>1.8933333333333333E-2</v>
      </c>
      <c r="G36" s="11"/>
      <c r="H36">
        <v>9.5190000000000001</v>
      </c>
      <c r="K36" s="21">
        <f t="shared" si="3"/>
        <v>1995.5510592721303</v>
      </c>
      <c r="L36" s="4">
        <f>+($G$3*(H36^$G$4))</f>
        <v>6.0201370284606313</v>
      </c>
      <c r="M36">
        <f t="shared" si="29"/>
        <v>331.47934172229287</v>
      </c>
      <c r="N36">
        <f t="shared" si="4"/>
        <v>6.2760088699420784</v>
      </c>
      <c r="O36" s="15">
        <f t="shared" si="12"/>
        <v>2.5204564677164325</v>
      </c>
      <c r="P36">
        <f t="shared" si="12"/>
        <v>0.79768354870778901</v>
      </c>
      <c r="Q36">
        <f t="shared" si="5"/>
        <v>5.8035654901042859</v>
      </c>
    </row>
    <row r="37" spans="3:17" x14ac:dyDescent="0.2">
      <c r="D37" s="21">
        <v>53.85</v>
      </c>
      <c r="F37">
        <f t="shared" si="30"/>
        <v>1.8933333333333333E-2</v>
      </c>
      <c r="G37" s="11"/>
      <c r="H37">
        <v>8.1949999999999985</v>
      </c>
      <c r="K37" s="21">
        <f t="shared" si="3"/>
        <v>1995.5510592721303</v>
      </c>
      <c r="L37" s="4">
        <f>+($G$3*(H37^$G$4))</f>
        <v>3.936825983291369</v>
      </c>
      <c r="M37">
        <f t="shared" si="29"/>
        <v>506.89338765330876</v>
      </c>
      <c r="N37">
        <f t="shared" si="4"/>
        <v>9.5971814729026459</v>
      </c>
      <c r="O37" s="15">
        <f t="shared" si="12"/>
        <v>2.7049166259552804</v>
      </c>
      <c r="P37">
        <f t="shared" si="12"/>
        <v>0.98214370694663655</v>
      </c>
      <c r="Q37">
        <f t="shared" si="5"/>
        <v>6.2283007007163791</v>
      </c>
    </row>
    <row r="38" spans="3:17" x14ac:dyDescent="0.2">
      <c r="D38" s="21">
        <v>53.85</v>
      </c>
      <c r="F38">
        <v>1.14E-2</v>
      </c>
      <c r="G38" s="11"/>
      <c r="H38">
        <f>+AVERAGE(H8:H37)</f>
        <v>14.569899999999997</v>
      </c>
      <c r="J38" s="1" t="s">
        <v>39</v>
      </c>
      <c r="K38" s="21">
        <f t="shared" si="3"/>
        <v>1995.5510592721303</v>
      </c>
      <c r="L38" s="4">
        <f>+($H$3*(H38^$H$4))</f>
        <v>30.043577405232295</v>
      </c>
      <c r="M38">
        <f t="shared" ref="M38" si="31">+K38/L38</f>
        <v>66.421885528338962</v>
      </c>
      <c r="N38">
        <f t="shared" si="4"/>
        <v>0.75720949502306423</v>
      </c>
      <c r="O38" s="15">
        <f t="shared" si="12"/>
        <v>1.8223111998219903</v>
      </c>
      <c r="P38">
        <f t="shared" si="12"/>
        <v>-0.12078394884153711</v>
      </c>
      <c r="Q38">
        <f t="shared" si="5"/>
        <v>4.1960266035062084</v>
      </c>
    </row>
    <row r="39" spans="3:17" x14ac:dyDescent="0.2">
      <c r="D39" s="21">
        <v>53.85</v>
      </c>
      <c r="F39">
        <v>1.14E-2</v>
      </c>
      <c r="G39" s="11"/>
      <c r="H39">
        <f>+(130/10)</f>
        <v>13</v>
      </c>
      <c r="J39" s="1" t="s">
        <v>40</v>
      </c>
      <c r="K39" s="21">
        <f t="shared" si="3"/>
        <v>1995.5510592721303</v>
      </c>
      <c r="L39" s="4">
        <f>+($I$3*(H39^$I$4))</f>
        <v>26.581643069124794</v>
      </c>
      <c r="M39">
        <f t="shared" ref="M39" si="32">+K39/L39</f>
        <v>75.07252482785799</v>
      </c>
      <c r="N39">
        <f t="shared" si="4"/>
        <v>0.85582678303758108</v>
      </c>
      <c r="O39" s="15">
        <f t="shared" si="12"/>
        <v>1.8754810222386686</v>
      </c>
      <c r="P39">
        <f t="shared" si="12"/>
        <v>-6.7614126424858673E-2</v>
      </c>
      <c r="Q39">
        <f t="shared" si="5"/>
        <v>4.3184546439999929</v>
      </c>
    </row>
    <row r="41" spans="3:17" x14ac:dyDescent="0.2">
      <c r="C41" s="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Palm ruff</vt:lpstr>
      <vt:lpstr>Eastern Pacific Bonito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tmca500</dc:creator>
  <cp:lastModifiedBy>Mariella Canales</cp:lastModifiedBy>
  <dcterms:created xsi:type="dcterms:W3CDTF">2011-02-23T09:55:07Z</dcterms:created>
  <dcterms:modified xsi:type="dcterms:W3CDTF">2018-09-11T13:11:50Z</dcterms:modified>
</cp:coreProperties>
</file>