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ovelady.AVTECHCAPITAL\Documents\Business Analyst\Commission Automation\"/>
    </mc:Choice>
  </mc:AlternateContent>
  <xr:revisionPtr revIDLastSave="0" documentId="13_ncr:1_{8FBD1A3B-5B98-4E17-80A6-CD956C280E0F}" xr6:coauthVersionLast="47" xr6:coauthVersionMax="47" xr10:uidLastSave="{00000000-0000-0000-0000-000000000000}"/>
  <bookViews>
    <workbookView xWindow="-120" yWindow="-120" windowWidth="29040" windowHeight="15840" activeTab="1" xr2:uid="{9FCDD999-55CB-469F-BA02-C5164591F194}"/>
  </bookViews>
  <sheets>
    <sheet name="Overall Structure" sheetId="1" r:id="rId1"/>
    <sheet name="Sandbox" sheetId="2" r:id="rId2"/>
    <sheet name="Bank" sheetId="3" state="hidden" r:id="rId3"/>
  </sheets>
  <definedNames>
    <definedName name="AETable">Bank!$G$3:$L$6</definedName>
    <definedName name="Commission_Pct_for_Current_Tier">Sandbox!$P$26</definedName>
    <definedName name="Commissionable_amount_for_current_tier">Sandbox!$P$29</definedName>
    <definedName name="Previous_Commission_Tier_Max">Sandbox!$P$25</definedName>
    <definedName name="Previous_Deals_AE_Commission">Sandbox!$M$22</definedName>
    <definedName name="Previous_Deals_Gross_Margin">Sandbox!$B$7</definedName>
    <definedName name="SMTable">Bank!$N$3:$S$6</definedName>
    <definedName name="Total_Cash_Received">Sandbox!$W$6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6" i="3" l="1"/>
  <c r="P5" i="3"/>
  <c r="P4" i="3"/>
  <c r="I4" i="3"/>
  <c r="I5" i="3" s="1"/>
  <c r="I6" i="3" s="1"/>
  <c r="K14" i="2" l="1"/>
  <c r="Q11" i="2"/>
  <c r="N14" i="2"/>
  <c r="S3" i="3"/>
  <c r="R5" i="3"/>
  <c r="R6" i="3" s="1"/>
  <c r="R4" i="3"/>
  <c r="R3" i="3"/>
  <c r="K5" i="3"/>
  <c r="K6" i="3" s="1"/>
  <c r="K4" i="3"/>
  <c r="K3" i="3"/>
  <c r="N6" i="3"/>
  <c r="O5" i="3" s="1"/>
  <c r="N5" i="3"/>
  <c r="S5" i="3" s="1"/>
  <c r="N4" i="3"/>
  <c r="G6" i="3"/>
  <c r="H5" i="3" s="1"/>
  <c r="G5" i="3"/>
  <c r="H4" i="3" s="1"/>
  <c r="G4" i="3"/>
  <c r="H3" i="3" s="1"/>
  <c r="S4" i="3" l="1"/>
  <c r="K16" i="2"/>
  <c r="N16" i="2" s="1"/>
  <c r="O4" i="3"/>
  <c r="S6" i="3"/>
  <c r="L4" i="3"/>
  <c r="L5" i="3"/>
  <c r="L6" i="3"/>
  <c r="O3" i="3"/>
  <c r="B13" i="2" s="1"/>
  <c r="B14" i="2" s="1"/>
  <c r="B8" i="2"/>
  <c r="E15" i="2"/>
  <c r="E17" i="2" s="1"/>
  <c r="H15" i="2"/>
  <c r="H17" i="2" s="1"/>
  <c r="Q8" i="2"/>
  <c r="C47" i="1"/>
  <c r="C45" i="1"/>
  <c r="C49" i="1" s="1"/>
  <c r="C51" i="1" s="1"/>
  <c r="C28" i="1"/>
  <c r="C26" i="1"/>
  <c r="C30" i="1" s="1"/>
  <c r="C32" i="1" s="1"/>
  <c r="C14" i="1"/>
  <c r="C7" i="1"/>
  <c r="T14" i="2" l="1"/>
  <c r="Q14" i="2" a="1"/>
  <c r="Q14" i="2" s="1"/>
  <c r="B9" i="2"/>
  <c r="W6" i="2" l="1" a="1"/>
  <c r="W6" i="2" s="1"/>
  <c r="Q16" i="2"/>
  <c r="T16" i="2" s="1"/>
  <c r="K15" i="2"/>
  <c r="N15" i="2" s="1"/>
  <c r="Q15" i="2" l="1"/>
  <c r="T15" i="2" s="1"/>
  <c r="N17" i="2"/>
  <c r="K17" i="2"/>
  <c r="T17" i="2" l="1"/>
  <c r="W5" i="2"/>
  <c r="W10" i="2" a="1"/>
  <c r="W10" i="2" s="1"/>
  <c r="W9" i="2" l="1" a="1"/>
  <c r="W9" i="2" s="1"/>
  <c r="W4" i="2" s="1"/>
  <c r="W7" i="2" s="1"/>
  <c r="Q1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<sst xmlns="http://schemas.openxmlformats.org/spreadsheetml/2006/main" count="224" uniqueCount="115">
  <si>
    <t>Incentive Compensation Plan</t>
  </si>
  <si>
    <t>Progress Funding Period</t>
  </si>
  <si>
    <t>Interim Period</t>
  </si>
  <si>
    <t>Term</t>
  </si>
  <si>
    <t>Amount Financed (Leased Property Cost)</t>
  </si>
  <si>
    <t>Payment Frequency</t>
  </si>
  <si>
    <t>Lease Rate Factor</t>
  </si>
  <si>
    <t>Payment</t>
  </si>
  <si>
    <t>Residual</t>
  </si>
  <si>
    <t>Debt Rate</t>
  </si>
  <si>
    <t>Residuals will now be booked as follows:</t>
  </si>
  <si>
    <t>If Open or FMV, according to Commission Residual Table</t>
  </si>
  <si>
    <t>If Capped, the lower of the Cap and the Commission Residual Table</t>
  </si>
  <si>
    <t>Aspire Field</t>
  </si>
  <si>
    <t xml:space="preserve">&lt;LTF&gt;DocGenConContract.Term&lt;/LTF&gt; </t>
  </si>
  <si>
    <t>&lt;LTF&gt;DocGenConContract.Payment Amount&lt;/LTF&gt;</t>
  </si>
  <si>
    <t>&lt;LTF&gt;DocGenConEquipment.Rate Factor&lt;/LTF&gt;</t>
  </si>
  <si>
    <t>&lt;LTF&gt;DocGenConContract.Amount Financed&lt;/LTF&gt;</t>
  </si>
  <si>
    <t>&lt;LTF&gt;DocGenConContract.Payment Freq&lt;/LTF&gt;</t>
  </si>
  <si>
    <t>&lt;LTF&gt;DocGenConContract.Residual Amount&lt;/LTF&gt;</t>
  </si>
  <si>
    <t>&lt;LTF&gt;DocGenConBankFunding.Funding Rate&lt;/LTF&gt;</t>
  </si>
  <si>
    <t>Extension Term (After Residual)</t>
  </si>
  <si>
    <t>Calculated in Arrears on Cash Received</t>
  </si>
  <si>
    <t>Calculated in Advance on economics of booked transaction</t>
  </si>
  <si>
    <t>Amount Financed</t>
  </si>
  <si>
    <t>Monthly</t>
  </si>
  <si>
    <t>Gross Margin</t>
  </si>
  <si>
    <t>Company Policies</t>
  </si>
  <si>
    <t>Approval Bonus</t>
  </si>
  <si>
    <t>Deal Status</t>
  </si>
  <si>
    <t>Booked</t>
  </si>
  <si>
    <t>Common Term</t>
  </si>
  <si>
    <t>Transaction Code Description</t>
  </si>
  <si>
    <t>&lt;LTF&gt;DocGenConAR History.Transaction Code Description&lt;/LTF&gt;</t>
  </si>
  <si>
    <t>Pro Rata Rental Fees - 4110 A</t>
  </si>
  <si>
    <t>Forumula</t>
  </si>
  <si>
    <r>
      <t xml:space="preserve">Cash payment received </t>
    </r>
    <r>
      <rPr>
        <i/>
        <sz val="11"/>
        <color theme="1"/>
        <rFont val="Calibri"/>
        <family val="2"/>
        <scheme val="minor"/>
      </rPr>
      <t>less</t>
    </r>
    <r>
      <rPr>
        <sz val="11"/>
        <color theme="1"/>
        <rFont val="Calibri"/>
        <family val="2"/>
        <scheme val="minor"/>
      </rPr>
      <t xml:space="preserve"> Interest Expense, broker fee and other unreimbursed costs </t>
    </r>
    <r>
      <rPr>
        <i/>
        <sz val="11"/>
        <color theme="1"/>
        <rFont val="Calibri"/>
        <family val="2"/>
        <scheme val="minor"/>
      </rPr>
      <t>multiplied</t>
    </r>
    <r>
      <rPr>
        <sz val="11"/>
        <color theme="1"/>
        <rFont val="Calibri"/>
        <family val="2"/>
        <scheme val="minor"/>
      </rPr>
      <t xml:space="preserve"> by Commission Rate</t>
    </r>
  </si>
  <si>
    <t>Example</t>
  </si>
  <si>
    <t>Pro Rata Rental Fees received</t>
  </si>
  <si>
    <t>Interest Expense</t>
  </si>
  <si>
    <t>Broker Fee %</t>
  </si>
  <si>
    <t>Broker Fee $</t>
  </si>
  <si>
    <t>Unreimbursed Costs</t>
  </si>
  <si>
    <t>Commissionable Amount</t>
  </si>
  <si>
    <t>Commission Rate</t>
  </si>
  <si>
    <t>Commission</t>
  </si>
  <si>
    <t>Should we take the broker fee and other unreimbursed costs and take them all out of the Booked Deal Gross Margin to simplify?</t>
  </si>
  <si>
    <t>Should we get rid of the Overhead Allocation and just reduce the Commission Rate accordingly?</t>
  </si>
  <si>
    <t>Interim Rent - 4120 A</t>
  </si>
  <si>
    <t>Interim Rent received</t>
  </si>
  <si>
    <t>Booked Deal (Base Term + Residual)</t>
  </si>
  <si>
    <t>Triggered by Commencement Date</t>
  </si>
  <si>
    <t xml:space="preserve">Net Funded Amount </t>
  </si>
  <si>
    <t>&lt;LTF&gt;DocGenConBankFunding.Net Funded Amount&lt;/LTF&gt;</t>
  </si>
  <si>
    <t>Commencement Date</t>
  </si>
  <si>
    <t>&lt;LTF&gt;DocGenConContract.Start Date&lt;/LTF&gt;</t>
  </si>
  <si>
    <t>&lt;LTF&gt;DocGenConContract.UdfContract - Broker Fee&lt;/LTF&gt;</t>
  </si>
  <si>
    <t>The Broker Fee = Broker Fee % multiplied by the Amount Financed</t>
  </si>
  <si>
    <r>
      <t xml:space="preserve">Present Value of the Base Term and Residual Value </t>
    </r>
    <r>
      <rPr>
        <i/>
        <sz val="11"/>
        <color theme="1"/>
        <rFont val="Calibri"/>
        <family val="2"/>
        <scheme val="minor"/>
      </rPr>
      <t>less</t>
    </r>
    <r>
      <rPr>
        <sz val="11"/>
        <color theme="1"/>
        <rFont val="Calibri"/>
        <family val="2"/>
        <scheme val="minor"/>
      </rPr>
      <t xml:space="preserve"> Overhead Allocation, broker fee and other unreimbursed costs and expenses </t>
    </r>
    <r>
      <rPr>
        <i/>
        <sz val="11"/>
        <color theme="1"/>
        <rFont val="Calibri"/>
        <family val="2"/>
        <scheme val="minor"/>
      </rPr>
      <t>multiplied</t>
    </r>
    <r>
      <rPr>
        <sz val="11"/>
        <color theme="1"/>
        <rFont val="Calibri"/>
        <family val="2"/>
        <scheme val="minor"/>
      </rPr>
      <t xml:space="preserve"> by Commission Rate</t>
    </r>
  </si>
  <si>
    <t>Extension Term Rent - 4020 A</t>
  </si>
  <si>
    <r>
      <t xml:space="preserve">Cash payment received after Residual = Residual Recovered </t>
    </r>
    <r>
      <rPr>
        <i/>
        <sz val="11"/>
        <color theme="1"/>
        <rFont val="Calibri"/>
        <family val="2"/>
        <scheme val="minor"/>
      </rPr>
      <t>less</t>
    </r>
    <r>
      <rPr>
        <sz val="11"/>
        <color theme="1"/>
        <rFont val="Calibri"/>
        <family val="2"/>
        <scheme val="minor"/>
      </rPr>
      <t xml:space="preserve"> Interest Expense, broker fee and other unreimbursed costs </t>
    </r>
    <r>
      <rPr>
        <i/>
        <sz val="11"/>
        <color theme="1"/>
        <rFont val="Calibri"/>
        <family val="2"/>
        <scheme val="minor"/>
      </rPr>
      <t>multiplied</t>
    </r>
    <r>
      <rPr>
        <sz val="11"/>
        <color theme="1"/>
        <rFont val="Calibri"/>
        <family val="2"/>
        <scheme val="minor"/>
      </rPr>
      <t xml:space="preserve"> by Commission Rate</t>
    </r>
  </si>
  <si>
    <t>Approvals</t>
  </si>
  <si>
    <t>Signed LOIs</t>
  </si>
  <si>
    <t>$X per signed LOI paid Weekly</t>
  </si>
  <si>
    <t>Number of Signed LOIs</t>
  </si>
  <si>
    <t>Commission Amount Per</t>
  </si>
  <si>
    <t>??</t>
  </si>
  <si>
    <t>X% of Approvals paid Weekly</t>
  </si>
  <si>
    <t>Amount of Approval</t>
  </si>
  <si>
    <t>Paid as Supplemental or Advance on Gross Margin?</t>
  </si>
  <si>
    <t>Approval Method</t>
  </si>
  <si>
    <t>LOI Bonus</t>
  </si>
  <si>
    <t>LOI In</t>
  </si>
  <si>
    <t>Approved</t>
  </si>
  <si>
    <t>Supplemental</t>
  </si>
  <si>
    <t>Advance</t>
  </si>
  <si>
    <t>AE</t>
  </si>
  <si>
    <t>SM</t>
  </si>
  <si>
    <t>Approval</t>
  </si>
  <si>
    <t>Progress Funding</t>
  </si>
  <si>
    <t>Interim Rent</t>
  </si>
  <si>
    <t>Extension</t>
  </si>
  <si>
    <t>AE Payout</t>
  </si>
  <si>
    <t>SM Payout</t>
  </si>
  <si>
    <t>Previous Deals</t>
  </si>
  <si>
    <t>Other Deals Payout</t>
  </si>
  <si>
    <t>Broker Payout</t>
  </si>
  <si>
    <t>Current Deal Totals</t>
  </si>
  <si>
    <t>Total Payouts</t>
  </si>
  <si>
    <t>AE Payouts</t>
  </si>
  <si>
    <t>SM Payouts</t>
  </si>
  <si>
    <t>Cash Received</t>
  </si>
  <si>
    <t>Total Cash Received</t>
  </si>
  <si>
    <t>Quarterly</t>
  </si>
  <si>
    <t>Months of Extension</t>
  </si>
  <si>
    <t>Booked Gross Margin</t>
  </si>
  <si>
    <t>Net Cash Received</t>
  </si>
  <si>
    <t>Net Gross Margin</t>
  </si>
  <si>
    <t>Approval Amount</t>
  </si>
  <si>
    <t>AE Commission Tiers</t>
  </si>
  <si>
    <t>AE Tiers</t>
  </si>
  <si>
    <t>Bonus</t>
  </si>
  <si>
    <t>SM Tiers</t>
  </si>
  <si>
    <t>Unfunded Approvals ($)</t>
  </si>
  <si>
    <t>Payout</t>
  </si>
  <si>
    <t xml:space="preserve">From </t>
  </si>
  <si>
    <t>To</t>
  </si>
  <si>
    <t>Commission is</t>
  </si>
  <si>
    <t>of excess over</t>
  </si>
  <si>
    <t>plus</t>
  </si>
  <si>
    <t>and up</t>
  </si>
  <si>
    <t>https://techcommunity.microsoft.com/t5/excel/tiered-calculation-formula-help/m-p/1272798</t>
  </si>
  <si>
    <t>SM Commission Tiers</t>
  </si>
  <si>
    <t>Net Net Cash Received</t>
  </si>
  <si>
    <t>Net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</si>
</sst>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00%"/>
    <numFmt numFmtId="165" formatCode="_(&quot;$&quot;* #,##0_);_(&quot;$&quot;* \(#,##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14">
    <xf numFmtId="0" fontId="0" fillId="0" borderId="0" xfId="0"/>
    <xf numFmtId="0" fontId="2" fillId="0" borderId="0" xfId="0" applyFont="1"/>
    <xf numFmtId="44" fontId="0" fillId="0" borderId="0" xfId="1" applyFont="1"/>
    <xf numFmtId="9" fontId="0" fillId="0" borderId="0" xfId="2" applyFont="1"/>
    <xf numFmtId="44" fontId="0" fillId="0" borderId="0" xfId="0" applyNumberFormat="1"/>
    <xf numFmtId="0" fontId="2" fillId="0" borderId="0" xfId="0" applyFont="1" applyAlignment="1">
      <alignment horizontal="right"/>
    </xf>
    <xf numFmtId="0" fontId="0" fillId="0" borderId="0" xfId="0" applyAlignment="1">
      <alignment vertical="center"/>
    </xf>
    <xf numFmtId="0" fontId="0" fillId="2" borderId="0" xfId="0" applyFill="1"/>
    <xf numFmtId="9" fontId="0" fillId="2" borderId="0" xfId="2" applyFont="1" applyFill="1"/>
    <xf numFmtId="44" fontId="0" fillId="2" borderId="0" xfId="1" applyFont="1" applyFill="1"/>
    <xf numFmtId="10" fontId="0" fillId="2" borderId="0" xfId="2" applyNumberFormat="1" applyFont="1" applyFill="1"/>
    <xf numFmtId="0" fontId="4" fillId="4" borderId="7" xfId="0" applyFont="1" applyFill="1" applyBorder="1" applyAlignment="1" applyProtection="1">
      <alignment horizontal="center"/>
      <protection locked="0"/>
    </xf>
    <xf numFmtId="0" fontId="5" fillId="4" borderId="0" xfId="0" applyFont="1" applyFill="1" applyAlignment="1" applyProtection="1">
      <alignment horizontal="center"/>
      <protection locked="0"/>
    </xf>
    <xf numFmtId="0" fontId="5" fillId="4" borderId="0" xfId="0" applyFont="1" applyFill="1" applyProtection="1">
      <protection locked="0"/>
    </xf>
    <xf numFmtId="0" fontId="5" fillId="4" borderId="0" xfId="0" applyFont="1" applyFill="1" applyBorder="1" applyAlignment="1" applyProtection="1">
      <alignment horizontal="left"/>
      <protection locked="0"/>
    </xf>
    <xf numFmtId="0" fontId="5" fillId="4" borderId="0" xfId="0" applyFont="1" applyFill="1" applyBorder="1" applyAlignment="1" applyProtection="1">
      <alignment horizontal="center"/>
      <protection locked="0"/>
    </xf>
    <xf numFmtId="0" fontId="5" fillId="4" borderId="0" xfId="0" applyFont="1" applyFill="1" applyAlignment="1" applyProtection="1">
      <alignment horizontal="left"/>
      <protection locked="0"/>
    </xf>
    <xf numFmtId="0" fontId="5" fillId="4" borderId="0" xfId="0" applyFont="1" applyFill="1" applyBorder="1" applyProtection="1">
      <protection locked="0"/>
    </xf>
    <xf numFmtId="0" fontId="5" fillId="4" borderId="7" xfId="0" applyFont="1" applyFill="1" applyBorder="1" applyProtection="1">
      <protection locked="0"/>
    </xf>
    <xf numFmtId="0" fontId="5" fillId="4" borderId="1" xfId="0" applyFont="1" applyFill="1" applyBorder="1" applyAlignment="1" applyProtection="1">
      <alignment horizontal="left"/>
      <protection locked="0"/>
    </xf>
    <xf numFmtId="0" fontId="5" fillId="4" borderId="2" xfId="0" applyFont="1" applyFill="1" applyBorder="1" applyAlignment="1" applyProtection="1">
      <alignment horizontal="center"/>
      <protection locked="0"/>
    </xf>
    <xf numFmtId="0" fontId="5" fillId="4" borderId="7" xfId="0" applyFont="1" applyFill="1" applyBorder="1" applyAlignment="1" applyProtection="1">
      <alignment horizontal="left"/>
      <protection locked="0"/>
    </xf>
    <xf numFmtId="0" fontId="5" fillId="4" borderId="9" xfId="0" applyFont="1" applyFill="1" applyBorder="1" applyAlignment="1" applyProtection="1">
      <alignment horizontal="left"/>
      <protection locked="0"/>
    </xf>
    <xf numFmtId="0" fontId="5" fillId="4" borderId="9" xfId="0" applyFont="1" applyFill="1" applyBorder="1" applyProtection="1">
      <protection locked="0"/>
    </xf>
    <xf numFmtId="44" fontId="5" fillId="4" borderId="10" xfId="0" applyNumberFormat="1" applyFont="1" applyFill="1" applyBorder="1" applyAlignment="1" applyProtection="1">
      <alignment horizontal="center"/>
    </xf>
    <xf numFmtId="0" fontId="5" fillId="4" borderId="1" xfId="0" applyFont="1" applyFill="1" applyBorder="1" applyAlignment="1" applyProtection="1">
      <alignment horizontal="left"/>
    </xf>
    <xf numFmtId="0" fontId="5" fillId="4" borderId="1" xfId="0" applyFont="1" applyFill="1" applyBorder="1" applyProtection="1">
      <protection locked="0"/>
    </xf>
    <xf numFmtId="44" fontId="5" fillId="4" borderId="2" xfId="0" applyNumberFormat="1" applyFont="1" applyFill="1" applyBorder="1" applyAlignment="1" applyProtection="1">
      <alignment horizontal="center"/>
      <protection locked="0"/>
    </xf>
    <xf numFmtId="44" fontId="5" fillId="4" borderId="2" xfId="1" applyFont="1" applyFill="1" applyBorder="1" applyAlignment="1" applyProtection="1">
      <alignment horizontal="center"/>
    </xf>
    <xf numFmtId="0" fontId="5" fillId="4" borderId="13" xfId="0" applyFont="1" applyFill="1" applyBorder="1" applyAlignment="1" applyProtection="1">
      <alignment horizontal="left"/>
      <protection locked="0"/>
    </xf>
    <xf numFmtId="44" fontId="5" fillId="4" borderId="2" xfId="0" applyNumberFormat="1" applyFont="1" applyFill="1" applyBorder="1" applyAlignment="1" applyProtection="1">
      <alignment horizontal="center"/>
    </xf>
    <xf numFmtId="0" fontId="5" fillId="4" borderId="5" xfId="0" applyFont="1" applyFill="1" applyBorder="1" applyAlignment="1" applyProtection="1">
      <alignment horizontal="left"/>
      <protection locked="0"/>
    </xf>
    <xf numFmtId="0" fontId="5" fillId="4" borderId="6" xfId="0" applyFont="1" applyFill="1" applyBorder="1" applyAlignment="1" applyProtection="1">
      <alignment horizontal="center"/>
      <protection locked="0"/>
    </xf>
    <xf numFmtId="0" fontId="5" fillId="4" borderId="5" xfId="0" applyFont="1" applyFill="1" applyBorder="1" applyProtection="1">
      <protection locked="0"/>
    </xf>
    <xf numFmtId="44" fontId="6" fillId="3" borderId="2" xfId="1" applyFont="1" applyFill="1" applyBorder="1" applyAlignment="1" applyProtection="1">
      <alignment horizontal="center"/>
      <protection locked="0"/>
    </xf>
    <xf numFmtId="164" fontId="6" fillId="3" borderId="2" xfId="2" applyNumberFormat="1" applyFont="1" applyFill="1" applyBorder="1" applyAlignment="1" applyProtection="1">
      <alignment horizontal="center"/>
      <protection locked="0"/>
    </xf>
    <xf numFmtId="0" fontId="6" fillId="3" borderId="6" xfId="0" applyFont="1" applyFill="1" applyBorder="1" applyAlignment="1" applyProtection="1">
      <alignment horizontal="center"/>
      <protection locked="0"/>
    </xf>
    <xf numFmtId="44" fontId="6" fillId="3" borderId="8" xfId="1" applyFont="1" applyFill="1" applyBorder="1" applyAlignment="1" applyProtection="1">
      <alignment horizontal="center"/>
      <protection locked="0"/>
    </xf>
    <xf numFmtId="44" fontId="6" fillId="3" borderId="10" xfId="1" applyFont="1" applyFill="1" applyBorder="1" applyAlignment="1" applyProtection="1">
      <alignment horizontal="center"/>
      <protection locked="0"/>
    </xf>
    <xf numFmtId="0" fontId="6" fillId="3" borderId="2" xfId="0" applyFont="1" applyFill="1" applyBorder="1" applyAlignment="1" applyProtection="1">
      <alignment horizontal="center"/>
      <protection locked="0"/>
    </xf>
    <xf numFmtId="0" fontId="6" fillId="3" borderId="8" xfId="0" applyFont="1" applyFill="1" applyBorder="1" applyAlignment="1" applyProtection="1">
      <alignment horizontal="center"/>
      <protection locked="0"/>
    </xf>
    <xf numFmtId="0" fontId="2" fillId="4" borderId="0" xfId="0" applyFont="1" applyFill="1" applyProtection="1"/>
    <xf numFmtId="0" fontId="0" fillId="4" borderId="0" xfId="0" applyFill="1" applyProtection="1">
      <protection locked="0"/>
    </xf>
    <xf numFmtId="0" fontId="2" fillId="4" borderId="0" xfId="0" applyFont="1" applyFill="1" applyProtection="1">
      <protection locked="0"/>
    </xf>
    <xf numFmtId="0" fontId="0" fillId="4" borderId="0" xfId="0" applyFill="1" applyProtection="1"/>
    <xf numFmtId="0" fontId="5" fillId="4" borderId="15" xfId="0" applyFont="1" applyFill="1" applyBorder="1" applyProtection="1">
      <protection locked="0"/>
    </xf>
    <xf numFmtId="0" fontId="5" fillId="4" borderId="16" xfId="0" applyFont="1" applyFill="1" applyBorder="1" applyProtection="1">
      <protection locked="0"/>
    </xf>
    <xf numFmtId="44" fontId="5" fillId="4" borderId="14" xfId="0" applyNumberFormat="1" applyFont="1" applyFill="1" applyBorder="1" applyAlignment="1" applyProtection="1">
      <alignment horizontal="center"/>
    </xf>
    <xf numFmtId="44" fontId="5" fillId="4" borderId="14" xfId="1" applyFont="1" applyFill="1" applyBorder="1" applyAlignment="1" applyProtection="1">
      <alignment horizontal="center"/>
    </xf>
    <xf numFmtId="44" fontId="5" fillId="4" borderId="10" xfId="1" applyFont="1" applyFill="1" applyBorder="1" applyAlignment="1" applyProtection="1">
      <alignment horizontal="center"/>
    </xf>
    <xf numFmtId="44" fontId="5" fillId="4" borderId="6" xfId="0" applyNumberFormat="1" applyFont="1" applyFill="1" applyBorder="1" applyAlignment="1" applyProtection="1">
      <alignment horizontal="center"/>
    </xf>
    <xf numFmtId="0" fontId="5" fillId="4" borderId="13" xfId="0" applyFont="1" applyFill="1" applyBorder="1" applyProtection="1">
      <protection locked="0"/>
    </xf>
    <xf numFmtId="0" fontId="5" fillId="4" borderId="3" xfId="0" applyFont="1" applyFill="1" applyBorder="1" applyProtection="1">
      <protection locked="0"/>
    </xf>
    <xf numFmtId="44" fontId="5" fillId="4" borderId="4" xfId="1" applyFont="1" applyFill="1" applyBorder="1" applyAlignment="1" applyProtection="1">
      <alignment horizontal="center"/>
    </xf>
    <xf numFmtId="44" fontId="5" fillId="3" borderId="8" xfId="1" applyFont="1" applyFill="1" applyBorder="1" applyAlignment="1" applyProtection="1">
      <alignment horizontal="center"/>
      <protection locked="0"/>
    </xf>
    <xf numFmtId="0" fontId="0" fillId="4" borderId="1" xfId="0" applyFill="1" applyBorder="1"/>
    <xf numFmtId="0" fontId="0" fillId="4" borderId="2" xfId="0" applyFill="1" applyBorder="1"/>
    <xf numFmtId="0" fontId="6" fillId="3" borderId="2" xfId="1" applyNumberFormat="1" applyFont="1" applyFill="1" applyBorder="1" applyAlignment="1" applyProtection="1">
      <alignment horizontal="center"/>
      <protection locked="0"/>
    </xf>
    <xf numFmtId="10" fontId="6" fillId="3" borderId="10" xfId="2" applyNumberFormat="1" applyFont="1" applyFill="1" applyBorder="1" applyAlignment="1" applyProtection="1">
      <alignment horizontal="center"/>
      <protection locked="0"/>
    </xf>
    <xf numFmtId="0" fontId="5" fillId="4" borderId="10" xfId="0" applyFont="1" applyFill="1" applyBorder="1" applyAlignment="1" applyProtection="1">
      <alignment horizontal="center"/>
      <protection locked="0"/>
    </xf>
    <xf numFmtId="44" fontId="5" fillId="3" borderId="1" xfId="1" applyFont="1" applyFill="1" applyBorder="1" applyAlignment="1" applyProtection="1">
      <alignment horizontal="center"/>
      <protection locked="0"/>
    </xf>
    <xf numFmtId="10" fontId="5" fillId="3" borderId="0" xfId="2" applyNumberFormat="1" applyFont="1" applyFill="1" applyBorder="1" applyAlignment="1" applyProtection="1">
      <alignment horizontal="center"/>
      <protection locked="0"/>
    </xf>
    <xf numFmtId="44" fontId="5" fillId="3" borderId="5" xfId="1" applyFont="1" applyFill="1" applyBorder="1" applyAlignment="1" applyProtection="1">
      <alignment horizontal="center"/>
      <protection locked="0"/>
    </xf>
    <xf numFmtId="10" fontId="5" fillId="3" borderId="16" xfId="2" applyNumberFormat="1" applyFont="1" applyFill="1" applyBorder="1" applyAlignment="1" applyProtection="1">
      <alignment horizontal="center"/>
      <protection locked="0"/>
    </xf>
    <xf numFmtId="0" fontId="5" fillId="4" borderId="2" xfId="0" applyFont="1" applyFill="1" applyBorder="1" applyAlignment="1" applyProtection="1">
      <alignment horizontal="left"/>
      <protection locked="0"/>
    </xf>
    <xf numFmtId="164" fontId="6" fillId="3" borderId="10" xfId="2" applyNumberFormat="1" applyFont="1" applyFill="1" applyBorder="1" applyAlignment="1" applyProtection="1">
      <alignment horizontal="center"/>
      <protection locked="0"/>
    </xf>
    <xf numFmtId="0" fontId="7" fillId="4" borderId="0" xfId="3" applyFill="1" applyProtection="1"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0" fillId="4" borderId="0" xfId="0" applyFill="1" applyBorder="1" applyAlignment="1" applyProtection="1">
      <alignment horizontal="center"/>
      <protection locked="0"/>
    </xf>
    <xf numFmtId="0" fontId="0" fillId="4" borderId="2" xfId="0" applyFill="1" applyBorder="1" applyProtection="1">
      <protection locked="0"/>
    </xf>
    <xf numFmtId="44" fontId="0" fillId="4" borderId="0" xfId="1" applyFont="1" applyFill="1" applyBorder="1" applyProtection="1">
      <protection locked="0"/>
    </xf>
    <xf numFmtId="44" fontId="0" fillId="4" borderId="16" xfId="1" applyFont="1" applyFill="1" applyBorder="1" applyProtection="1">
      <protection locked="0"/>
    </xf>
    <xf numFmtId="44" fontId="0" fillId="4" borderId="1" xfId="1" applyFont="1" applyFill="1" applyBorder="1" applyProtection="1"/>
    <xf numFmtId="44" fontId="0" fillId="4" borderId="0" xfId="1" applyFont="1" applyFill="1" applyBorder="1" applyProtection="1"/>
    <xf numFmtId="44" fontId="0" fillId="4" borderId="5" xfId="1" applyFont="1" applyFill="1" applyBorder="1" applyProtection="1"/>
    <xf numFmtId="44" fontId="0" fillId="4" borderId="16" xfId="1" applyFont="1" applyFill="1" applyBorder="1" applyProtection="1"/>
    <xf numFmtId="10" fontId="0" fillId="4" borderId="0" xfId="2" applyNumberFormat="1" applyFont="1" applyFill="1" applyBorder="1" applyProtection="1"/>
    <xf numFmtId="44" fontId="0" fillId="4" borderId="2" xfId="1" applyFont="1" applyFill="1" applyBorder="1" applyProtection="1"/>
    <xf numFmtId="165" fontId="0" fillId="4" borderId="2" xfId="1" applyNumberFormat="1" applyFont="1" applyFill="1" applyBorder="1" applyProtection="1"/>
    <xf numFmtId="10" fontId="0" fillId="4" borderId="16" xfId="2" applyNumberFormat="1" applyFont="1" applyFill="1" applyBorder="1" applyProtection="1"/>
    <xf numFmtId="165" fontId="0" fillId="4" borderId="6" xfId="1" applyNumberFormat="1" applyFont="1" applyFill="1" applyBorder="1" applyProtection="1"/>
    <xf numFmtId="0" fontId="0" fillId="4" borderId="0" xfId="0" applyFill="1"/>
    <xf numFmtId="44" fontId="5" fillId="3" borderId="0" xfId="1" applyFont="1" applyFill="1" applyBorder="1" applyAlignment="1" applyProtection="1">
      <alignment horizontal="center"/>
      <protection locked="0"/>
    </xf>
    <xf numFmtId="44" fontId="5" fillId="3" borderId="2" xfId="1" applyFont="1" applyFill="1" applyBorder="1" applyAlignment="1" applyProtection="1">
      <alignment horizontal="center"/>
      <protection locked="0"/>
    </xf>
    <xf numFmtId="44" fontId="5" fillId="3" borderId="16" xfId="1" applyFont="1" applyFill="1" applyBorder="1" applyAlignment="1" applyProtection="1">
      <alignment horizontal="center"/>
      <protection locked="0"/>
    </xf>
    <xf numFmtId="44" fontId="5" fillId="3" borderId="6" xfId="1" applyFont="1" applyFill="1" applyBorder="1" applyAlignment="1" applyProtection="1">
      <alignment horizontal="center"/>
      <protection locked="0"/>
    </xf>
    <xf numFmtId="0" fontId="4" fillId="4" borderId="9" xfId="0" applyFont="1" applyFill="1" applyBorder="1" applyAlignment="1" applyProtection="1">
      <alignment horizontal="center"/>
      <protection locked="0"/>
    </xf>
    <xf numFmtId="0" fontId="4" fillId="4" borderId="15" xfId="0" applyFont="1" applyFill="1" applyBorder="1" applyAlignment="1" applyProtection="1">
      <alignment horizontal="center"/>
      <protection locked="0"/>
    </xf>
    <xf numFmtId="0" fontId="4" fillId="4" borderId="10" xfId="0" applyFont="1" applyFill="1" applyBorder="1" applyAlignment="1" applyProtection="1">
      <alignment horizontal="center"/>
      <protection locked="0"/>
    </xf>
    <xf numFmtId="0" fontId="4" fillId="4" borderId="7" xfId="0" applyFont="1" applyFill="1" applyBorder="1" applyAlignment="1" applyProtection="1">
      <alignment horizontal="center"/>
      <protection locked="0"/>
    </xf>
    <xf numFmtId="0" fontId="4" fillId="4" borderId="8" xfId="0" applyFont="1" applyFill="1" applyBorder="1" applyAlignment="1" applyProtection="1">
      <alignment horizontal="center"/>
      <protection locked="0"/>
    </xf>
    <xf numFmtId="0" fontId="5" fillId="3" borderId="11" xfId="0" applyFont="1" applyFill="1" applyBorder="1" applyAlignment="1" applyProtection="1">
      <alignment horizontal="center"/>
      <protection locked="0"/>
    </xf>
    <xf numFmtId="0" fontId="5" fillId="3" borderId="12" xfId="0" applyFont="1" applyFill="1" applyBorder="1" applyAlignment="1" applyProtection="1">
      <alignment horizontal="center"/>
      <protection locked="0"/>
    </xf>
    <xf numFmtId="0" fontId="5" fillId="3" borderId="8" xfId="0" applyFont="1" applyFill="1" applyBorder="1" applyAlignment="1" applyProtection="1">
      <alignment horizontal="center"/>
      <protection locked="0"/>
    </xf>
    <xf numFmtId="0" fontId="4" fillId="4" borderId="9" xfId="0" applyFont="1" applyFill="1" applyBorder="1" applyAlignment="1" applyProtection="1">
      <alignment horizontal="center"/>
    </xf>
    <xf numFmtId="0" fontId="4" fillId="4" borderId="10" xfId="0" applyFont="1" applyFill="1" applyBorder="1" applyAlignment="1" applyProtection="1">
      <alignment horizontal="center"/>
    </xf>
    <xf numFmtId="0" fontId="4" fillId="4" borderId="12" xfId="0" applyFont="1" applyFill="1" applyBorder="1" applyAlignment="1" applyProtection="1">
      <alignment horizontal="center"/>
      <protection locked="0"/>
    </xf>
    <xf numFmtId="0" fontId="0" fillId="4" borderId="0" xfId="0" applyFill="1" applyBorder="1" applyAlignment="1" applyProtection="1">
      <alignment horizontal="center"/>
      <protection locked="0"/>
    </xf>
    <xf numFmtId="0" fontId="2" fillId="4" borderId="9" xfId="0" applyFont="1" applyFill="1" applyBorder="1" applyAlignment="1" applyProtection="1">
      <alignment horizontal="center"/>
      <protection locked="0"/>
    </xf>
    <xf numFmtId="0" fontId="2" fillId="4" borderId="15" xfId="0" applyFont="1" applyFill="1" applyBorder="1" applyAlignment="1" applyProtection="1">
      <alignment horizontal="center"/>
      <protection locked="0"/>
    </xf>
    <xf numFmtId="0" fontId="2" fillId="4" borderId="10" xfId="0" applyFont="1" applyFill="1" applyBorder="1" applyAlignment="1" applyProtection="1">
      <alignment horizontal="center"/>
      <protection locked="0"/>
    </xf>
    <xf numFmtId="44" fontId="6" fillId="4" borderId="10" xfId="1" applyFont="1" applyFill="1" applyBorder="1" applyAlignment="1" applyProtection="1">
      <alignment horizontal="center"/>
    </xf>
    <xf numFmtId="44" fontId="6" fillId="3" borderId="6" xfId="1" applyFont="1" applyFill="1" applyBorder="1" applyAlignment="1" applyProtection="1">
      <alignment horizontal="center"/>
      <protection locked="0"/>
    </xf>
    <xf numFmtId="44" fontId="6" fillId="3" borderId="8" xfId="0" applyNumberFormat="1" applyFont="1" applyFill="1" applyBorder="1" applyAlignment="1" applyProtection="1">
      <alignment horizontal="center"/>
      <protection locked="0"/>
    </xf>
    <xf numFmtId="44" fontId="6" fillId="4" borderId="10" xfId="0" applyNumberFormat="1" applyFont="1" applyFill="1" applyBorder="1" applyAlignment="1" applyProtection="1">
      <alignment horizontal="center"/>
    </xf>
    <xf numFmtId="10" fontId="6" fillId="3" borderId="2" xfId="2" applyNumberFormat="1" applyFont="1" applyFill="1" applyBorder="1" applyAlignment="1" applyProtection="1">
      <alignment horizontal="center"/>
      <protection locked="0"/>
    </xf>
    <xf numFmtId="44" fontId="5" fillId="4" borderId="0" xfId="0" applyNumberFormat="1" applyFont="1" applyFill="1" applyAlignment="1" applyProtection="1">
      <alignment horizontal="left"/>
      <protection locked="0"/>
    </xf>
    <xf numFmtId="44" fontId="5" fillId="4" borderId="0" xfId="0" applyNumberFormat="1" applyFont="1" applyFill="1" applyProtection="1">
      <protection locked="0"/>
    </xf>
    <xf numFmtId="44" fontId="5" fillId="3" borderId="2" xfId="1" applyFont="1" applyFill="1" applyBorder="1" applyAlignment="1" applyProtection="1">
      <alignment horizontal="center"/>
    </xf>
    <xf numFmtId="44" fontId="5" fillId="4" borderId="0" xfId="1" applyFont="1" applyFill="1" applyProtection="1">
      <protection locked="0"/>
    </xf>
    <xf numFmtId="44" fontId="5" fillId="4" borderId="0" xfId="1" applyFont="1" applyFill="1" applyAlignment="1" applyProtection="1">
      <alignment horizontal="center"/>
      <protection locked="0"/>
    </xf>
    <xf numFmtId="0" fontId="5" fillId="4" borderId="1" xfId="0" applyFont="1" applyFill="1" applyBorder="1" applyAlignment="1" applyProtection="1">
      <alignment horizontal="center"/>
      <protection locked="0"/>
    </xf>
    <xf numFmtId="0" fontId="5" fillId="4" borderId="0" xfId="0" applyFont="1" applyFill="1" applyBorder="1" applyAlignment="1" applyProtection="1">
      <alignment horizontal="center"/>
      <protection locked="0"/>
    </xf>
    <xf numFmtId="0" fontId="5" fillId="4" borderId="2" xfId="0" applyFont="1" applyFill="1" applyBorder="1" applyAlignment="1" applyProtection="1">
      <alignment horizontal="center"/>
      <protection locked="0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techcommunity.microsoft.com/t5/excel/tiered-calculation-formula-help/m-p/12727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F6AE1-1579-4420-AA57-BCD24728E7E1}">
  <dimension ref="A1:I101"/>
  <sheetViews>
    <sheetView workbookViewId="0">
      <selection activeCell="C12" sqref="C12"/>
    </sheetView>
  </sheetViews>
  <sheetFormatPr defaultRowHeight="15" x14ac:dyDescent="0.25"/>
  <cols>
    <col min="1" max="1" width="53.140625" customWidth="1"/>
    <col min="2" max="2" width="38" bestFit="1" customWidth="1"/>
    <col min="3" max="3" width="59" bestFit="1" customWidth="1"/>
    <col min="9" max="9" width="12.5703125" bestFit="1" customWidth="1"/>
  </cols>
  <sheetData>
    <row r="1" spans="1:4" x14ac:dyDescent="0.25">
      <c r="A1" s="1" t="s">
        <v>0</v>
      </c>
    </row>
    <row r="3" spans="1:4" x14ac:dyDescent="0.25">
      <c r="A3" s="1" t="s">
        <v>62</v>
      </c>
    </row>
    <row r="4" spans="1:4" x14ac:dyDescent="0.25">
      <c r="A4" s="5" t="s">
        <v>35</v>
      </c>
      <c r="B4" t="s">
        <v>63</v>
      </c>
    </row>
    <row r="5" spans="1:4" x14ac:dyDescent="0.25">
      <c r="A5" s="5" t="s">
        <v>37</v>
      </c>
      <c r="B5" t="s">
        <v>64</v>
      </c>
      <c r="C5">
        <v>2</v>
      </c>
    </row>
    <row r="6" spans="1:4" x14ac:dyDescent="0.25">
      <c r="B6" t="s">
        <v>65</v>
      </c>
      <c r="C6" s="9">
        <v>50</v>
      </c>
      <c r="D6" s="7" t="s">
        <v>66</v>
      </c>
    </row>
    <row r="7" spans="1:4" x14ac:dyDescent="0.25">
      <c r="B7" t="s">
        <v>45</v>
      </c>
      <c r="C7" s="4">
        <f>+C5*C6</f>
        <v>100</v>
      </c>
    </row>
    <row r="10" spans="1:4" x14ac:dyDescent="0.25">
      <c r="A10" s="1" t="s">
        <v>61</v>
      </c>
    </row>
    <row r="11" spans="1:4" x14ac:dyDescent="0.25">
      <c r="A11" s="5" t="s">
        <v>35</v>
      </c>
      <c r="B11" t="s">
        <v>67</v>
      </c>
    </row>
    <row r="12" spans="1:4" x14ac:dyDescent="0.25">
      <c r="A12" s="5" t="s">
        <v>37</v>
      </c>
      <c r="B12" t="s">
        <v>68</v>
      </c>
      <c r="C12" s="2">
        <v>1000000</v>
      </c>
    </row>
    <row r="13" spans="1:4" x14ac:dyDescent="0.25">
      <c r="B13" t="s">
        <v>44</v>
      </c>
      <c r="C13" s="10">
        <v>1E-3</v>
      </c>
      <c r="D13" s="7" t="s">
        <v>66</v>
      </c>
    </row>
    <row r="14" spans="1:4" x14ac:dyDescent="0.25">
      <c r="B14" t="s">
        <v>45</v>
      </c>
      <c r="C14" s="4">
        <f>+C12*C13</f>
        <v>1000</v>
      </c>
    </row>
    <row r="16" spans="1:4" x14ac:dyDescent="0.25">
      <c r="B16" s="7" t="s">
        <v>69</v>
      </c>
      <c r="C16" s="7"/>
    </row>
    <row r="19" spans="1:4" x14ac:dyDescent="0.25">
      <c r="A19" s="1" t="s">
        <v>1</v>
      </c>
      <c r="B19" s="1" t="s">
        <v>31</v>
      </c>
      <c r="C19" s="1" t="s">
        <v>13</v>
      </c>
    </row>
    <row r="20" spans="1:4" x14ac:dyDescent="0.25">
      <c r="A20" t="s">
        <v>22</v>
      </c>
      <c r="B20" t="s">
        <v>32</v>
      </c>
      <c r="C20" t="s">
        <v>33</v>
      </c>
      <c r="D20" t="s">
        <v>34</v>
      </c>
    </row>
    <row r="21" spans="1:4" x14ac:dyDescent="0.25">
      <c r="B21" t="s">
        <v>9</v>
      </c>
      <c r="C21" t="s">
        <v>20</v>
      </c>
    </row>
    <row r="23" spans="1:4" x14ac:dyDescent="0.25">
      <c r="A23" s="5" t="s">
        <v>35</v>
      </c>
      <c r="B23" s="6" t="s">
        <v>36</v>
      </c>
    </row>
    <row r="24" spans="1:4" x14ac:dyDescent="0.25">
      <c r="A24" s="5" t="s">
        <v>37</v>
      </c>
      <c r="B24" t="s">
        <v>38</v>
      </c>
      <c r="C24" s="2">
        <v>1000</v>
      </c>
    </row>
    <row r="25" spans="1:4" x14ac:dyDescent="0.25">
      <c r="B25" t="s">
        <v>9</v>
      </c>
      <c r="C25" s="3">
        <v>0.03</v>
      </c>
    </row>
    <row r="26" spans="1:4" x14ac:dyDescent="0.25">
      <c r="B26" t="s">
        <v>39</v>
      </c>
      <c r="C26" s="2">
        <f>+C24*C25</f>
        <v>30</v>
      </c>
    </row>
    <row r="27" spans="1:4" x14ac:dyDescent="0.25">
      <c r="B27" s="7" t="s">
        <v>40</v>
      </c>
      <c r="C27" s="8">
        <v>0.01</v>
      </c>
    </row>
    <row r="28" spans="1:4" x14ac:dyDescent="0.25">
      <c r="B28" s="7" t="s">
        <v>41</v>
      </c>
      <c r="C28" s="9">
        <f>+C24*C27</f>
        <v>10</v>
      </c>
    </row>
    <row r="29" spans="1:4" x14ac:dyDescent="0.25">
      <c r="B29" s="7" t="s">
        <v>42</v>
      </c>
      <c r="C29" s="9">
        <v>0</v>
      </c>
    </row>
    <row r="30" spans="1:4" x14ac:dyDescent="0.25">
      <c r="B30" t="s">
        <v>43</v>
      </c>
      <c r="C30" s="4">
        <f>+C24-C26-C28-C29</f>
        <v>960</v>
      </c>
    </row>
    <row r="31" spans="1:4" x14ac:dyDescent="0.25">
      <c r="B31" t="s">
        <v>44</v>
      </c>
      <c r="C31" s="3">
        <v>0.04</v>
      </c>
    </row>
    <row r="32" spans="1:4" x14ac:dyDescent="0.25">
      <c r="B32" t="s">
        <v>45</v>
      </c>
      <c r="C32" s="2">
        <f>+C30*C31</f>
        <v>38.4</v>
      </c>
    </row>
    <row r="34" spans="1:9" x14ac:dyDescent="0.25">
      <c r="B34" s="7" t="s">
        <v>46</v>
      </c>
      <c r="C34" s="7"/>
      <c r="D34" s="7"/>
      <c r="E34" s="7"/>
    </row>
    <row r="35" spans="1:9" x14ac:dyDescent="0.25">
      <c r="B35" s="7" t="s">
        <v>47</v>
      </c>
      <c r="C35" s="7"/>
      <c r="D35" s="7"/>
      <c r="E35" s="7"/>
    </row>
    <row r="38" spans="1:9" x14ac:dyDescent="0.25">
      <c r="A38" s="1" t="s">
        <v>2</v>
      </c>
      <c r="B38" s="1" t="s">
        <v>31</v>
      </c>
      <c r="C38" s="1" t="s">
        <v>13</v>
      </c>
    </row>
    <row r="39" spans="1:9" x14ac:dyDescent="0.25">
      <c r="A39" t="s">
        <v>22</v>
      </c>
      <c r="B39" t="s">
        <v>32</v>
      </c>
      <c r="C39" t="s">
        <v>33</v>
      </c>
      <c r="D39" t="s">
        <v>48</v>
      </c>
    </row>
    <row r="40" spans="1:9" x14ac:dyDescent="0.25">
      <c r="B40" t="s">
        <v>9</v>
      </c>
      <c r="C40" t="s">
        <v>20</v>
      </c>
    </row>
    <row r="42" spans="1:9" x14ac:dyDescent="0.25">
      <c r="A42" s="5" t="s">
        <v>35</v>
      </c>
      <c r="B42" s="6" t="s">
        <v>36</v>
      </c>
    </row>
    <row r="43" spans="1:9" x14ac:dyDescent="0.25">
      <c r="A43" s="5" t="s">
        <v>37</v>
      </c>
      <c r="B43" t="s">
        <v>49</v>
      </c>
      <c r="C43" s="2">
        <v>1000</v>
      </c>
    </row>
    <row r="44" spans="1:9" x14ac:dyDescent="0.25">
      <c r="B44" t="s">
        <v>9</v>
      </c>
      <c r="C44" s="3">
        <v>0.03</v>
      </c>
    </row>
    <row r="45" spans="1:9" x14ac:dyDescent="0.25">
      <c r="B45" t="s">
        <v>39</v>
      </c>
      <c r="C45" s="2">
        <f>+C43*C44</f>
        <v>30</v>
      </c>
    </row>
    <row r="46" spans="1:9" x14ac:dyDescent="0.25">
      <c r="B46" s="7" t="s">
        <v>40</v>
      </c>
      <c r="C46" s="8">
        <v>0.01</v>
      </c>
    </row>
    <row r="47" spans="1:9" x14ac:dyDescent="0.25">
      <c r="B47" s="7" t="s">
        <v>41</v>
      </c>
      <c r="C47" s="9">
        <f>+C43*C46</f>
        <v>10</v>
      </c>
      <c r="I47" s="2"/>
    </row>
    <row r="48" spans="1:9" x14ac:dyDescent="0.25">
      <c r="B48" s="7" t="s">
        <v>42</v>
      </c>
      <c r="C48" s="9">
        <v>0</v>
      </c>
      <c r="I48" s="2"/>
    </row>
    <row r="49" spans="1:9" x14ac:dyDescent="0.25">
      <c r="B49" t="s">
        <v>43</v>
      </c>
      <c r="C49" s="4">
        <f>+C43-C45-C47-C48</f>
        <v>960</v>
      </c>
      <c r="I49" s="2"/>
    </row>
    <row r="50" spans="1:9" x14ac:dyDescent="0.25">
      <c r="B50" t="s">
        <v>44</v>
      </c>
      <c r="C50" s="3">
        <v>0.04</v>
      </c>
      <c r="I50" s="2"/>
    </row>
    <row r="51" spans="1:9" x14ac:dyDescent="0.25">
      <c r="B51" t="s">
        <v>45</v>
      </c>
      <c r="C51" s="2">
        <f>+C49*C50</f>
        <v>38.4</v>
      </c>
      <c r="I51" s="2"/>
    </row>
    <row r="52" spans="1:9" x14ac:dyDescent="0.25">
      <c r="C52" s="2"/>
      <c r="I52" s="2"/>
    </row>
    <row r="53" spans="1:9" x14ac:dyDescent="0.25">
      <c r="B53" s="7" t="s">
        <v>46</v>
      </c>
      <c r="C53" s="9"/>
      <c r="D53" s="7"/>
      <c r="E53" s="7"/>
      <c r="I53" s="2"/>
    </row>
    <row r="54" spans="1:9" x14ac:dyDescent="0.25">
      <c r="B54" s="7" t="s">
        <v>47</v>
      </c>
      <c r="C54" s="9"/>
      <c r="D54" s="7"/>
      <c r="E54" s="7"/>
      <c r="I54" s="2"/>
    </row>
    <row r="55" spans="1:9" x14ac:dyDescent="0.25">
      <c r="C55" s="2"/>
      <c r="I55" s="2"/>
    </row>
    <row r="56" spans="1:9" x14ac:dyDescent="0.25">
      <c r="A56" s="1" t="s">
        <v>50</v>
      </c>
      <c r="B56" s="1" t="s">
        <v>31</v>
      </c>
      <c r="C56" s="1" t="s">
        <v>13</v>
      </c>
      <c r="I56" s="2"/>
    </row>
    <row r="57" spans="1:9" x14ac:dyDescent="0.25">
      <c r="A57" t="s">
        <v>23</v>
      </c>
      <c r="B57" t="s">
        <v>4</v>
      </c>
      <c r="C57" t="s">
        <v>17</v>
      </c>
      <c r="I57" s="2"/>
    </row>
    <row r="58" spans="1:9" x14ac:dyDescent="0.25">
      <c r="A58" t="s">
        <v>51</v>
      </c>
      <c r="B58" t="s">
        <v>3</v>
      </c>
      <c r="C58" t="s">
        <v>14</v>
      </c>
      <c r="I58" s="2"/>
    </row>
    <row r="59" spans="1:9" x14ac:dyDescent="0.25">
      <c r="B59" t="s">
        <v>5</v>
      </c>
      <c r="C59" t="s">
        <v>18</v>
      </c>
      <c r="I59" s="2"/>
    </row>
    <row r="60" spans="1:9" x14ac:dyDescent="0.25">
      <c r="B60" t="s">
        <v>6</v>
      </c>
      <c r="C60" t="s">
        <v>16</v>
      </c>
      <c r="I60" s="2"/>
    </row>
    <row r="61" spans="1:9" x14ac:dyDescent="0.25">
      <c r="B61" t="s">
        <v>7</v>
      </c>
      <c r="C61" t="s">
        <v>15</v>
      </c>
      <c r="I61" s="2"/>
    </row>
    <row r="62" spans="1:9" x14ac:dyDescent="0.25">
      <c r="B62" t="s">
        <v>9</v>
      </c>
      <c r="C62" t="s">
        <v>20</v>
      </c>
    </row>
    <row r="63" spans="1:9" x14ac:dyDescent="0.25">
      <c r="B63" t="s">
        <v>52</v>
      </c>
      <c r="C63" t="s">
        <v>53</v>
      </c>
    </row>
    <row r="64" spans="1:9" x14ac:dyDescent="0.25">
      <c r="B64" t="s">
        <v>8</v>
      </c>
      <c r="C64" t="s">
        <v>19</v>
      </c>
    </row>
    <row r="65" spans="1:3" x14ac:dyDescent="0.25">
      <c r="B65" t="s">
        <v>54</v>
      </c>
      <c r="C65" t="s">
        <v>55</v>
      </c>
    </row>
    <row r="66" spans="1:3" x14ac:dyDescent="0.25">
      <c r="B66" t="s">
        <v>40</v>
      </c>
      <c r="C66" t="s">
        <v>56</v>
      </c>
    </row>
    <row r="67" spans="1:3" x14ac:dyDescent="0.25">
      <c r="B67" t="s">
        <v>41</v>
      </c>
      <c r="C67" t="s">
        <v>57</v>
      </c>
    </row>
    <row r="68" spans="1:3" x14ac:dyDescent="0.25">
      <c r="B68" t="s">
        <v>42</v>
      </c>
    </row>
    <row r="70" spans="1:3" x14ac:dyDescent="0.25">
      <c r="B70" s="1" t="s">
        <v>10</v>
      </c>
    </row>
    <row r="71" spans="1:3" x14ac:dyDescent="0.25">
      <c r="B71" t="s">
        <v>11</v>
      </c>
    </row>
    <row r="72" spans="1:3" x14ac:dyDescent="0.25">
      <c r="B72" t="s">
        <v>12</v>
      </c>
    </row>
    <row r="74" spans="1:3" x14ac:dyDescent="0.25">
      <c r="A74" s="5" t="s">
        <v>35</v>
      </c>
      <c r="B74" t="s">
        <v>58</v>
      </c>
    </row>
    <row r="75" spans="1:3" x14ac:dyDescent="0.25">
      <c r="A75" s="5" t="s">
        <v>37</v>
      </c>
    </row>
    <row r="84" spans="1:9" x14ac:dyDescent="0.25">
      <c r="B84" s="7" t="s">
        <v>46</v>
      </c>
      <c r="C84" s="9"/>
      <c r="D84" s="7"/>
      <c r="E84" s="7"/>
      <c r="I84" s="2"/>
    </row>
    <row r="85" spans="1:9" x14ac:dyDescent="0.25">
      <c r="B85" s="7" t="s">
        <v>47</v>
      </c>
      <c r="C85" s="9"/>
      <c r="D85" s="7"/>
      <c r="E85" s="7"/>
      <c r="I85" s="2"/>
    </row>
    <row r="88" spans="1:9" x14ac:dyDescent="0.25">
      <c r="A88" s="1" t="s">
        <v>21</v>
      </c>
      <c r="B88" s="1" t="s">
        <v>31</v>
      </c>
      <c r="C88" s="1" t="s">
        <v>13</v>
      </c>
    </row>
    <row r="89" spans="1:9" x14ac:dyDescent="0.25">
      <c r="A89" t="s">
        <v>22</v>
      </c>
      <c r="B89" t="s">
        <v>32</v>
      </c>
      <c r="C89" t="s">
        <v>33</v>
      </c>
      <c r="D89" t="s">
        <v>59</v>
      </c>
    </row>
    <row r="90" spans="1:9" x14ac:dyDescent="0.25">
      <c r="B90" t="s">
        <v>9</v>
      </c>
      <c r="C90" t="s">
        <v>20</v>
      </c>
    </row>
    <row r="92" spans="1:9" x14ac:dyDescent="0.25">
      <c r="A92" s="5" t="s">
        <v>35</v>
      </c>
      <c r="B92" s="6" t="s">
        <v>60</v>
      </c>
    </row>
    <row r="93" spans="1:9" x14ac:dyDescent="0.25">
      <c r="A93" s="5" t="s">
        <v>37</v>
      </c>
    </row>
    <row r="100" spans="2:9" x14ac:dyDescent="0.25">
      <c r="B100" s="7" t="s">
        <v>46</v>
      </c>
      <c r="C100" s="9"/>
      <c r="D100" s="7"/>
      <c r="E100" s="7"/>
      <c r="I100" s="2"/>
    </row>
    <row r="101" spans="2:9" x14ac:dyDescent="0.25">
      <c r="B101" s="7" t="s">
        <v>47</v>
      </c>
      <c r="C101" s="9"/>
      <c r="D101" s="7"/>
      <c r="E101" s="7"/>
      <c r="I101" s="2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1471F-A6A4-4CD8-900A-E3646D73FE1A}">
  <dimension ref="A1:W37"/>
  <sheetViews>
    <sheetView tabSelected="1" zoomScale="85" zoomScaleNormal="85" workbookViewId="0"/>
  </sheetViews>
  <sheetFormatPr defaultRowHeight="12.75" x14ac:dyDescent="0.2"/>
  <cols>
    <col min="1" max="1" width="21.140625" style="16" bestFit="1" customWidth="1"/>
    <col min="2" max="2" width="15.85546875" style="12" bestFit="1" customWidth="1"/>
    <col min="3" max="3" width="1.7109375" style="13" customWidth="1"/>
    <col min="4" max="4" width="16.85546875" style="16" bestFit="1" customWidth="1"/>
    <col min="5" max="5" width="9.7109375" style="12" bestFit="1" customWidth="1"/>
    <col min="6" max="6" width="1.7109375" style="13" customWidth="1"/>
    <col min="7" max="7" width="16.85546875" style="16" bestFit="1" customWidth="1"/>
    <col min="8" max="8" width="15.28515625" style="12" bestFit="1" customWidth="1"/>
    <col min="9" max="9" width="1.7109375" style="13" customWidth="1"/>
    <col min="10" max="10" width="20.42578125" style="16" bestFit="1" customWidth="1"/>
    <col min="11" max="11" width="13.42578125" style="12" bestFit="1" customWidth="1"/>
    <col min="12" max="12" width="1.7109375" style="13" customWidth="1"/>
    <col min="13" max="13" width="20.42578125" style="16" bestFit="1" customWidth="1"/>
    <col min="14" max="14" width="11.5703125" style="12" bestFit="1" customWidth="1"/>
    <col min="15" max="15" width="1.7109375" style="13" customWidth="1"/>
    <col min="16" max="16" width="18" style="13" bestFit="1" customWidth="1"/>
    <col min="17" max="17" width="14.28515625" style="12" customWidth="1"/>
    <col min="18" max="18" width="1.7109375" style="13" customWidth="1"/>
    <col min="19" max="19" width="18.28515625" style="13" bestFit="1" customWidth="1"/>
    <col min="20" max="20" width="12.5703125" style="12" bestFit="1" customWidth="1"/>
    <col min="21" max="21" width="1.7109375" style="13" customWidth="1"/>
    <col min="22" max="22" width="19.28515625" style="13" bestFit="1" customWidth="1"/>
    <col min="23" max="23" width="12.5703125" style="12" bestFit="1" customWidth="1"/>
    <col min="24" max="16384" width="9.140625" style="13"/>
  </cols>
  <sheetData>
    <row r="1" spans="1:23" ht="13.5" thickBot="1" x14ac:dyDescent="0.25">
      <c r="A1" s="11" t="s">
        <v>29</v>
      </c>
      <c r="B1" s="91" t="s">
        <v>72</v>
      </c>
      <c r="C1" s="92"/>
      <c r="D1" s="93"/>
      <c r="G1" s="14"/>
      <c r="H1" s="15"/>
    </row>
    <row r="2" spans="1:23" ht="13.5" thickBot="1" x14ac:dyDescent="0.25">
      <c r="G2" s="14"/>
      <c r="H2" s="15"/>
    </row>
    <row r="3" spans="1:23" ht="13.5" thickBot="1" x14ac:dyDescent="0.25">
      <c r="A3" s="89" t="s">
        <v>84</v>
      </c>
      <c r="B3" s="90"/>
      <c r="C3" s="17"/>
      <c r="D3" s="89" t="s">
        <v>72</v>
      </c>
      <c r="E3" s="90"/>
      <c r="F3" s="45"/>
      <c r="G3" s="89" t="s">
        <v>78</v>
      </c>
      <c r="H3" s="90"/>
      <c r="I3" s="45"/>
      <c r="J3" s="86" t="s">
        <v>79</v>
      </c>
      <c r="K3" s="88"/>
      <c r="L3" s="45"/>
      <c r="M3" s="86" t="s">
        <v>80</v>
      </c>
      <c r="N3" s="88"/>
      <c r="O3" s="45"/>
      <c r="P3" s="89" t="s">
        <v>30</v>
      </c>
      <c r="Q3" s="90"/>
      <c r="R3" s="45"/>
      <c r="S3" s="89" t="s">
        <v>81</v>
      </c>
      <c r="T3" s="90"/>
      <c r="U3" s="17"/>
      <c r="V3" s="89" t="s">
        <v>87</v>
      </c>
      <c r="W3" s="90"/>
    </row>
    <row r="4" spans="1:23" ht="15.75" thickBot="1" x14ac:dyDescent="0.3">
      <c r="A4" s="94" t="s">
        <v>76</v>
      </c>
      <c r="B4" s="95"/>
      <c r="C4" s="17"/>
      <c r="D4" s="55"/>
      <c r="E4" s="56"/>
      <c r="F4" s="17"/>
      <c r="G4" s="21" t="s">
        <v>98</v>
      </c>
      <c r="H4" s="54">
        <v>1000000</v>
      </c>
      <c r="I4" s="17"/>
      <c r="J4" s="22" t="s">
        <v>9</v>
      </c>
      <c r="K4" s="58">
        <v>0.1</v>
      </c>
      <c r="L4" s="17"/>
      <c r="M4" s="21" t="s">
        <v>91</v>
      </c>
      <c r="N4" s="103">
        <v>40000</v>
      </c>
      <c r="O4" s="17"/>
      <c r="P4" s="22" t="s">
        <v>24</v>
      </c>
      <c r="Q4" s="38">
        <v>1000000</v>
      </c>
      <c r="R4" s="17"/>
      <c r="S4" s="18" t="s">
        <v>94</v>
      </c>
      <c r="T4" s="40">
        <v>12</v>
      </c>
      <c r="U4" s="17"/>
      <c r="V4" s="23" t="s">
        <v>88</v>
      </c>
      <c r="W4" s="24">
        <f>+SUM(W9:W10)</f>
        <v>100</v>
      </c>
    </row>
    <row r="5" spans="1:23" ht="13.5" thickBot="1" x14ac:dyDescent="0.25">
      <c r="A5" s="25" t="s">
        <v>62</v>
      </c>
      <c r="B5" s="57">
        <v>5</v>
      </c>
      <c r="C5" s="17"/>
      <c r="D5" s="19"/>
      <c r="E5" s="20"/>
      <c r="F5" s="17"/>
      <c r="G5" s="19"/>
      <c r="H5" s="20"/>
      <c r="I5" s="17"/>
      <c r="J5" s="33" t="s">
        <v>91</v>
      </c>
      <c r="K5" s="102">
        <v>59200</v>
      </c>
      <c r="L5" s="17"/>
      <c r="M5" s="19"/>
      <c r="N5" s="20"/>
      <c r="O5" s="17"/>
      <c r="P5" s="19" t="s">
        <v>3</v>
      </c>
      <c r="Q5" s="39">
        <v>48</v>
      </c>
      <c r="R5" s="17"/>
      <c r="S5" s="26"/>
      <c r="T5" s="20"/>
      <c r="U5" s="17"/>
      <c r="V5" s="26" t="s">
        <v>95</v>
      </c>
      <c r="W5" s="30">
        <f>IF(OR(B1="Progress Funding", B1="Booked",B1="Extension"),IFERROR(Q14,0),0)</f>
        <v>0</v>
      </c>
    </row>
    <row r="6" spans="1:23" ht="13.5" thickBot="1" x14ac:dyDescent="0.25">
      <c r="A6" s="25" t="s">
        <v>103</v>
      </c>
      <c r="B6" s="34">
        <v>1000000</v>
      </c>
      <c r="C6" s="17"/>
      <c r="D6" s="19"/>
      <c r="E6" s="20"/>
      <c r="F6" s="17"/>
      <c r="G6" s="19"/>
      <c r="H6" s="20"/>
      <c r="I6" s="17"/>
      <c r="J6" s="19"/>
      <c r="K6" s="20"/>
      <c r="L6" s="17"/>
      <c r="M6" s="19"/>
      <c r="N6" s="20"/>
      <c r="O6" s="17"/>
      <c r="P6" s="19" t="s">
        <v>5</v>
      </c>
      <c r="Q6" s="39" t="s">
        <v>25</v>
      </c>
      <c r="R6" s="17"/>
      <c r="S6" s="26"/>
      <c r="T6" s="20"/>
      <c r="U6" s="17"/>
      <c r="V6" s="51" t="s">
        <v>92</v>
      </c>
      <c r="W6" s="47" cm="1">
        <f t="array" ref="W6">_xlfn.IFS(B1="Progress Funding",K14,B1="Booked",K14+N14+Q14,B1="Extension",T14+IFERROR(Q14,0)+N14+K14,0=0,0)</f>
        <v>0</v>
      </c>
    </row>
    <row r="7" spans="1:23" ht="13.5" thickTop="1" x14ac:dyDescent="0.2">
      <c r="A7" s="25" t="s">
        <v>26</v>
      </c>
      <c r="B7" s="34">
        <v>0</v>
      </c>
      <c r="C7" s="17"/>
      <c r="D7" s="19"/>
      <c r="E7" s="20"/>
      <c r="F7" s="17"/>
      <c r="G7" s="19"/>
      <c r="H7" s="20"/>
      <c r="I7" s="17"/>
      <c r="J7" s="19"/>
      <c r="K7" s="20"/>
      <c r="L7" s="17"/>
      <c r="M7" s="19"/>
      <c r="N7" s="20"/>
      <c r="O7" s="17"/>
      <c r="P7" s="19" t="s">
        <v>6</v>
      </c>
      <c r="Q7" s="35">
        <v>2.4799999999999999E-2</v>
      </c>
      <c r="R7" s="17"/>
      <c r="S7" s="26"/>
      <c r="T7" s="20"/>
      <c r="U7" s="17"/>
      <c r="V7" s="26" t="s">
        <v>96</v>
      </c>
      <c r="W7" s="27">
        <f>+W6-W4</f>
        <v>-100</v>
      </c>
    </row>
    <row r="8" spans="1:23" ht="13.5" thickBot="1" x14ac:dyDescent="0.25">
      <c r="A8" s="29" t="s">
        <v>85</v>
      </c>
      <c r="B8" s="47">
        <f>+(B5*B22)+(B6*B24)+(VLOOKUP(B7,AETable,3,1)+(VLOOKUP(B7,AETable,5,1)*(B7-VLOOKUP(B7,AETable,6,1))))</f>
        <v>600</v>
      </c>
      <c r="C8" s="17"/>
      <c r="D8" s="19"/>
      <c r="E8" s="20"/>
      <c r="F8" s="17"/>
      <c r="G8" s="19"/>
      <c r="H8" s="20"/>
      <c r="I8" s="17"/>
      <c r="J8" s="19"/>
      <c r="K8" s="20"/>
      <c r="L8" s="17"/>
      <c r="M8" s="19"/>
      <c r="N8" s="20"/>
      <c r="O8" s="17"/>
      <c r="P8" s="19" t="s">
        <v>7</v>
      </c>
      <c r="Q8" s="30">
        <f>+Q7*Q4</f>
        <v>24800</v>
      </c>
      <c r="R8" s="17"/>
      <c r="S8" s="26"/>
      <c r="T8" s="20"/>
      <c r="U8" s="17"/>
      <c r="V8" s="26"/>
      <c r="W8" s="20"/>
    </row>
    <row r="9" spans="1:23" ht="14.25" thickTop="1" thickBot="1" x14ac:dyDescent="0.25">
      <c r="A9" s="33" t="s">
        <v>97</v>
      </c>
      <c r="B9" s="50">
        <f>+B7-B8</f>
        <v>-600</v>
      </c>
      <c r="C9" s="17"/>
      <c r="D9" s="19"/>
      <c r="E9" s="20"/>
      <c r="F9" s="17"/>
      <c r="G9" s="19"/>
      <c r="H9" s="20"/>
      <c r="I9" s="17"/>
      <c r="J9" s="19"/>
      <c r="K9" s="20"/>
      <c r="L9" s="17"/>
      <c r="M9" s="19"/>
      <c r="N9" s="20"/>
      <c r="O9" s="17"/>
      <c r="P9" s="19" t="s">
        <v>8</v>
      </c>
      <c r="Q9" s="34">
        <v>100000</v>
      </c>
      <c r="R9" s="17"/>
      <c r="S9" s="26"/>
      <c r="T9" s="20"/>
      <c r="U9" s="17"/>
      <c r="V9" s="52" t="s">
        <v>89</v>
      </c>
      <c r="W9" s="53" cm="1">
        <f t="array" ref="W9">_xlfn.IFS(B1="LOI In",E15,B1="Approved",H15+E15,B1="Progress Funding",K15+H15+E15,B1="Booked",Q15+N15+K15+E15,B1="Extension",T15+Q15+N15+K15+E15)</f>
        <v>100</v>
      </c>
    </row>
    <row r="10" spans="1:23" ht="13.5" thickBot="1" x14ac:dyDescent="0.25">
      <c r="A10" s="26"/>
      <c r="B10" s="20"/>
      <c r="C10" s="17"/>
      <c r="D10" s="19"/>
      <c r="E10" s="20"/>
      <c r="F10" s="17"/>
      <c r="G10" s="19"/>
      <c r="H10" s="20"/>
      <c r="I10" s="17"/>
      <c r="J10" s="19"/>
      <c r="K10" s="20"/>
      <c r="L10" s="17"/>
      <c r="M10" s="19"/>
      <c r="N10" s="20"/>
      <c r="O10" s="17"/>
      <c r="P10" s="19" t="s">
        <v>40</v>
      </c>
      <c r="Q10" s="105">
        <v>0.01</v>
      </c>
      <c r="R10" s="17"/>
      <c r="S10" s="26"/>
      <c r="T10" s="20"/>
      <c r="U10" s="17"/>
      <c r="V10" s="26" t="s">
        <v>90</v>
      </c>
      <c r="W10" s="28" cm="1">
        <f t="array" ref="W10">_xlfn.IFS(B1="Progress Funding",K16,B1="Booked",Q16+N16+K16,B1="Extension",T16+Q16+N16+K16,0=0,0)</f>
        <v>0</v>
      </c>
    </row>
    <row r="11" spans="1:23" ht="13.5" thickBot="1" x14ac:dyDescent="0.25">
      <c r="A11" s="94" t="s">
        <v>77</v>
      </c>
      <c r="B11" s="95"/>
      <c r="C11" s="17"/>
      <c r="D11" s="19"/>
      <c r="E11" s="20"/>
      <c r="F11" s="17"/>
      <c r="G11" s="19"/>
      <c r="H11" s="20"/>
      <c r="I11" s="17"/>
      <c r="J11" s="19"/>
      <c r="K11" s="20"/>
      <c r="L11" s="17"/>
      <c r="M11" s="19"/>
      <c r="N11" s="20"/>
      <c r="O11" s="17"/>
      <c r="P11" s="31" t="s">
        <v>86</v>
      </c>
      <c r="Q11" s="50">
        <f>+Q10*Q4</f>
        <v>10000</v>
      </c>
      <c r="R11" s="17"/>
      <c r="S11" s="26"/>
      <c r="T11" s="20"/>
      <c r="U11" s="17"/>
      <c r="V11" s="26"/>
      <c r="W11" s="28"/>
    </row>
    <row r="12" spans="1:23" x14ac:dyDescent="0.2">
      <c r="A12" s="25" t="s">
        <v>26</v>
      </c>
      <c r="B12" s="108">
        <v>1000000</v>
      </c>
      <c r="C12" s="17"/>
      <c r="D12" s="19"/>
      <c r="E12" s="20"/>
      <c r="F12" s="17"/>
      <c r="G12" s="19"/>
      <c r="H12" s="20"/>
      <c r="I12" s="17"/>
      <c r="J12" s="19"/>
      <c r="K12" s="20"/>
      <c r="L12" s="17"/>
      <c r="M12" s="19"/>
      <c r="N12" s="20"/>
      <c r="O12" s="17"/>
      <c r="P12" s="23"/>
      <c r="Q12" s="59"/>
      <c r="R12" s="17"/>
      <c r="S12" s="26"/>
      <c r="T12" s="20"/>
      <c r="U12" s="17"/>
      <c r="V12" s="26"/>
      <c r="W12" s="20"/>
    </row>
    <row r="13" spans="1:23" ht="13.5" thickBot="1" x14ac:dyDescent="0.25">
      <c r="A13" s="29" t="s">
        <v>104</v>
      </c>
      <c r="B13" s="48">
        <f>+VLOOKUP(B12,SMTable,3,1)+(VLOOKUP(B12,SMTable,5,1)*(B12-VLOOKUP(B12,SMTable,6,1)))</f>
        <v>31999.969999999998</v>
      </c>
      <c r="C13" s="17"/>
      <c r="D13" s="19"/>
      <c r="E13" s="20"/>
      <c r="F13" s="17"/>
      <c r="G13" s="19"/>
      <c r="H13" s="20"/>
      <c r="I13" s="17"/>
      <c r="J13" s="19"/>
      <c r="K13" s="20"/>
      <c r="L13" s="17"/>
      <c r="M13" s="19"/>
      <c r="N13" s="20"/>
      <c r="O13" s="17"/>
      <c r="P13" s="33"/>
      <c r="Q13" s="32"/>
      <c r="R13" s="17"/>
      <c r="S13" s="26"/>
      <c r="T13" s="20"/>
      <c r="V13" s="26"/>
      <c r="W13" s="20"/>
    </row>
    <row r="14" spans="1:23" ht="14.25" thickTop="1" thickBot="1" x14ac:dyDescent="0.25">
      <c r="A14" s="31" t="s">
        <v>97</v>
      </c>
      <c r="B14" s="50">
        <f>+B12-B13</f>
        <v>968000.03</v>
      </c>
      <c r="C14" s="17"/>
      <c r="D14" s="23" t="s">
        <v>91</v>
      </c>
      <c r="E14" s="49">
        <v>0</v>
      </c>
      <c r="F14" s="17"/>
      <c r="G14" s="23" t="s">
        <v>26</v>
      </c>
      <c r="H14" s="49">
        <v>0</v>
      </c>
      <c r="I14" s="17"/>
      <c r="J14" s="23" t="s">
        <v>96</v>
      </c>
      <c r="K14" s="101">
        <f>+(1-K4)*K5</f>
        <v>53280</v>
      </c>
      <c r="L14" s="17"/>
      <c r="M14" s="22" t="s">
        <v>96</v>
      </c>
      <c r="N14" s="104">
        <f>+(1-K4)*40000</f>
        <v>36000</v>
      </c>
      <c r="O14" s="17"/>
      <c r="P14" s="23" t="s">
        <v>26</v>
      </c>
      <c r="Q14" s="24" cm="1">
        <f t="array" ref="Q14">_xlfn.IFS(Q6="Monthly",PV(K4/12,Q5,-Q8,-Q9,1),Q6="Quarterly",PV(K4/4,Q5/4,-Q8,-Q9,1))-Q4-Q11</f>
        <v>43110.056612582412</v>
      </c>
      <c r="R14" s="17"/>
      <c r="S14" s="22" t="s">
        <v>91</v>
      </c>
      <c r="T14" s="24">
        <f>+T4*Q8-Q9</f>
        <v>197600</v>
      </c>
      <c r="V14" s="26"/>
      <c r="W14" s="20"/>
    </row>
    <row r="15" spans="1:23" x14ac:dyDescent="0.2">
      <c r="A15" s="19"/>
      <c r="B15" s="20"/>
      <c r="C15" s="17"/>
      <c r="D15" s="19" t="s">
        <v>82</v>
      </c>
      <c r="E15" s="30">
        <f>+B22</f>
        <v>100</v>
      </c>
      <c r="F15" s="17"/>
      <c r="G15" s="19" t="s">
        <v>82</v>
      </c>
      <c r="H15" s="30">
        <f>+B24*H4</f>
        <v>100</v>
      </c>
      <c r="I15" s="17"/>
      <c r="J15" s="19" t="s">
        <v>82</v>
      </c>
      <c r="K15" s="28">
        <f>(
VLOOKUP(Previous_Deals_Gross_Margin+K14,AETable,3,1)
 +
(VLOOKUP(Previous_Deals_Gross_Margin+K14,AETable,5,1))
*
(Previous_Deals_Gross_Margin+K14-VLOOKUP(Previous_Deals_Gross_Margin+K14,AETable,6,1))
)
-
+VLOOKUP(Previous_Deals_Gross_Margin,AETable,3,1)+(VLOOKUP(Previous_Deals_Gross_Margin,AETable,5,1)*(Previous_Deals_Gross_Margin-VLOOKUP(Previous_Deals_Gross_Margin,AETable,6,1)))</f>
        <v>1598.3999999999999</v>
      </c>
      <c r="L15" s="17"/>
      <c r="M15" s="19" t="s">
        <v>82</v>
      </c>
      <c r="N15" s="30">
        <f>(
VLOOKUP(Previous_Deals_Gross_Margin+K14+N14,AETable,3,1)
 +
(VLOOKUP(Previous_Deals_Gross_Margin+K14+N14,AETable,5,1))
*
(Previous_Deals_Gross_Margin+K14+N14-VLOOKUP(Previous_Deals_Gross_Margin+N14+K14,AETable,6,1))
)
-
VLOOKUP(Previous_Deals_Gross_Margin,AETable,3,1)+(VLOOKUP(Previous_Deals_Gross_Margin,AETable,5,1)*(Previous_Deals_Gross_Margin-VLOOKUP(Previous_Deals_Gross_Margin,AETable,6,1)))-K15</f>
        <v>1080.0000000000002</v>
      </c>
      <c r="O15" s="17"/>
      <c r="P15" s="19" t="s">
        <v>82</v>
      </c>
      <c r="Q15" s="30">
        <f>(
VLOOKUP(Previous_Deals_Gross_Margin+K14+N14+Q14,AETable,3,1)
 +
(VLOOKUP(Previous_Deals_Gross_Margin+K14+N14+Q14,AETable,5,1))
*
(Previous_Deals_Gross_Margin+K14+N14+Q14-VLOOKUP(Previous_Deals_Gross_Margin+N14+K14+Q14,AETable,6,1))
)
-
VLOOKUP(Previous_Deals_Gross_Margin,AETable,3,1)+(VLOOKUP(Previous_Deals_Gross_Margin,AETable,5,1)*(Previous_Deals_Gross_Margin-VLOOKUP(Previous_Deals_Gross_Margin,AETable,6,1)))-K15-N15-IF(B25="Advance",H15,0)</f>
        <v>1193.3016983774721</v>
      </c>
      <c r="R15" s="17"/>
      <c r="S15" s="19" t="s">
        <v>82</v>
      </c>
      <c r="T15" s="28">
        <f>(
VLOOKUP(Previous_Deals_Gross_Margin+K14+N14+Q14+T14,AETable,3,1)
 +
(VLOOKUP(Previous_Deals_Gross_Margin+K14+N14+Q14+T14,AETable,5,1))
*
(Previous_Deals_Gross_Margin+K14+N14+Q14+T14-VLOOKUP(Previous_Deals_Gross_Margin+N14+K14+Q14+T14,AETable,6,1))
)
-
VLOOKUP(Previous_Deals_Gross_Margin,AETable,3,1)+(VLOOKUP(Previous_Deals_Gross_Margin,AETable,5,1)*(Previous_Deals_Gross_Margin-VLOOKUP(Previous_Deals_Gross_Margin,AETable,6,1)))-K15-N15-Q15-IF(B25="Advance",H15,0)</f>
        <v>8227.8705661258246</v>
      </c>
      <c r="V15" s="26"/>
      <c r="W15" s="20"/>
    </row>
    <row r="16" spans="1:23" ht="13.5" thickBot="1" x14ac:dyDescent="0.25">
      <c r="A16" s="19"/>
      <c r="B16" s="20"/>
      <c r="D16" s="29" t="s">
        <v>83</v>
      </c>
      <c r="E16" s="48">
        <v>0</v>
      </c>
      <c r="F16" s="17"/>
      <c r="G16" s="29" t="s">
        <v>83</v>
      </c>
      <c r="H16" s="48">
        <v>0</v>
      </c>
      <c r="I16" s="17"/>
      <c r="J16" s="29" t="s">
        <v>83</v>
      </c>
      <c r="K16" s="48">
        <f>(
VLOOKUP(B12+K14,SMTable,3,1)
+
(VLOOKUP(B12+K14,SMTable,5,1))
*
(B12+K14-VLOOKUP(B12+K14,SMTable,6,1))
)
-
VLOOKUP(B12,SMTable,3,1)+(VLOOKUP(B12,SMTable,5,1)*(B12-VLOOKUP(B12,SMTable,6,1)))</f>
        <v>2131.2000000000007</v>
      </c>
      <c r="L16" s="17"/>
      <c r="M16" s="29" t="s">
        <v>83</v>
      </c>
      <c r="N16" s="47">
        <f>(
VLOOKUP(B12+K14+N14,SMTable,3,1)
 +
(VLOOKUP(B12+K14+N14,SMTable,5,1))
*
(B12+K14+N14-VLOOKUP(B12+N14+K14,SMTable,6,1))
)
-
VLOOKUP(B12,SMTable,3,1)+(VLOOKUP(B12,SMTable,5,1)*(B12-VLOOKUP(B12,SMTable,6,1)))-K16</f>
        <v>1440</v>
      </c>
      <c r="O16" s="17"/>
      <c r="P16" s="29" t="s">
        <v>83</v>
      </c>
      <c r="Q16" s="47">
        <f>(
VLOOKUP(B12+K14+N14+Q14,SMTable,3,1)
 +
(VLOOKUP(B12+K14+N14+Q14,SMTable,5,1))
*
(B12+K14+N14+Q14-VLOOKUP(B12+N14+K14+Q14,SMTable,6,1))
)
-
VLOOKUP(B12,SMTable,3,1)+(VLOOKUP(B12,SMTable,5,1)*(B12-VLOOKUP(B12,SMTable,6,1)))-K16-N16</f>
        <v>1724.4022645032965</v>
      </c>
      <c r="R16" s="17"/>
      <c r="S16" s="51" t="s">
        <v>83</v>
      </c>
      <c r="T16" s="48">
        <f>(
VLOOKUP(B12+K14+N14+Q14+T14,SMTable,3,1)
 +
(VLOOKUP(B12+K14+N14+Q14+T14,SMTable,5,1))
*
(B12+K14+N14+Q14+T14-VLOOKUP(B12+N14+K14+Q14+T14,SMTable,6,1))
)
-
VLOOKUP(B12,SMTable,3,1)+(VLOOKUP(B12,SMTable,5,1)*(B12-VLOOKUP(B12,SMTable,6,1)))-K16-N16-Q16</f>
        <v>7904</v>
      </c>
      <c r="V16" s="26"/>
      <c r="W16" s="20"/>
    </row>
    <row r="17" spans="1:23" ht="14.25" thickTop="1" thickBot="1" x14ac:dyDescent="0.25">
      <c r="A17" s="31"/>
      <c r="B17" s="32"/>
      <c r="D17" s="31" t="s">
        <v>96</v>
      </c>
      <c r="E17" s="50">
        <f>+E14-E15-E16</f>
        <v>-100</v>
      </c>
      <c r="F17" s="46"/>
      <c r="G17" s="31" t="s">
        <v>96</v>
      </c>
      <c r="H17" s="50">
        <f>+H14-H15-H16</f>
        <v>-100</v>
      </c>
      <c r="I17" s="46"/>
      <c r="J17" s="31" t="s">
        <v>113</v>
      </c>
      <c r="K17" s="50">
        <f>+K14-K15-K16</f>
        <v>49550.399999999994</v>
      </c>
      <c r="L17" s="46"/>
      <c r="M17" s="31" t="s">
        <v>113</v>
      </c>
      <c r="N17" s="50">
        <f>+N14-N15-N16</f>
        <v>33480</v>
      </c>
      <c r="O17" s="46"/>
      <c r="P17" s="31" t="s">
        <v>114</v>
      </c>
      <c r="Q17" s="50">
        <f>Q14-Q15-Q16</f>
        <v>40192.352649701643</v>
      </c>
      <c r="R17" s="46"/>
      <c r="S17" s="31" t="s">
        <v>96</v>
      </c>
      <c r="T17" s="50">
        <f>T14-T15-T16</f>
        <v>181468.12943387419</v>
      </c>
      <c r="V17" s="33"/>
      <c r="W17" s="32"/>
    </row>
    <row r="18" spans="1:23" x14ac:dyDescent="0.2">
      <c r="A18" s="14"/>
      <c r="B18" s="15"/>
    </row>
    <row r="19" spans="1:23" ht="15" x14ac:dyDescent="0.25">
      <c r="A19" s="14"/>
      <c r="B19" s="15"/>
      <c r="J19" s="81"/>
      <c r="K19" s="81"/>
      <c r="L19" s="81"/>
      <c r="M19" s="81"/>
      <c r="N19" s="81"/>
      <c r="O19" s="81"/>
      <c r="P19" s="81"/>
      <c r="Q19" s="81"/>
      <c r="R19" s="81"/>
      <c r="S19" s="81"/>
    </row>
    <row r="20" spans="1:23" ht="13.5" thickBot="1" x14ac:dyDescent="0.25"/>
    <row r="21" spans="1:23" ht="15" customHeight="1" thickBot="1" x14ac:dyDescent="0.25">
      <c r="A21" s="89" t="s">
        <v>27</v>
      </c>
      <c r="B21" s="96"/>
      <c r="C21" s="96"/>
      <c r="D21" s="90"/>
    </row>
    <row r="22" spans="1:23" ht="13.5" thickBot="1" x14ac:dyDescent="0.25">
      <c r="A22" s="21" t="s">
        <v>71</v>
      </c>
      <c r="B22" s="37">
        <v>100</v>
      </c>
      <c r="C22" s="17"/>
      <c r="D22" s="64"/>
      <c r="M22" s="106"/>
      <c r="P22" s="107"/>
      <c r="S22" s="109"/>
      <c r="T22" s="109"/>
      <c r="U22" s="109"/>
      <c r="V22" s="109"/>
    </row>
    <row r="23" spans="1:23" ht="15.75" thickBot="1" x14ac:dyDescent="0.3">
      <c r="A23" s="81"/>
      <c r="B23" s="81"/>
      <c r="C23" s="17"/>
      <c r="D23" s="64"/>
      <c r="S23" s="109"/>
      <c r="T23" s="110"/>
      <c r="U23" s="109"/>
      <c r="V23" s="109"/>
    </row>
    <row r="24" spans="1:23" x14ac:dyDescent="0.2">
      <c r="A24" s="22" t="s">
        <v>28</v>
      </c>
      <c r="B24" s="65">
        <v>1E-4</v>
      </c>
      <c r="C24" s="17"/>
      <c r="D24" s="64"/>
      <c r="P24" s="16"/>
    </row>
    <row r="25" spans="1:23" ht="13.5" thickBot="1" x14ac:dyDescent="0.25">
      <c r="A25" s="31" t="s">
        <v>70</v>
      </c>
      <c r="B25" s="36" t="s">
        <v>75</v>
      </c>
      <c r="C25" s="17"/>
      <c r="D25" s="64"/>
    </row>
    <row r="26" spans="1:23" ht="13.5" thickBot="1" x14ac:dyDescent="0.25">
      <c r="A26" s="19"/>
      <c r="B26" s="15"/>
      <c r="C26" s="17"/>
      <c r="D26" s="64"/>
    </row>
    <row r="27" spans="1:23" x14ac:dyDescent="0.2">
      <c r="A27" s="86" t="s">
        <v>100</v>
      </c>
      <c r="B27" s="87"/>
      <c r="C27" s="87"/>
      <c r="D27" s="88"/>
    </row>
    <row r="28" spans="1:23" x14ac:dyDescent="0.2">
      <c r="A28" s="111" t="s">
        <v>26</v>
      </c>
      <c r="B28" s="15" t="s">
        <v>44</v>
      </c>
      <c r="C28" s="112" t="s">
        <v>101</v>
      </c>
      <c r="D28" s="113"/>
      <c r="P28" s="16"/>
    </row>
    <row r="29" spans="1:23" x14ac:dyDescent="0.2">
      <c r="A29" s="60">
        <v>300000</v>
      </c>
      <c r="B29" s="61">
        <v>0.03</v>
      </c>
      <c r="C29" s="82">
        <v>2000</v>
      </c>
      <c r="D29" s="83"/>
      <c r="M29" s="106"/>
      <c r="P29" s="107"/>
    </row>
    <row r="30" spans="1:23" x14ac:dyDescent="0.2">
      <c r="A30" s="60">
        <v>400000</v>
      </c>
      <c r="B30" s="61">
        <v>0.04</v>
      </c>
      <c r="C30" s="82">
        <v>2000</v>
      </c>
      <c r="D30" s="83"/>
    </row>
    <row r="31" spans="1:23" ht="13.5" thickBot="1" x14ac:dyDescent="0.25">
      <c r="A31" s="62">
        <v>500000</v>
      </c>
      <c r="B31" s="63">
        <v>0.05</v>
      </c>
      <c r="C31" s="84">
        <v>2000</v>
      </c>
      <c r="D31" s="85"/>
    </row>
    <row r="32" spans="1:23" ht="13.5" thickBot="1" x14ac:dyDescent="0.25">
      <c r="A32" s="19"/>
      <c r="B32" s="15"/>
      <c r="C32" s="17"/>
      <c r="D32" s="64"/>
    </row>
    <row r="33" spans="1:4" x14ac:dyDescent="0.2">
      <c r="A33" s="86" t="s">
        <v>102</v>
      </c>
      <c r="B33" s="87"/>
      <c r="C33" s="87"/>
      <c r="D33" s="88"/>
    </row>
    <row r="34" spans="1:4" x14ac:dyDescent="0.2">
      <c r="A34" s="111" t="s">
        <v>26</v>
      </c>
      <c r="B34" s="15" t="s">
        <v>44</v>
      </c>
      <c r="C34" s="112" t="s">
        <v>101</v>
      </c>
      <c r="D34" s="113"/>
    </row>
    <row r="35" spans="1:4" x14ac:dyDescent="0.2">
      <c r="A35" s="60">
        <v>1000000</v>
      </c>
      <c r="B35" s="61">
        <v>0.03</v>
      </c>
      <c r="C35" s="82">
        <v>2000</v>
      </c>
      <c r="D35" s="83"/>
    </row>
    <row r="36" spans="1:4" x14ac:dyDescent="0.2">
      <c r="A36" s="60">
        <v>1500000</v>
      </c>
      <c r="B36" s="61">
        <v>0.04</v>
      </c>
      <c r="C36" s="82">
        <v>2000</v>
      </c>
      <c r="D36" s="83"/>
    </row>
    <row r="37" spans="1:4" ht="13.5" thickBot="1" x14ac:dyDescent="0.25">
      <c r="A37" s="62">
        <v>2000000</v>
      </c>
      <c r="B37" s="63">
        <v>0.05</v>
      </c>
      <c r="C37" s="84">
        <v>2000</v>
      </c>
      <c r="D37" s="85"/>
    </row>
  </sheetData>
  <sheetProtection sheet="1" formatCells="0" formatColumns="0" formatRows="0" insertColumns="0" insertRows="0" insertHyperlinks="0" deleteColumns="0" deleteRows="0" sort="0" autoFilter="0" pivotTables="0"/>
  <mergeCells count="22">
    <mergeCell ref="B1:D1"/>
    <mergeCell ref="A3:B3"/>
    <mergeCell ref="A4:B4"/>
    <mergeCell ref="A11:B11"/>
    <mergeCell ref="A21:D21"/>
    <mergeCell ref="V3:W3"/>
    <mergeCell ref="D3:E3"/>
    <mergeCell ref="S3:T3"/>
    <mergeCell ref="P3:Q3"/>
    <mergeCell ref="M3:N3"/>
    <mergeCell ref="J3:K3"/>
    <mergeCell ref="G3:H3"/>
    <mergeCell ref="C35:D35"/>
    <mergeCell ref="C36:D36"/>
    <mergeCell ref="C37:D37"/>
    <mergeCell ref="A27:D27"/>
    <mergeCell ref="A33:D33"/>
    <mergeCell ref="C28:D28"/>
    <mergeCell ref="C29:D29"/>
    <mergeCell ref="C30:D30"/>
    <mergeCell ref="C31:D31"/>
    <mergeCell ref="C34:D3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errorTitle="Please select from drop-down" error="Please select from drop-down" promptTitle="Please select from drop-down" xr:uid="{C45A75A6-E756-471D-A2D4-94DF716E19AB}">
          <x14:formula1>
            <xm:f>Bank!$C$2:$C$3</xm:f>
          </x14:formula1>
          <xm:sqref>B25</xm:sqref>
        </x14:dataValidation>
        <x14:dataValidation type="list" allowBlank="1" showInputMessage="1" showErrorMessage="1" errorTitle="Please select from drop-down" error="Please select from drop-down" promptTitle="Please select from drop-down" xr:uid="{661D2AE9-0DB1-44AE-9845-D622D173B39C}">
          <x14:formula1>
            <xm:f>Bank!$E$2:$E$3</xm:f>
          </x14:formula1>
          <xm:sqref>Q6</xm:sqref>
        </x14:dataValidation>
        <x14:dataValidation type="list" allowBlank="1" showInputMessage="1" showErrorMessage="1" errorTitle="Please select from drop down" error="Please select from drop down" promptTitle="Please select from drop down" xr:uid="{B4CC1101-81AD-40CF-92FD-284D37FC8990}">
          <x14:formula1>
            <xm:f>Bank!$A$2:$A$6</xm:f>
          </x14:formula1>
          <xm:sqref>B1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B3E9F-BF1B-450D-9AD2-E3E0A8770ECC}">
  <dimension ref="A1:S6"/>
  <sheetViews>
    <sheetView workbookViewId="0">
      <selection activeCell="A8" sqref="A8"/>
    </sheetView>
  </sheetViews>
  <sheetFormatPr defaultRowHeight="15" x14ac:dyDescent="0.25"/>
  <cols>
    <col min="1" max="1" width="16.28515625" style="42" bestFit="1" customWidth="1"/>
    <col min="2" max="2" width="1.7109375" style="42" customWidth="1"/>
    <col min="3" max="3" width="16.7109375" style="42" bestFit="1" customWidth="1"/>
    <col min="4" max="4" width="1.7109375" style="42" customWidth="1"/>
    <col min="5" max="5" width="18.85546875" style="42" bestFit="1" customWidth="1"/>
    <col min="6" max="6" width="1.7109375" style="42" customWidth="1"/>
    <col min="7" max="8" width="12.5703125" style="42" bestFit="1" customWidth="1"/>
    <col min="9" max="9" width="11.5703125" style="42" bestFit="1" customWidth="1"/>
    <col min="10" max="11" width="6.140625" style="42" bestFit="1" customWidth="1"/>
    <col min="12" max="12" width="13.7109375" style="42" bestFit="1" customWidth="1"/>
    <col min="13" max="13" width="1.7109375" style="42" customWidth="1"/>
    <col min="14" max="15" width="14.28515625" style="42" bestFit="1" customWidth="1"/>
    <col min="16" max="16" width="11.5703125" style="42" bestFit="1" customWidth="1"/>
    <col min="17" max="18" width="6.140625" style="42" bestFit="1" customWidth="1"/>
    <col min="19" max="19" width="13.7109375" style="42" bestFit="1" customWidth="1"/>
    <col min="20" max="16384" width="9.140625" style="42"/>
  </cols>
  <sheetData>
    <row r="1" spans="1:19" x14ac:dyDescent="0.25">
      <c r="A1" s="41" t="s">
        <v>29</v>
      </c>
      <c r="C1" s="41" t="s">
        <v>70</v>
      </c>
      <c r="E1" s="43" t="s">
        <v>5</v>
      </c>
      <c r="G1" s="98" t="s">
        <v>99</v>
      </c>
      <c r="H1" s="99"/>
      <c r="I1" s="99"/>
      <c r="J1" s="99"/>
      <c r="K1" s="99"/>
      <c r="L1" s="100"/>
      <c r="M1" s="66" t="s">
        <v>111</v>
      </c>
      <c r="N1" s="98" t="s">
        <v>112</v>
      </c>
      <c r="O1" s="99"/>
      <c r="P1" s="99"/>
      <c r="Q1" s="99"/>
      <c r="R1" s="99"/>
      <c r="S1" s="100"/>
    </row>
    <row r="2" spans="1:19" x14ac:dyDescent="0.25">
      <c r="A2" s="44" t="s">
        <v>72</v>
      </c>
      <c r="C2" s="44" t="s">
        <v>75</v>
      </c>
      <c r="E2" s="42" t="s">
        <v>25</v>
      </c>
      <c r="G2" s="67" t="s">
        <v>105</v>
      </c>
      <c r="H2" s="68" t="s">
        <v>106</v>
      </c>
      <c r="I2" s="97" t="s">
        <v>107</v>
      </c>
      <c r="J2" s="97"/>
      <c r="K2" s="97"/>
      <c r="L2" s="69" t="s">
        <v>108</v>
      </c>
      <c r="N2" s="67" t="s">
        <v>105</v>
      </c>
      <c r="O2" s="68" t="s">
        <v>106</v>
      </c>
      <c r="P2" s="97" t="s">
        <v>107</v>
      </c>
      <c r="Q2" s="97"/>
      <c r="R2" s="97"/>
      <c r="S2" s="69" t="s">
        <v>108</v>
      </c>
    </row>
    <row r="3" spans="1:19" x14ac:dyDescent="0.25">
      <c r="A3" s="44" t="s">
        <v>73</v>
      </c>
      <c r="C3" s="44" t="s">
        <v>74</v>
      </c>
      <c r="E3" s="42" t="s">
        <v>93</v>
      </c>
      <c r="G3" s="72">
        <v>0</v>
      </c>
      <c r="H3" s="73">
        <f>G4-1</f>
        <v>299999</v>
      </c>
      <c r="I3" s="73">
        <v>0</v>
      </c>
      <c r="J3" s="70" t="s">
        <v>109</v>
      </c>
      <c r="K3" s="76">
        <f>+Sandbox!B29</f>
        <v>0.03</v>
      </c>
      <c r="L3" s="77">
        <v>0</v>
      </c>
      <c r="N3" s="72">
        <v>0</v>
      </c>
      <c r="O3" s="73">
        <f>N4-1</f>
        <v>999999</v>
      </c>
      <c r="P3" s="73">
        <v>0</v>
      </c>
      <c r="Q3" s="70" t="s">
        <v>109</v>
      </c>
      <c r="R3" s="76">
        <f>+Sandbox!B35</f>
        <v>0.03</v>
      </c>
      <c r="S3" s="78">
        <f>+N3</f>
        <v>0</v>
      </c>
    </row>
    <row r="4" spans="1:19" x14ac:dyDescent="0.25">
      <c r="A4" s="44" t="s">
        <v>79</v>
      </c>
      <c r="G4" s="72">
        <f>+Sandbox!A29</f>
        <v>300000</v>
      </c>
      <c r="H4" s="73">
        <f t="shared" ref="H4:H5" si="0">G5-1</f>
        <v>399999</v>
      </c>
      <c r="I4" s="73">
        <f>+K3*H3+Sandbox!C29</f>
        <v>10999.97</v>
      </c>
      <c r="J4" s="70" t="s">
        <v>109</v>
      </c>
      <c r="K4" s="76">
        <f>+Sandbox!B30</f>
        <v>0.04</v>
      </c>
      <c r="L4" s="78">
        <f>+G4</f>
        <v>300000</v>
      </c>
      <c r="N4" s="72">
        <f>+Sandbox!A35</f>
        <v>1000000</v>
      </c>
      <c r="O4" s="73">
        <f t="shared" ref="O4:O5" si="1">N5-1</f>
        <v>1499999</v>
      </c>
      <c r="P4" s="73">
        <f>+R3*O3+Sandbox!C35</f>
        <v>31999.969999999998</v>
      </c>
      <c r="Q4" s="70" t="s">
        <v>109</v>
      </c>
      <c r="R4" s="76">
        <f>+Sandbox!B36</f>
        <v>0.04</v>
      </c>
      <c r="S4" s="78">
        <f>+N4</f>
        <v>1000000</v>
      </c>
    </row>
    <row r="5" spans="1:19" x14ac:dyDescent="0.25">
      <c r="A5" s="44" t="s">
        <v>30</v>
      </c>
      <c r="G5" s="72">
        <f>+Sandbox!A30</f>
        <v>400000</v>
      </c>
      <c r="H5" s="73">
        <f t="shared" si="0"/>
        <v>499999</v>
      </c>
      <c r="I5" s="73">
        <f>+K4*(H4-G4)+I4+Sandbox!C30</f>
        <v>16999.93</v>
      </c>
      <c r="J5" s="70" t="s">
        <v>109</v>
      </c>
      <c r="K5" s="76">
        <f>+Sandbox!B31</f>
        <v>0.05</v>
      </c>
      <c r="L5" s="78">
        <f>+G5</f>
        <v>400000</v>
      </c>
      <c r="N5" s="72">
        <f>+Sandbox!A36</f>
        <v>1500000</v>
      </c>
      <c r="O5" s="73">
        <f t="shared" si="1"/>
        <v>1999999</v>
      </c>
      <c r="P5" s="73">
        <f>+R4*(O4-N4)+P4+Sandbox!C36</f>
        <v>53999.929999999993</v>
      </c>
      <c r="Q5" s="70" t="s">
        <v>109</v>
      </c>
      <c r="R5" s="76">
        <f>+Sandbox!B37</f>
        <v>0.05</v>
      </c>
      <c r="S5" s="78">
        <f>+N5</f>
        <v>1500000</v>
      </c>
    </row>
    <row r="6" spans="1:19" ht="15.75" thickBot="1" x14ac:dyDescent="0.3">
      <c r="A6" s="44" t="s">
        <v>81</v>
      </c>
      <c r="G6" s="74">
        <f>+Sandbox!A31</f>
        <v>500000</v>
      </c>
      <c r="H6" s="75" t="s">
        <v>110</v>
      </c>
      <c r="I6" s="75">
        <f>+K5*(H5-G5)+I5+Sandbox!C31</f>
        <v>23999.88</v>
      </c>
      <c r="J6" s="71" t="s">
        <v>109</v>
      </c>
      <c r="K6" s="79">
        <f>+K5</f>
        <v>0.05</v>
      </c>
      <c r="L6" s="80">
        <f>+G6</f>
        <v>500000</v>
      </c>
      <c r="N6" s="74">
        <f>+Sandbox!A37</f>
        <v>2000000</v>
      </c>
      <c r="O6" s="75" t="s">
        <v>110</v>
      </c>
      <c r="P6" s="75">
        <f>+R5*(O5-N5)+P5+Sandbox!C37</f>
        <v>80999.87999999999</v>
      </c>
      <c r="Q6" s="71" t="s">
        <v>109</v>
      </c>
      <c r="R6" s="79">
        <f>+R5</f>
        <v>0.05</v>
      </c>
      <c r="S6" s="80">
        <f>+N6</f>
        <v>2000000</v>
      </c>
    </row>
  </sheetData>
  <sheetProtection sheet="1" formatCells="0" formatColumns="0" formatRows="0" insertColumns="0" insertRows="0" insertHyperlinks="0" deleteColumns="0" deleteRows="0" sort="0" autoFilter="0" pivotTables="0"/>
  <mergeCells count="4">
    <mergeCell ref="I2:K2"/>
    <mergeCell ref="G1:L1"/>
    <mergeCell ref="N1:S1"/>
    <mergeCell ref="P2:R2"/>
  </mergeCells>
  <hyperlinks>
    <hyperlink ref="M1" r:id="rId1" xr:uid="{A5646957-E87A-436B-B799-06177D37B6C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Overall Structure</vt:lpstr>
      <vt:lpstr>Sandbox</vt:lpstr>
      <vt:lpstr>Bank</vt:lpstr>
      <vt:lpstr>AETable</vt:lpstr>
      <vt:lpstr>Commission_Pct_for_Current_Tier</vt:lpstr>
      <vt:lpstr>Commissionable_amount_for_current_tier</vt:lpstr>
      <vt:lpstr>Previous_Commission_Tier_Max</vt:lpstr>
      <vt:lpstr>Previous_Deals_AE_Commission</vt:lpstr>
      <vt:lpstr>Previous_Deals_Gross_Margin</vt:lpstr>
      <vt:lpstr>SMTable</vt:lpstr>
      <vt:lpstr>Total_Cash_Received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Scharman</dc:creator>
  <cp:lastModifiedBy>Scott Lovelady</cp:lastModifiedBy>
  <dcterms:created xsi:type="dcterms:W3CDTF">2022-03-22T15:56:49Z</dcterms:created>
  <dcterms:modified xsi:type="dcterms:W3CDTF">2022-03-28T22:32:33Z</dcterms:modified>
</cp:coreProperties>
</file>