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OneDrive\Desktop\2022 Election Model\Data\Historical Leans\Downloaded Files\"/>
    </mc:Choice>
  </mc:AlternateContent>
  <xr:revisionPtr revIDLastSave="0" documentId="13_ncr:1_{0A6F7D99-A374-4472-B741-7E9ED65A564A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Results" sheetId="1" r:id="rId1"/>
    <sheet name="Build" sheetId="6" r:id="rId2"/>
    <sheet name="Header" sheetId="2" state="hidden" r:id="rId3"/>
    <sheet name="Calculations" sheetId="3" r:id="rId4"/>
    <sheet name="Sources" sheetId="4" r:id="rId5"/>
    <sheet name="Data Source Summary" sheetId="5" r:id="rId6"/>
  </sheets>
  <definedNames>
    <definedName name="CDs" localSheetId="2">Header!$A$1</definedName>
    <definedName name="CDs">Results!$A$1:$A$436</definedName>
    <definedName name="ColumnHeaders" localSheetId="2">Header!$A$1:$G$1</definedName>
    <definedName name="ColumnHeaders">Results!$A$1:$G$1</definedName>
    <definedName name="ColumnHeaders2">Calculations!$A$1:$C$1</definedName>
    <definedName name="States">Calculations!$A$1:$A$51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6" l="1"/>
  <c r="E4" i="6" s="1"/>
  <c r="D4" i="6"/>
  <c r="F4" i="6" s="1"/>
  <c r="G4" i="6" s="1"/>
  <c r="H4" i="6"/>
  <c r="J4" i="6" s="1"/>
  <c r="I4" i="6"/>
  <c r="K4" i="6" s="1"/>
  <c r="C5" i="6"/>
  <c r="D5" i="6"/>
  <c r="E5" i="6"/>
  <c r="F5" i="6"/>
  <c r="G5" i="6"/>
  <c r="H5" i="6"/>
  <c r="J5" i="6" s="1"/>
  <c r="I5" i="6"/>
  <c r="K5" i="6" s="1"/>
  <c r="L5" i="6" s="1"/>
  <c r="C6" i="6"/>
  <c r="D6" i="6"/>
  <c r="E6" i="6"/>
  <c r="F6" i="6"/>
  <c r="G6" i="6" s="1"/>
  <c r="H6" i="6"/>
  <c r="J6" i="6" s="1"/>
  <c r="L6" i="6" s="1"/>
  <c r="I6" i="6"/>
  <c r="K6" i="6"/>
  <c r="C7" i="6"/>
  <c r="D7" i="6"/>
  <c r="F7" i="6" s="1"/>
  <c r="H7" i="6"/>
  <c r="I7" i="6"/>
  <c r="J7" i="6"/>
  <c r="K7" i="6"/>
  <c r="L7" i="6" s="1"/>
  <c r="C8" i="6"/>
  <c r="E8" i="6" s="1"/>
  <c r="D8" i="6"/>
  <c r="F8" i="6" s="1"/>
  <c r="H8" i="6"/>
  <c r="I8" i="6"/>
  <c r="K8" i="6" s="1"/>
  <c r="C9" i="6"/>
  <c r="D9" i="6"/>
  <c r="E9" i="6"/>
  <c r="F9" i="6"/>
  <c r="G9" i="6" s="1"/>
  <c r="H9" i="6"/>
  <c r="J9" i="6" s="1"/>
  <c r="I9" i="6"/>
  <c r="K9" i="6" s="1"/>
  <c r="L9" i="6" s="1"/>
  <c r="C10" i="6"/>
  <c r="D10" i="6"/>
  <c r="E10" i="6" s="1"/>
  <c r="H10" i="6"/>
  <c r="J10" i="6" s="1"/>
  <c r="I10" i="6"/>
  <c r="K10" i="6"/>
  <c r="L10" i="6"/>
  <c r="C11" i="6"/>
  <c r="E11" i="6" s="1"/>
  <c r="D11" i="6"/>
  <c r="H11" i="6"/>
  <c r="I11" i="6"/>
  <c r="J11" i="6"/>
  <c r="K11" i="6"/>
  <c r="L11" i="6"/>
  <c r="C12" i="6"/>
  <c r="E12" i="6" s="1"/>
  <c r="D12" i="6"/>
  <c r="F12" i="6" s="1"/>
  <c r="G12" i="6" s="1"/>
  <c r="H12" i="6"/>
  <c r="J12" i="6" s="1"/>
  <c r="I12" i="6"/>
  <c r="C13" i="6"/>
  <c r="D13" i="6"/>
  <c r="E13" i="6"/>
  <c r="F13" i="6"/>
  <c r="G13" i="6" s="1"/>
  <c r="H13" i="6"/>
  <c r="J13" i="6" s="1"/>
  <c r="I13" i="6"/>
  <c r="C14" i="6"/>
  <c r="D14" i="6"/>
  <c r="E14" i="6" s="1"/>
  <c r="F14" i="6"/>
  <c r="H14" i="6"/>
  <c r="J14" i="6" s="1"/>
  <c r="L14" i="6" s="1"/>
  <c r="I14" i="6"/>
  <c r="K14" i="6"/>
  <c r="C15" i="6"/>
  <c r="D15" i="6"/>
  <c r="F15" i="6" s="1"/>
  <c r="H15" i="6"/>
  <c r="I15" i="6"/>
  <c r="J15" i="6"/>
  <c r="K15" i="6"/>
  <c r="L15" i="6" s="1"/>
  <c r="C16" i="6"/>
  <c r="E16" i="6" s="1"/>
  <c r="D16" i="6"/>
  <c r="F16" i="6" s="1"/>
  <c r="H16" i="6"/>
  <c r="I16" i="6"/>
  <c r="J16" i="6"/>
  <c r="C17" i="6"/>
  <c r="D17" i="6"/>
  <c r="E17" i="6"/>
  <c r="F17" i="6"/>
  <c r="G17" i="6" s="1"/>
  <c r="H17" i="6"/>
  <c r="J17" i="6" s="1"/>
  <c r="I17" i="6"/>
  <c r="C18" i="6"/>
  <c r="D18" i="6"/>
  <c r="F18" i="6" s="1"/>
  <c r="H18" i="6"/>
  <c r="J18" i="6" s="1"/>
  <c r="L18" i="6" s="1"/>
  <c r="I18" i="6"/>
  <c r="K18" i="6"/>
  <c r="C19" i="6"/>
  <c r="D19" i="6"/>
  <c r="F19" i="6" s="1"/>
  <c r="H19" i="6"/>
  <c r="I19" i="6"/>
  <c r="J19" i="6"/>
  <c r="L19" i="6" s="1"/>
  <c r="K19" i="6"/>
  <c r="C20" i="6"/>
  <c r="E20" i="6" s="1"/>
  <c r="D20" i="6"/>
  <c r="F20" i="6" s="1"/>
  <c r="G20" i="6" s="1"/>
  <c r="H20" i="6"/>
  <c r="I20" i="6"/>
  <c r="K20" i="6" s="1"/>
  <c r="C21" i="6"/>
  <c r="D21" i="6"/>
  <c r="E21" i="6"/>
  <c r="F21" i="6"/>
  <c r="G21" i="6"/>
  <c r="H21" i="6"/>
  <c r="J21" i="6" s="1"/>
  <c r="I21" i="6"/>
  <c r="C22" i="6"/>
  <c r="D22" i="6"/>
  <c r="E22" i="6" s="1"/>
  <c r="H22" i="6"/>
  <c r="J22" i="6" s="1"/>
  <c r="I22" i="6"/>
  <c r="K22" i="6"/>
  <c r="L22" i="6"/>
  <c r="C23" i="6"/>
  <c r="E23" i="6" s="1"/>
  <c r="D23" i="6"/>
  <c r="H23" i="6"/>
  <c r="I23" i="6"/>
  <c r="J23" i="6"/>
  <c r="K23" i="6"/>
  <c r="L23" i="6"/>
  <c r="C24" i="6"/>
  <c r="E24" i="6" s="1"/>
  <c r="D24" i="6"/>
  <c r="F24" i="6" s="1"/>
  <c r="H24" i="6"/>
  <c r="J24" i="6" s="1"/>
  <c r="I24" i="6"/>
  <c r="C25" i="6"/>
  <c r="D25" i="6"/>
  <c r="E25" i="6"/>
  <c r="F25" i="6"/>
  <c r="G25" i="6" s="1"/>
  <c r="H25" i="6"/>
  <c r="J25" i="6" s="1"/>
  <c r="I25" i="6"/>
  <c r="C26" i="6"/>
  <c r="D26" i="6"/>
  <c r="E26" i="6"/>
  <c r="F26" i="6"/>
  <c r="G26" i="6" s="1"/>
  <c r="H26" i="6"/>
  <c r="J26" i="6" s="1"/>
  <c r="L26" i="6" s="1"/>
  <c r="I26" i="6"/>
  <c r="K26" i="6"/>
  <c r="C27" i="6"/>
  <c r="E27" i="6" s="1"/>
  <c r="D27" i="6"/>
  <c r="H27" i="6"/>
  <c r="I27" i="6"/>
  <c r="J27" i="6"/>
  <c r="L27" i="6" s="1"/>
  <c r="K27" i="6"/>
  <c r="C28" i="6"/>
  <c r="E28" i="6" s="1"/>
  <c r="D28" i="6"/>
  <c r="F28" i="6" s="1"/>
  <c r="G28" i="6" s="1"/>
  <c r="H28" i="6"/>
  <c r="I28" i="6"/>
  <c r="K28" i="6" s="1"/>
  <c r="J28" i="6"/>
  <c r="C29" i="6"/>
  <c r="D29" i="6"/>
  <c r="E29" i="6"/>
  <c r="F29" i="6"/>
  <c r="G29" i="6"/>
  <c r="H29" i="6"/>
  <c r="J29" i="6" s="1"/>
  <c r="I29" i="6"/>
  <c r="K29" i="6" s="1"/>
  <c r="L29" i="6" s="1"/>
  <c r="C30" i="6"/>
  <c r="D30" i="6"/>
  <c r="H30" i="6"/>
  <c r="J30" i="6" s="1"/>
  <c r="I30" i="6"/>
  <c r="K30" i="6"/>
  <c r="L30" i="6"/>
  <c r="C31" i="6"/>
  <c r="E31" i="6" s="1"/>
  <c r="D31" i="6"/>
  <c r="H31" i="6"/>
  <c r="I31" i="6"/>
  <c r="J31" i="6"/>
  <c r="K31" i="6"/>
  <c r="L31" i="6" s="1"/>
  <c r="C32" i="6"/>
  <c r="E32" i="6" s="1"/>
  <c r="D32" i="6"/>
  <c r="F32" i="6" s="1"/>
  <c r="G32" i="6" s="1"/>
  <c r="H32" i="6"/>
  <c r="J32" i="6" s="1"/>
  <c r="I32" i="6"/>
  <c r="C33" i="6"/>
  <c r="D33" i="6"/>
  <c r="E33" i="6"/>
  <c r="F33" i="6"/>
  <c r="G33" i="6"/>
  <c r="H33" i="6"/>
  <c r="J33" i="6" s="1"/>
  <c r="I33" i="6"/>
  <c r="C34" i="6"/>
  <c r="D34" i="6"/>
  <c r="F34" i="6" s="1"/>
  <c r="G34" i="6" s="1"/>
  <c r="E34" i="6"/>
  <c r="H34" i="6"/>
  <c r="J34" i="6" s="1"/>
  <c r="I34" i="6"/>
  <c r="C35" i="6"/>
  <c r="E35" i="6" s="1"/>
  <c r="D35" i="6"/>
  <c r="H35" i="6"/>
  <c r="I35" i="6"/>
  <c r="J35" i="6"/>
  <c r="K35" i="6"/>
  <c r="L35" i="6"/>
  <c r="C36" i="6"/>
  <c r="E36" i="6" s="1"/>
  <c r="D36" i="6"/>
  <c r="F36" i="6" s="1"/>
  <c r="H36" i="6"/>
  <c r="J36" i="6" s="1"/>
  <c r="I36" i="6"/>
  <c r="C37" i="6"/>
  <c r="D37" i="6"/>
  <c r="E37" i="6"/>
  <c r="F37" i="6"/>
  <c r="G37" i="6" s="1"/>
  <c r="H37" i="6"/>
  <c r="J37" i="6" s="1"/>
  <c r="I37" i="6"/>
  <c r="C38" i="6"/>
  <c r="D38" i="6"/>
  <c r="E38" i="6"/>
  <c r="F38" i="6"/>
  <c r="G38" i="6" s="1"/>
  <c r="H38" i="6"/>
  <c r="J38" i="6" s="1"/>
  <c r="I38" i="6"/>
  <c r="C39" i="6"/>
  <c r="D39" i="6"/>
  <c r="F39" i="6" s="1"/>
  <c r="H39" i="6"/>
  <c r="I39" i="6"/>
  <c r="J39" i="6"/>
  <c r="K39" i="6"/>
  <c r="C40" i="6"/>
  <c r="E40" i="6" s="1"/>
  <c r="D40" i="6"/>
  <c r="F40" i="6" s="1"/>
  <c r="H40" i="6"/>
  <c r="I40" i="6"/>
  <c r="J40" i="6"/>
  <c r="C41" i="6"/>
  <c r="D41" i="6"/>
  <c r="E41" i="6"/>
  <c r="F41" i="6"/>
  <c r="G41" i="6" s="1"/>
  <c r="H41" i="6"/>
  <c r="I41" i="6"/>
  <c r="C42" i="6"/>
  <c r="D42" i="6"/>
  <c r="H42" i="6"/>
  <c r="J42" i="6" s="1"/>
  <c r="I42" i="6"/>
  <c r="C43" i="6"/>
  <c r="D43" i="6"/>
  <c r="F43" i="6" s="1"/>
  <c r="H43" i="6"/>
  <c r="I43" i="6"/>
  <c r="J43" i="6"/>
  <c r="K43" i="6"/>
  <c r="L43" i="6" s="1"/>
  <c r="C44" i="6"/>
  <c r="D44" i="6"/>
  <c r="E44" i="6" s="1"/>
  <c r="H44" i="6"/>
  <c r="I44" i="6"/>
  <c r="K44" i="6" s="1"/>
  <c r="J44" i="6"/>
  <c r="C45" i="6"/>
  <c r="D45" i="6"/>
  <c r="E45" i="6"/>
  <c r="F45" i="6"/>
  <c r="G45" i="6" s="1"/>
  <c r="H45" i="6"/>
  <c r="I45" i="6"/>
  <c r="C46" i="6"/>
  <c r="D46" i="6"/>
  <c r="F46" i="6" s="1"/>
  <c r="G46" i="6" s="1"/>
  <c r="E46" i="6"/>
  <c r="H46" i="6"/>
  <c r="J46" i="6" s="1"/>
  <c r="I46" i="6"/>
  <c r="C47" i="6"/>
  <c r="E47" i="6" s="1"/>
  <c r="D47" i="6"/>
  <c r="F47" i="6" s="1"/>
  <c r="H47" i="6"/>
  <c r="I47" i="6"/>
  <c r="J47" i="6"/>
  <c r="K47" i="6"/>
  <c r="L47" i="6" s="1"/>
  <c r="C48" i="6"/>
  <c r="D48" i="6"/>
  <c r="E48" i="6" s="1"/>
  <c r="H48" i="6"/>
  <c r="J48" i="6" s="1"/>
  <c r="I48" i="6"/>
  <c r="C49" i="6"/>
  <c r="D49" i="6"/>
  <c r="E49" i="6"/>
  <c r="F49" i="6"/>
  <c r="G49" i="6"/>
  <c r="H49" i="6"/>
  <c r="I49" i="6"/>
  <c r="C50" i="6"/>
  <c r="D50" i="6"/>
  <c r="F50" i="6" s="1"/>
  <c r="G50" i="6" s="1"/>
  <c r="E50" i="6"/>
  <c r="H50" i="6"/>
  <c r="J50" i="6" s="1"/>
  <c r="I50" i="6"/>
  <c r="C51" i="6"/>
  <c r="E51" i="6" s="1"/>
  <c r="D51" i="6"/>
  <c r="H51" i="6"/>
  <c r="I51" i="6"/>
  <c r="J51" i="6"/>
  <c r="K51" i="6"/>
  <c r="L51" i="6"/>
  <c r="C52" i="6"/>
  <c r="D52" i="6"/>
  <c r="E52" i="6" s="1"/>
  <c r="H52" i="6"/>
  <c r="J52" i="6" s="1"/>
  <c r="I52" i="6"/>
  <c r="C53" i="6"/>
  <c r="D53" i="6"/>
  <c r="E53" i="6"/>
  <c r="F53" i="6"/>
  <c r="G53" i="6" s="1"/>
  <c r="H53" i="6"/>
  <c r="I53" i="6"/>
  <c r="C54" i="6"/>
  <c r="D54" i="6"/>
  <c r="E54" i="6"/>
  <c r="F54" i="6"/>
  <c r="G54" i="6" s="1"/>
  <c r="H54" i="6"/>
  <c r="J54" i="6" s="1"/>
  <c r="I54" i="6"/>
  <c r="C55" i="6"/>
  <c r="D55" i="6"/>
  <c r="F55" i="6" s="1"/>
  <c r="H55" i="6"/>
  <c r="I55" i="6"/>
  <c r="J55" i="6"/>
  <c r="K55" i="6"/>
  <c r="C56" i="6"/>
  <c r="D56" i="6"/>
  <c r="E56" i="6" s="1"/>
  <c r="H56" i="6"/>
  <c r="I56" i="6"/>
  <c r="J56" i="6"/>
  <c r="C57" i="6"/>
  <c r="D57" i="6"/>
  <c r="E57" i="6"/>
  <c r="F57" i="6"/>
  <c r="G57" i="6" s="1"/>
  <c r="H57" i="6"/>
  <c r="I57" i="6"/>
  <c r="C58" i="6"/>
  <c r="D58" i="6"/>
  <c r="F58" i="6" s="1"/>
  <c r="H58" i="6"/>
  <c r="J58" i="6" s="1"/>
  <c r="I58" i="6"/>
  <c r="C59" i="6"/>
  <c r="D59" i="6"/>
  <c r="F59" i="6" s="1"/>
  <c r="H59" i="6"/>
  <c r="I59" i="6"/>
  <c r="J59" i="6"/>
  <c r="K59" i="6"/>
  <c r="L59" i="6" s="1"/>
  <c r="C60" i="6"/>
  <c r="D60" i="6"/>
  <c r="E60" i="6" s="1"/>
  <c r="H60" i="6"/>
  <c r="I60" i="6"/>
  <c r="K60" i="6" s="1"/>
  <c r="J60" i="6"/>
  <c r="C61" i="6"/>
  <c r="D61" i="6"/>
  <c r="E61" i="6"/>
  <c r="F61" i="6"/>
  <c r="G61" i="6" s="1"/>
  <c r="H61" i="6"/>
  <c r="I61" i="6"/>
  <c r="C62" i="6"/>
  <c r="D62" i="6"/>
  <c r="F62" i="6" s="1"/>
  <c r="G62" i="6" s="1"/>
  <c r="E62" i="6"/>
  <c r="H62" i="6"/>
  <c r="J62" i="6" s="1"/>
  <c r="I62" i="6"/>
  <c r="C63" i="6"/>
  <c r="E63" i="6" s="1"/>
  <c r="D63" i="6"/>
  <c r="H63" i="6"/>
  <c r="I63" i="6"/>
  <c r="J63" i="6"/>
  <c r="K63" i="6"/>
  <c r="L63" i="6" s="1"/>
  <c r="C64" i="6"/>
  <c r="D64" i="6"/>
  <c r="E64" i="6" s="1"/>
  <c r="H64" i="6"/>
  <c r="J64" i="6" s="1"/>
  <c r="I64" i="6"/>
  <c r="C65" i="6"/>
  <c r="D65" i="6"/>
  <c r="E65" i="6"/>
  <c r="F65" i="6"/>
  <c r="G65" i="6"/>
  <c r="H65" i="6"/>
  <c r="I65" i="6"/>
  <c r="C66" i="6"/>
  <c r="D66" i="6"/>
  <c r="F66" i="6" s="1"/>
  <c r="G66" i="6" s="1"/>
  <c r="E66" i="6"/>
  <c r="H66" i="6"/>
  <c r="J66" i="6" s="1"/>
  <c r="I66" i="6"/>
  <c r="C67" i="6"/>
  <c r="E67" i="6" s="1"/>
  <c r="D67" i="6"/>
  <c r="H67" i="6"/>
  <c r="I67" i="6"/>
  <c r="J67" i="6"/>
  <c r="K67" i="6"/>
  <c r="L67" i="6"/>
  <c r="C68" i="6"/>
  <c r="D68" i="6"/>
  <c r="E68" i="6" s="1"/>
  <c r="H68" i="6"/>
  <c r="J68" i="6" s="1"/>
  <c r="I68" i="6"/>
  <c r="C69" i="6"/>
  <c r="D69" i="6"/>
  <c r="E69" i="6"/>
  <c r="F69" i="6"/>
  <c r="G69" i="6" s="1"/>
  <c r="H69" i="6"/>
  <c r="I69" i="6"/>
  <c r="C70" i="6"/>
  <c r="D70" i="6"/>
  <c r="E70" i="6"/>
  <c r="F70" i="6"/>
  <c r="G70" i="6" s="1"/>
  <c r="H70" i="6"/>
  <c r="J70" i="6" s="1"/>
  <c r="I70" i="6"/>
  <c r="C71" i="6"/>
  <c r="D71" i="6"/>
  <c r="F71" i="6" s="1"/>
  <c r="H71" i="6"/>
  <c r="I71" i="6"/>
  <c r="J71" i="6"/>
  <c r="K71" i="6"/>
  <c r="L71" i="6" s="1"/>
  <c r="C72" i="6"/>
  <c r="D72" i="6"/>
  <c r="E72" i="6" s="1"/>
  <c r="H72" i="6"/>
  <c r="I72" i="6"/>
  <c r="J72" i="6"/>
  <c r="C73" i="6"/>
  <c r="D73" i="6"/>
  <c r="E73" i="6"/>
  <c r="F73" i="6"/>
  <c r="G73" i="6" s="1"/>
  <c r="H73" i="6"/>
  <c r="I73" i="6"/>
  <c r="C74" i="6"/>
  <c r="D74" i="6"/>
  <c r="F74" i="6" s="1"/>
  <c r="H74" i="6"/>
  <c r="J74" i="6" s="1"/>
  <c r="I74" i="6"/>
  <c r="C75" i="6"/>
  <c r="D75" i="6"/>
  <c r="F75" i="6" s="1"/>
  <c r="H75" i="6"/>
  <c r="I75" i="6"/>
  <c r="J75" i="6"/>
  <c r="K75" i="6"/>
  <c r="L75" i="6" s="1"/>
  <c r="C76" i="6"/>
  <c r="D76" i="6"/>
  <c r="E76" i="6" s="1"/>
  <c r="H76" i="6"/>
  <c r="I76" i="6"/>
  <c r="K76" i="6" s="1"/>
  <c r="J76" i="6"/>
  <c r="C77" i="6"/>
  <c r="D77" i="6"/>
  <c r="E77" i="6"/>
  <c r="F77" i="6"/>
  <c r="G77" i="6" s="1"/>
  <c r="H77" i="6"/>
  <c r="I77" i="6"/>
  <c r="C78" i="6"/>
  <c r="D78" i="6"/>
  <c r="F78" i="6" s="1"/>
  <c r="G78" i="6" s="1"/>
  <c r="E78" i="6"/>
  <c r="H78" i="6"/>
  <c r="J78" i="6" s="1"/>
  <c r="I78" i="6"/>
  <c r="K78" i="6" s="1"/>
  <c r="L78" i="6"/>
  <c r="C79" i="6"/>
  <c r="D79" i="6"/>
  <c r="F79" i="6" s="1"/>
  <c r="H79" i="6"/>
  <c r="I79" i="6"/>
  <c r="J79" i="6"/>
  <c r="K79" i="6"/>
  <c r="L79" i="6" s="1"/>
  <c r="C80" i="6"/>
  <c r="D80" i="6"/>
  <c r="E80" i="6" s="1"/>
  <c r="H80" i="6"/>
  <c r="J80" i="6" s="1"/>
  <c r="I80" i="6"/>
  <c r="C81" i="6"/>
  <c r="E81" i="6" s="1"/>
  <c r="D81" i="6"/>
  <c r="F81" i="6"/>
  <c r="G81" i="6"/>
  <c r="H81" i="6"/>
  <c r="I81" i="6"/>
  <c r="C82" i="6"/>
  <c r="D82" i="6"/>
  <c r="E82" i="6" s="1"/>
  <c r="H82" i="6"/>
  <c r="J82" i="6" s="1"/>
  <c r="I82" i="6"/>
  <c r="K82" i="6" s="1"/>
  <c r="L82" i="6"/>
  <c r="C83" i="6"/>
  <c r="E83" i="6" s="1"/>
  <c r="D83" i="6"/>
  <c r="H83" i="6"/>
  <c r="I83" i="6"/>
  <c r="J83" i="6"/>
  <c r="K83" i="6"/>
  <c r="L83" i="6"/>
  <c r="C84" i="6"/>
  <c r="D84" i="6"/>
  <c r="E84" i="6" s="1"/>
  <c r="H84" i="6"/>
  <c r="J84" i="6" s="1"/>
  <c r="I84" i="6"/>
  <c r="K84" i="6" s="1"/>
  <c r="C85" i="6"/>
  <c r="E85" i="6" s="1"/>
  <c r="D85" i="6"/>
  <c r="F85" i="6"/>
  <c r="G85" i="6"/>
  <c r="H85" i="6"/>
  <c r="I85" i="6"/>
  <c r="C86" i="6"/>
  <c r="D86" i="6"/>
  <c r="F86" i="6" s="1"/>
  <c r="G86" i="6" s="1"/>
  <c r="E86" i="6"/>
  <c r="H86" i="6"/>
  <c r="J86" i="6" s="1"/>
  <c r="I86" i="6"/>
  <c r="K86" i="6" s="1"/>
  <c r="L86" i="6"/>
  <c r="C87" i="6"/>
  <c r="D87" i="6"/>
  <c r="F87" i="6" s="1"/>
  <c r="H87" i="6"/>
  <c r="I87" i="6"/>
  <c r="J87" i="6"/>
  <c r="K87" i="6"/>
  <c r="L87" i="6"/>
  <c r="C88" i="6"/>
  <c r="D88" i="6"/>
  <c r="E88" i="6" s="1"/>
  <c r="H88" i="6"/>
  <c r="J88" i="6" s="1"/>
  <c r="I88" i="6"/>
  <c r="C89" i="6"/>
  <c r="E89" i="6" s="1"/>
  <c r="D89" i="6"/>
  <c r="F89" i="6"/>
  <c r="G89" i="6" s="1"/>
  <c r="H89" i="6"/>
  <c r="I89" i="6"/>
  <c r="C90" i="6"/>
  <c r="D90" i="6"/>
  <c r="E90" i="6" s="1"/>
  <c r="F90" i="6"/>
  <c r="H90" i="6"/>
  <c r="J90" i="6" s="1"/>
  <c r="I90" i="6"/>
  <c r="K90" i="6" s="1"/>
  <c r="L90" i="6" s="1"/>
  <c r="C91" i="6"/>
  <c r="E91" i="6" s="1"/>
  <c r="D91" i="6"/>
  <c r="H91" i="6"/>
  <c r="I91" i="6"/>
  <c r="J91" i="6"/>
  <c r="K91" i="6"/>
  <c r="L91" i="6"/>
  <c r="C92" i="6"/>
  <c r="D92" i="6"/>
  <c r="E92" i="6" s="1"/>
  <c r="H92" i="6"/>
  <c r="J92" i="6" s="1"/>
  <c r="I92" i="6"/>
  <c r="K92" i="6" s="1"/>
  <c r="C93" i="6"/>
  <c r="E93" i="6" s="1"/>
  <c r="D93" i="6"/>
  <c r="F93" i="6"/>
  <c r="G93" i="6" s="1"/>
  <c r="H93" i="6"/>
  <c r="I93" i="6"/>
  <c r="C94" i="6"/>
  <c r="D94" i="6"/>
  <c r="E94" i="6"/>
  <c r="F94" i="6"/>
  <c r="G94" i="6" s="1"/>
  <c r="H94" i="6"/>
  <c r="J94" i="6" s="1"/>
  <c r="L94" i="6" s="1"/>
  <c r="I94" i="6"/>
  <c r="K94" i="6" s="1"/>
  <c r="C95" i="6"/>
  <c r="D95" i="6"/>
  <c r="F95" i="6" s="1"/>
  <c r="H95" i="6"/>
  <c r="I95" i="6"/>
  <c r="J95" i="6"/>
  <c r="K95" i="6"/>
  <c r="L95" i="6" s="1"/>
  <c r="C96" i="6"/>
  <c r="D96" i="6"/>
  <c r="E96" i="6" s="1"/>
  <c r="H96" i="6"/>
  <c r="I96" i="6"/>
  <c r="J96" i="6"/>
  <c r="C97" i="6"/>
  <c r="E97" i="6" s="1"/>
  <c r="G97" i="6" s="1"/>
  <c r="D97" i="6"/>
  <c r="F97" i="6"/>
  <c r="H97" i="6"/>
  <c r="I97" i="6"/>
  <c r="C98" i="6"/>
  <c r="D98" i="6"/>
  <c r="E98" i="6"/>
  <c r="F98" i="6"/>
  <c r="G98" i="6" s="1"/>
  <c r="H98" i="6"/>
  <c r="J98" i="6" s="1"/>
  <c r="I98" i="6"/>
  <c r="K98" i="6" s="1"/>
  <c r="L98" i="6" s="1"/>
  <c r="C99" i="6"/>
  <c r="E99" i="6" s="1"/>
  <c r="D99" i="6"/>
  <c r="H99" i="6"/>
  <c r="I99" i="6"/>
  <c r="J99" i="6"/>
  <c r="L99" i="6" s="1"/>
  <c r="K99" i="6"/>
  <c r="C100" i="6"/>
  <c r="D100" i="6"/>
  <c r="E100" i="6" s="1"/>
  <c r="H100" i="6"/>
  <c r="I100" i="6"/>
  <c r="K100" i="6" s="1"/>
  <c r="J100" i="6"/>
  <c r="C101" i="6"/>
  <c r="E101" i="6" s="1"/>
  <c r="D101" i="6"/>
  <c r="F101" i="6"/>
  <c r="H101" i="6"/>
  <c r="J101" i="6" s="1"/>
  <c r="I101" i="6"/>
  <c r="K101" i="6"/>
  <c r="L101" i="6" s="1"/>
  <c r="C102" i="6"/>
  <c r="D102" i="6"/>
  <c r="H102" i="6"/>
  <c r="I102" i="6"/>
  <c r="K102" i="6" s="1"/>
  <c r="C103" i="6"/>
  <c r="D103" i="6"/>
  <c r="F103" i="6"/>
  <c r="H103" i="6"/>
  <c r="I103" i="6"/>
  <c r="J103" i="6"/>
  <c r="K103" i="6"/>
  <c r="L103" i="6"/>
  <c r="C104" i="6"/>
  <c r="D104" i="6"/>
  <c r="H104" i="6"/>
  <c r="J104" i="6" s="1"/>
  <c r="I104" i="6"/>
  <c r="C105" i="6"/>
  <c r="E105" i="6" s="1"/>
  <c r="D105" i="6"/>
  <c r="F105" i="6"/>
  <c r="G105" i="6" s="1"/>
  <c r="H105" i="6"/>
  <c r="J105" i="6" s="1"/>
  <c r="I105" i="6"/>
  <c r="C106" i="6"/>
  <c r="D106" i="6"/>
  <c r="F106" i="6" s="1"/>
  <c r="H106" i="6"/>
  <c r="J106" i="6" s="1"/>
  <c r="I106" i="6"/>
  <c r="C107" i="6"/>
  <c r="D107" i="6"/>
  <c r="F107" i="6"/>
  <c r="H107" i="6"/>
  <c r="I107" i="6"/>
  <c r="K107" i="6" s="1"/>
  <c r="L107" i="6" s="1"/>
  <c r="J107" i="6"/>
  <c r="C108" i="6"/>
  <c r="D108" i="6"/>
  <c r="H108" i="6"/>
  <c r="J108" i="6" s="1"/>
  <c r="L108" i="6" s="1"/>
  <c r="I108" i="6"/>
  <c r="K108" i="6" s="1"/>
  <c r="C109" i="6"/>
  <c r="D109" i="6"/>
  <c r="H109" i="6"/>
  <c r="I109" i="6"/>
  <c r="J109" i="6"/>
  <c r="K109" i="6"/>
  <c r="L109" i="6" s="1"/>
  <c r="C110" i="6"/>
  <c r="E110" i="6" s="1"/>
  <c r="D110" i="6"/>
  <c r="H110" i="6"/>
  <c r="J110" i="6" s="1"/>
  <c r="I110" i="6"/>
  <c r="K110" i="6"/>
  <c r="L110" i="6"/>
  <c r="C111" i="6"/>
  <c r="D111" i="6"/>
  <c r="H111" i="6"/>
  <c r="I111" i="6"/>
  <c r="J111" i="6"/>
  <c r="K111" i="6"/>
  <c r="L111" i="6"/>
  <c r="C112" i="6"/>
  <c r="D112" i="6"/>
  <c r="F112" i="6" s="1"/>
  <c r="H112" i="6"/>
  <c r="I112" i="6"/>
  <c r="K112" i="6" s="1"/>
  <c r="J112" i="6"/>
  <c r="L112" i="6"/>
  <c r="C113" i="6"/>
  <c r="E113" i="6" s="1"/>
  <c r="D113" i="6"/>
  <c r="H113" i="6"/>
  <c r="K113" i="6" s="1"/>
  <c r="I113" i="6"/>
  <c r="J113" i="6"/>
  <c r="C114" i="6"/>
  <c r="E114" i="6" s="1"/>
  <c r="D114" i="6"/>
  <c r="F114" i="6" s="1"/>
  <c r="H114" i="6"/>
  <c r="I114" i="6"/>
  <c r="K114" i="6"/>
  <c r="C115" i="6"/>
  <c r="E115" i="6" s="1"/>
  <c r="D115" i="6"/>
  <c r="H115" i="6"/>
  <c r="I115" i="6"/>
  <c r="C116" i="6"/>
  <c r="D116" i="6"/>
  <c r="F116" i="6" s="1"/>
  <c r="H116" i="6"/>
  <c r="J116" i="6" s="1"/>
  <c r="I116" i="6"/>
  <c r="C117" i="6"/>
  <c r="E117" i="6" s="1"/>
  <c r="G117" i="6" s="1"/>
  <c r="D117" i="6"/>
  <c r="F117" i="6"/>
  <c r="H117" i="6"/>
  <c r="J117" i="6" s="1"/>
  <c r="I117" i="6"/>
  <c r="K117" i="6" s="1"/>
  <c r="L117" i="6" s="1"/>
  <c r="C118" i="6"/>
  <c r="D118" i="6"/>
  <c r="E118" i="6"/>
  <c r="F118" i="6"/>
  <c r="G118" i="6" s="1"/>
  <c r="H118" i="6"/>
  <c r="J118" i="6" s="1"/>
  <c r="I118" i="6"/>
  <c r="K118" i="6" s="1"/>
  <c r="C119" i="6"/>
  <c r="D119" i="6"/>
  <c r="F119" i="6" s="1"/>
  <c r="H119" i="6"/>
  <c r="I119" i="6"/>
  <c r="J119" i="6"/>
  <c r="K119" i="6"/>
  <c r="L119" i="6"/>
  <c r="C120" i="6"/>
  <c r="E120" i="6" s="1"/>
  <c r="D120" i="6"/>
  <c r="F120" i="6" s="1"/>
  <c r="G120" i="6" s="1"/>
  <c r="H120" i="6"/>
  <c r="I120" i="6"/>
  <c r="K120" i="6" s="1"/>
  <c r="C121" i="6"/>
  <c r="E121" i="6" s="1"/>
  <c r="G121" i="6" s="1"/>
  <c r="D121" i="6"/>
  <c r="F121" i="6"/>
  <c r="H121" i="6"/>
  <c r="J121" i="6" s="1"/>
  <c r="I121" i="6"/>
  <c r="C122" i="6"/>
  <c r="D122" i="6"/>
  <c r="E122" i="6"/>
  <c r="F122" i="6"/>
  <c r="G122" i="6" s="1"/>
  <c r="H122" i="6"/>
  <c r="J122" i="6" s="1"/>
  <c r="I122" i="6"/>
  <c r="K122" i="6" s="1"/>
  <c r="C123" i="6"/>
  <c r="E123" i="6" s="1"/>
  <c r="D123" i="6"/>
  <c r="H123" i="6"/>
  <c r="I123" i="6"/>
  <c r="J123" i="6"/>
  <c r="K123" i="6"/>
  <c r="L123" i="6"/>
  <c r="C124" i="6"/>
  <c r="E124" i="6" s="1"/>
  <c r="D124" i="6"/>
  <c r="F124" i="6" s="1"/>
  <c r="G124" i="6" s="1"/>
  <c r="H124" i="6"/>
  <c r="I124" i="6"/>
  <c r="K124" i="6" s="1"/>
  <c r="C125" i="6"/>
  <c r="E125" i="6" s="1"/>
  <c r="G125" i="6" s="1"/>
  <c r="D125" i="6"/>
  <c r="F125" i="6"/>
  <c r="H125" i="6"/>
  <c r="J125" i="6" s="1"/>
  <c r="I125" i="6"/>
  <c r="C126" i="6"/>
  <c r="D126" i="6"/>
  <c r="E126" i="6"/>
  <c r="F126" i="6"/>
  <c r="G126" i="6" s="1"/>
  <c r="H126" i="6"/>
  <c r="J126" i="6" s="1"/>
  <c r="I126" i="6"/>
  <c r="K126" i="6" s="1"/>
  <c r="C127" i="6"/>
  <c r="E127" i="6" s="1"/>
  <c r="D127" i="6"/>
  <c r="H127" i="6"/>
  <c r="I127" i="6"/>
  <c r="J127" i="6"/>
  <c r="K127" i="6"/>
  <c r="L127" i="6"/>
  <c r="C128" i="6"/>
  <c r="E128" i="6" s="1"/>
  <c r="D128" i="6"/>
  <c r="F128" i="6" s="1"/>
  <c r="G128" i="6" s="1"/>
  <c r="H128" i="6"/>
  <c r="I128" i="6"/>
  <c r="K128" i="6" s="1"/>
  <c r="C129" i="6"/>
  <c r="E129" i="6" s="1"/>
  <c r="G129" i="6" s="1"/>
  <c r="D129" i="6"/>
  <c r="F129" i="6"/>
  <c r="H129" i="6"/>
  <c r="J129" i="6" s="1"/>
  <c r="I129" i="6"/>
  <c r="C130" i="6"/>
  <c r="D130" i="6"/>
  <c r="E130" i="6"/>
  <c r="F130" i="6"/>
  <c r="G130" i="6" s="1"/>
  <c r="H130" i="6"/>
  <c r="J130" i="6" s="1"/>
  <c r="I130" i="6"/>
  <c r="K130" i="6" s="1"/>
  <c r="C131" i="6"/>
  <c r="E131" i="6" s="1"/>
  <c r="D131" i="6"/>
  <c r="H131" i="6"/>
  <c r="I131" i="6"/>
  <c r="J131" i="6"/>
  <c r="K131" i="6"/>
  <c r="L131" i="6" s="1"/>
  <c r="C132" i="6"/>
  <c r="E132" i="6" s="1"/>
  <c r="D132" i="6"/>
  <c r="F132" i="6" s="1"/>
  <c r="G132" i="6" s="1"/>
  <c r="H132" i="6"/>
  <c r="I132" i="6"/>
  <c r="K132" i="6" s="1"/>
  <c r="C133" i="6"/>
  <c r="E133" i="6" s="1"/>
  <c r="G133" i="6" s="1"/>
  <c r="D133" i="6"/>
  <c r="F133" i="6"/>
  <c r="H133" i="6"/>
  <c r="J133" i="6" s="1"/>
  <c r="I133" i="6"/>
  <c r="C134" i="6"/>
  <c r="D134" i="6"/>
  <c r="E134" i="6"/>
  <c r="F134" i="6"/>
  <c r="G134" i="6" s="1"/>
  <c r="H134" i="6"/>
  <c r="J134" i="6" s="1"/>
  <c r="I134" i="6"/>
  <c r="K134" i="6" s="1"/>
  <c r="C135" i="6"/>
  <c r="E135" i="6" s="1"/>
  <c r="D135" i="6"/>
  <c r="H135" i="6"/>
  <c r="I135" i="6"/>
  <c r="J135" i="6"/>
  <c r="K135" i="6"/>
  <c r="L135" i="6"/>
  <c r="C136" i="6"/>
  <c r="E136" i="6" s="1"/>
  <c r="D136" i="6"/>
  <c r="F136" i="6" s="1"/>
  <c r="G136" i="6" s="1"/>
  <c r="H136" i="6"/>
  <c r="I136" i="6"/>
  <c r="K136" i="6" s="1"/>
  <c r="C137" i="6"/>
  <c r="E137" i="6" s="1"/>
  <c r="G137" i="6" s="1"/>
  <c r="D137" i="6"/>
  <c r="F137" i="6"/>
  <c r="H137" i="6"/>
  <c r="J137" i="6" s="1"/>
  <c r="I137" i="6"/>
  <c r="C138" i="6"/>
  <c r="D138" i="6"/>
  <c r="E138" i="6"/>
  <c r="F138" i="6"/>
  <c r="G138" i="6" s="1"/>
  <c r="H138" i="6"/>
  <c r="J138" i="6" s="1"/>
  <c r="I138" i="6"/>
  <c r="K138" i="6" s="1"/>
  <c r="C139" i="6"/>
  <c r="E139" i="6" s="1"/>
  <c r="D139" i="6"/>
  <c r="H139" i="6"/>
  <c r="I139" i="6"/>
  <c r="J139" i="6"/>
  <c r="K139" i="6"/>
  <c r="L139" i="6"/>
  <c r="C140" i="6"/>
  <c r="E140" i="6" s="1"/>
  <c r="D140" i="6"/>
  <c r="F140" i="6" s="1"/>
  <c r="G140" i="6" s="1"/>
  <c r="H140" i="6"/>
  <c r="I140" i="6"/>
  <c r="K140" i="6" s="1"/>
  <c r="C141" i="6"/>
  <c r="E141" i="6" s="1"/>
  <c r="G141" i="6" s="1"/>
  <c r="D141" i="6"/>
  <c r="F141" i="6"/>
  <c r="H141" i="6"/>
  <c r="J141" i="6" s="1"/>
  <c r="I141" i="6"/>
  <c r="C142" i="6"/>
  <c r="D142" i="6"/>
  <c r="E142" i="6"/>
  <c r="F142" i="6"/>
  <c r="G142" i="6" s="1"/>
  <c r="H142" i="6"/>
  <c r="J142" i="6" s="1"/>
  <c r="I142" i="6"/>
  <c r="K142" i="6" s="1"/>
  <c r="C143" i="6"/>
  <c r="E143" i="6" s="1"/>
  <c r="D143" i="6"/>
  <c r="H143" i="6"/>
  <c r="I143" i="6"/>
  <c r="J143" i="6"/>
  <c r="K143" i="6"/>
  <c r="L143" i="6"/>
  <c r="C144" i="6"/>
  <c r="E144" i="6" s="1"/>
  <c r="D144" i="6"/>
  <c r="F144" i="6" s="1"/>
  <c r="G144" i="6" s="1"/>
  <c r="H144" i="6"/>
  <c r="I144" i="6"/>
  <c r="K144" i="6" s="1"/>
  <c r="C145" i="6"/>
  <c r="E145" i="6" s="1"/>
  <c r="G145" i="6" s="1"/>
  <c r="D145" i="6"/>
  <c r="F145" i="6"/>
  <c r="H145" i="6"/>
  <c r="J145" i="6" s="1"/>
  <c r="I145" i="6"/>
  <c r="C146" i="6"/>
  <c r="D146" i="6"/>
  <c r="E146" i="6"/>
  <c r="F146" i="6"/>
  <c r="G146" i="6" s="1"/>
  <c r="H146" i="6"/>
  <c r="J146" i="6" s="1"/>
  <c r="I146" i="6"/>
  <c r="K146" i="6" s="1"/>
  <c r="C147" i="6"/>
  <c r="E147" i="6" s="1"/>
  <c r="D147" i="6"/>
  <c r="H147" i="6"/>
  <c r="I147" i="6"/>
  <c r="J147" i="6"/>
  <c r="K147" i="6"/>
  <c r="L147" i="6" s="1"/>
  <c r="C148" i="6"/>
  <c r="E148" i="6" s="1"/>
  <c r="D148" i="6"/>
  <c r="F148" i="6" s="1"/>
  <c r="G148" i="6" s="1"/>
  <c r="H148" i="6"/>
  <c r="I148" i="6"/>
  <c r="K148" i="6" s="1"/>
  <c r="C149" i="6"/>
  <c r="E149" i="6" s="1"/>
  <c r="G149" i="6" s="1"/>
  <c r="D149" i="6"/>
  <c r="F149" i="6"/>
  <c r="H149" i="6"/>
  <c r="J149" i="6" s="1"/>
  <c r="I149" i="6"/>
  <c r="C150" i="6"/>
  <c r="D150" i="6"/>
  <c r="E150" i="6"/>
  <c r="F150" i="6"/>
  <c r="G150" i="6" s="1"/>
  <c r="H150" i="6"/>
  <c r="J150" i="6" s="1"/>
  <c r="I150" i="6"/>
  <c r="K150" i="6" s="1"/>
  <c r="C151" i="6"/>
  <c r="E151" i="6" s="1"/>
  <c r="D151" i="6"/>
  <c r="H151" i="6"/>
  <c r="I151" i="6"/>
  <c r="J151" i="6"/>
  <c r="K151" i="6"/>
  <c r="L151" i="6"/>
  <c r="C152" i="6"/>
  <c r="E152" i="6" s="1"/>
  <c r="D152" i="6"/>
  <c r="F152" i="6" s="1"/>
  <c r="G152" i="6" s="1"/>
  <c r="H152" i="6"/>
  <c r="I152" i="6"/>
  <c r="K152" i="6" s="1"/>
  <c r="C153" i="6"/>
  <c r="E153" i="6" s="1"/>
  <c r="G153" i="6" s="1"/>
  <c r="D153" i="6"/>
  <c r="F153" i="6"/>
  <c r="H153" i="6"/>
  <c r="J153" i="6" s="1"/>
  <c r="I153" i="6"/>
  <c r="C154" i="6"/>
  <c r="D154" i="6"/>
  <c r="E154" i="6"/>
  <c r="F154" i="6"/>
  <c r="G154" i="6" s="1"/>
  <c r="H154" i="6"/>
  <c r="J154" i="6" s="1"/>
  <c r="I154" i="6"/>
  <c r="K154" i="6" s="1"/>
  <c r="C155" i="6"/>
  <c r="E155" i="6" s="1"/>
  <c r="D155" i="6"/>
  <c r="H155" i="6"/>
  <c r="I155" i="6"/>
  <c r="J155" i="6"/>
  <c r="K155" i="6"/>
  <c r="L155" i="6"/>
  <c r="C156" i="6"/>
  <c r="D156" i="6"/>
  <c r="E156" i="6" s="1"/>
  <c r="H156" i="6"/>
  <c r="I156" i="6"/>
  <c r="K156" i="6" s="1"/>
  <c r="C157" i="6"/>
  <c r="E157" i="6" s="1"/>
  <c r="G157" i="6" s="1"/>
  <c r="D157" i="6"/>
  <c r="F157" i="6"/>
  <c r="H157" i="6"/>
  <c r="K157" i="6" s="1"/>
  <c r="I157" i="6"/>
  <c r="C158" i="6"/>
  <c r="D158" i="6"/>
  <c r="E158" i="6"/>
  <c r="F158" i="6"/>
  <c r="H158" i="6"/>
  <c r="J158" i="6" s="1"/>
  <c r="I158" i="6"/>
  <c r="C159" i="6"/>
  <c r="E159" i="6" s="1"/>
  <c r="D159" i="6"/>
  <c r="H159" i="6"/>
  <c r="I159" i="6"/>
  <c r="J159" i="6"/>
  <c r="K159" i="6"/>
  <c r="L159" i="6" s="1"/>
  <c r="C160" i="6"/>
  <c r="D160" i="6"/>
  <c r="H160" i="6"/>
  <c r="I160" i="6"/>
  <c r="K160" i="6" s="1"/>
  <c r="J160" i="6"/>
  <c r="C161" i="6"/>
  <c r="E161" i="6" s="1"/>
  <c r="G161" i="6" s="1"/>
  <c r="D161" i="6"/>
  <c r="F161" i="6"/>
  <c r="H161" i="6"/>
  <c r="K161" i="6" s="1"/>
  <c r="I161" i="6"/>
  <c r="J161" i="6"/>
  <c r="C162" i="6"/>
  <c r="D162" i="6"/>
  <c r="E162" i="6"/>
  <c r="F162" i="6"/>
  <c r="G162" i="6" s="1"/>
  <c r="H162" i="6"/>
  <c r="J162" i="6" s="1"/>
  <c r="I162" i="6"/>
  <c r="C163" i="6"/>
  <c r="D163" i="6"/>
  <c r="H163" i="6"/>
  <c r="I163" i="6"/>
  <c r="J163" i="6"/>
  <c r="K163" i="6"/>
  <c r="L163" i="6"/>
  <c r="C164" i="6"/>
  <c r="D164" i="6"/>
  <c r="H164" i="6"/>
  <c r="J164" i="6" s="1"/>
  <c r="I164" i="6"/>
  <c r="C165" i="6"/>
  <c r="E165" i="6" s="1"/>
  <c r="D165" i="6"/>
  <c r="F165" i="6"/>
  <c r="G165" i="6" s="1"/>
  <c r="H165" i="6"/>
  <c r="J165" i="6" s="1"/>
  <c r="I165" i="6"/>
  <c r="C166" i="6"/>
  <c r="D166" i="6"/>
  <c r="F166" i="6" s="1"/>
  <c r="H166" i="6"/>
  <c r="I166" i="6"/>
  <c r="K166" i="6" s="1"/>
  <c r="C167" i="6"/>
  <c r="D167" i="6"/>
  <c r="H167" i="6"/>
  <c r="I167" i="6"/>
  <c r="J167" i="6"/>
  <c r="K167" i="6"/>
  <c r="L167" i="6"/>
  <c r="C168" i="6"/>
  <c r="D168" i="6"/>
  <c r="H168" i="6"/>
  <c r="J168" i="6" s="1"/>
  <c r="I168" i="6"/>
  <c r="K168" i="6"/>
  <c r="L168" i="6" s="1"/>
  <c r="C169" i="6"/>
  <c r="D169" i="6"/>
  <c r="F169" i="6" s="1"/>
  <c r="H169" i="6"/>
  <c r="I169" i="6"/>
  <c r="J169" i="6"/>
  <c r="K169" i="6"/>
  <c r="L169" i="6" s="1"/>
  <c r="C170" i="6"/>
  <c r="D170" i="6"/>
  <c r="F170" i="6" s="1"/>
  <c r="G170" i="6" s="1"/>
  <c r="E170" i="6"/>
  <c r="H170" i="6"/>
  <c r="I170" i="6"/>
  <c r="K170" i="6" s="1"/>
  <c r="C171" i="6"/>
  <c r="E171" i="6" s="1"/>
  <c r="G171" i="6" s="1"/>
  <c r="D171" i="6"/>
  <c r="F171" i="6" s="1"/>
  <c r="H171" i="6"/>
  <c r="I171" i="6"/>
  <c r="C172" i="6"/>
  <c r="D172" i="6"/>
  <c r="E172" i="6"/>
  <c r="F172" i="6"/>
  <c r="G172" i="6" s="1"/>
  <c r="H172" i="6"/>
  <c r="I172" i="6"/>
  <c r="J172" i="6" s="1"/>
  <c r="C173" i="6"/>
  <c r="D173" i="6"/>
  <c r="F173" i="6"/>
  <c r="H173" i="6"/>
  <c r="J173" i="6" s="1"/>
  <c r="I173" i="6"/>
  <c r="K173" i="6" s="1"/>
  <c r="L173" i="6" s="1"/>
  <c r="C174" i="6"/>
  <c r="D174" i="6"/>
  <c r="H174" i="6"/>
  <c r="J174" i="6" s="1"/>
  <c r="I174" i="6"/>
  <c r="C175" i="6"/>
  <c r="D175" i="6"/>
  <c r="H175" i="6"/>
  <c r="I175" i="6"/>
  <c r="J175" i="6"/>
  <c r="K175" i="6"/>
  <c r="L175" i="6" s="1"/>
  <c r="C176" i="6"/>
  <c r="E176" i="6" s="1"/>
  <c r="D176" i="6"/>
  <c r="F176" i="6" s="1"/>
  <c r="H176" i="6"/>
  <c r="I176" i="6"/>
  <c r="K176" i="6" s="1"/>
  <c r="J176" i="6"/>
  <c r="C177" i="6"/>
  <c r="E177" i="6" s="1"/>
  <c r="G177" i="6" s="1"/>
  <c r="D177" i="6"/>
  <c r="F177" i="6" s="1"/>
  <c r="H177" i="6"/>
  <c r="I177" i="6"/>
  <c r="C178" i="6"/>
  <c r="D178" i="6"/>
  <c r="E178" i="6"/>
  <c r="F178" i="6"/>
  <c r="G178" i="6" s="1"/>
  <c r="H178" i="6"/>
  <c r="J178" i="6" s="1"/>
  <c r="I178" i="6"/>
  <c r="K178" i="6" s="1"/>
  <c r="L178" i="6" s="1"/>
  <c r="C179" i="6"/>
  <c r="E179" i="6" s="1"/>
  <c r="D179" i="6"/>
  <c r="H179" i="6"/>
  <c r="J179" i="6" s="1"/>
  <c r="I179" i="6"/>
  <c r="K179" i="6"/>
  <c r="L179" i="6"/>
  <c r="C180" i="6"/>
  <c r="D180" i="6"/>
  <c r="E180" i="6" s="1"/>
  <c r="H180" i="6"/>
  <c r="I180" i="6"/>
  <c r="K180" i="6" s="1"/>
  <c r="J180" i="6"/>
  <c r="C181" i="6"/>
  <c r="E181" i="6" s="1"/>
  <c r="D181" i="6"/>
  <c r="F181" i="6" s="1"/>
  <c r="G181" i="6"/>
  <c r="H181" i="6"/>
  <c r="I181" i="6"/>
  <c r="C182" i="6"/>
  <c r="D182" i="6"/>
  <c r="E182" i="6"/>
  <c r="F182" i="6"/>
  <c r="H182" i="6"/>
  <c r="J182" i="6" s="1"/>
  <c r="I182" i="6"/>
  <c r="K182" i="6" s="1"/>
  <c r="L182" i="6" s="1"/>
  <c r="C183" i="6"/>
  <c r="D183" i="6"/>
  <c r="F183" i="6" s="1"/>
  <c r="H183" i="6"/>
  <c r="J183" i="6" s="1"/>
  <c r="I183" i="6"/>
  <c r="K183" i="6"/>
  <c r="L183" i="6" s="1"/>
  <c r="C184" i="6"/>
  <c r="D184" i="6"/>
  <c r="E184" i="6" s="1"/>
  <c r="H184" i="6"/>
  <c r="I184" i="6"/>
  <c r="K184" i="6" s="1"/>
  <c r="C185" i="6"/>
  <c r="E185" i="6" s="1"/>
  <c r="D185" i="6"/>
  <c r="F185" i="6" s="1"/>
  <c r="G185" i="6" s="1"/>
  <c r="H185" i="6"/>
  <c r="I185" i="6"/>
  <c r="C186" i="6"/>
  <c r="D186" i="6"/>
  <c r="E186" i="6"/>
  <c r="F186" i="6"/>
  <c r="H186" i="6"/>
  <c r="J186" i="6" s="1"/>
  <c r="I186" i="6"/>
  <c r="K186" i="6" s="1"/>
  <c r="C187" i="6"/>
  <c r="D187" i="6"/>
  <c r="F187" i="6" s="1"/>
  <c r="H187" i="6"/>
  <c r="J187" i="6" s="1"/>
  <c r="I187" i="6"/>
  <c r="K187" i="6"/>
  <c r="L187" i="6" s="1"/>
  <c r="C188" i="6"/>
  <c r="D188" i="6"/>
  <c r="E188" i="6" s="1"/>
  <c r="H188" i="6"/>
  <c r="I188" i="6"/>
  <c r="C189" i="6"/>
  <c r="E189" i="6" s="1"/>
  <c r="D189" i="6"/>
  <c r="F189" i="6" s="1"/>
  <c r="G189" i="6" s="1"/>
  <c r="H189" i="6"/>
  <c r="I189" i="6"/>
  <c r="C190" i="6"/>
  <c r="D190" i="6"/>
  <c r="E190" i="6"/>
  <c r="F190" i="6"/>
  <c r="G190" i="6" s="1"/>
  <c r="H190" i="6"/>
  <c r="J190" i="6" s="1"/>
  <c r="I190" i="6"/>
  <c r="K190" i="6" s="1"/>
  <c r="C191" i="6"/>
  <c r="E191" i="6" s="1"/>
  <c r="D191" i="6"/>
  <c r="H191" i="6"/>
  <c r="J191" i="6" s="1"/>
  <c r="L191" i="6" s="1"/>
  <c r="I191" i="6"/>
  <c r="K191" i="6"/>
  <c r="C192" i="6"/>
  <c r="D192" i="6"/>
  <c r="E192" i="6" s="1"/>
  <c r="H192" i="6"/>
  <c r="I192" i="6"/>
  <c r="K192" i="6" s="1"/>
  <c r="J192" i="6"/>
  <c r="C193" i="6"/>
  <c r="E193" i="6" s="1"/>
  <c r="G193" i="6" s="1"/>
  <c r="D193" i="6"/>
  <c r="F193" i="6" s="1"/>
  <c r="H193" i="6"/>
  <c r="I193" i="6"/>
  <c r="C194" i="6"/>
  <c r="D194" i="6"/>
  <c r="E194" i="6"/>
  <c r="F194" i="6"/>
  <c r="G194" i="6" s="1"/>
  <c r="H194" i="6"/>
  <c r="J194" i="6" s="1"/>
  <c r="I194" i="6"/>
  <c r="K194" i="6" s="1"/>
  <c r="L194" i="6" s="1"/>
  <c r="C195" i="6"/>
  <c r="E195" i="6" s="1"/>
  <c r="D195" i="6"/>
  <c r="H195" i="6"/>
  <c r="J195" i="6" s="1"/>
  <c r="I195" i="6"/>
  <c r="K195" i="6"/>
  <c r="L195" i="6"/>
  <c r="C196" i="6"/>
  <c r="D196" i="6"/>
  <c r="E196" i="6" s="1"/>
  <c r="H196" i="6"/>
  <c r="I196" i="6"/>
  <c r="K196" i="6" s="1"/>
  <c r="L196" i="6" s="1"/>
  <c r="J196" i="6"/>
  <c r="C197" i="6"/>
  <c r="E197" i="6" s="1"/>
  <c r="D197" i="6"/>
  <c r="F197" i="6" s="1"/>
  <c r="H197" i="6"/>
  <c r="K197" i="6" s="1"/>
  <c r="I197" i="6"/>
  <c r="C198" i="6"/>
  <c r="D198" i="6"/>
  <c r="E198" i="6"/>
  <c r="F198" i="6"/>
  <c r="H198" i="6"/>
  <c r="J198" i="6" s="1"/>
  <c r="I198" i="6"/>
  <c r="K198" i="6" s="1"/>
  <c r="L198" i="6" s="1"/>
  <c r="C199" i="6"/>
  <c r="E199" i="6" s="1"/>
  <c r="D199" i="6"/>
  <c r="F199" i="6" s="1"/>
  <c r="G199" i="6" s="1"/>
  <c r="H199" i="6"/>
  <c r="J199" i="6" s="1"/>
  <c r="I199" i="6"/>
  <c r="K199" i="6"/>
  <c r="L199" i="6" s="1"/>
  <c r="C200" i="6"/>
  <c r="D200" i="6"/>
  <c r="H200" i="6"/>
  <c r="I200" i="6"/>
  <c r="K200" i="6" s="1"/>
  <c r="C201" i="6"/>
  <c r="E201" i="6" s="1"/>
  <c r="G201" i="6" s="1"/>
  <c r="D201" i="6"/>
  <c r="F201" i="6" s="1"/>
  <c r="H201" i="6"/>
  <c r="K201" i="6" s="1"/>
  <c r="I201" i="6"/>
  <c r="C202" i="6"/>
  <c r="D202" i="6"/>
  <c r="E202" i="6"/>
  <c r="F202" i="6"/>
  <c r="H202" i="6"/>
  <c r="J202" i="6" s="1"/>
  <c r="I202" i="6"/>
  <c r="K202" i="6" s="1"/>
  <c r="L202" i="6" s="1"/>
  <c r="C203" i="6"/>
  <c r="D203" i="6"/>
  <c r="F203" i="6" s="1"/>
  <c r="H203" i="6"/>
  <c r="J203" i="6" s="1"/>
  <c r="L203" i="6" s="1"/>
  <c r="I203" i="6"/>
  <c r="K203" i="6"/>
  <c r="C204" i="6"/>
  <c r="D204" i="6"/>
  <c r="H204" i="6"/>
  <c r="I204" i="6"/>
  <c r="K204" i="6" s="1"/>
  <c r="J204" i="6"/>
  <c r="L204" i="6"/>
  <c r="C205" i="6"/>
  <c r="E205" i="6" s="1"/>
  <c r="D205" i="6"/>
  <c r="F205" i="6" s="1"/>
  <c r="G205" i="6"/>
  <c r="H205" i="6"/>
  <c r="K205" i="6" s="1"/>
  <c r="I205" i="6"/>
  <c r="C206" i="6"/>
  <c r="D206" i="6"/>
  <c r="E206" i="6"/>
  <c r="F206" i="6"/>
  <c r="G206" i="6" s="1"/>
  <c r="H206" i="6"/>
  <c r="J206" i="6" s="1"/>
  <c r="I206" i="6"/>
  <c r="C207" i="6"/>
  <c r="E207" i="6" s="1"/>
  <c r="D207" i="6"/>
  <c r="F207" i="6"/>
  <c r="G207" i="6" s="1"/>
  <c r="H207" i="6"/>
  <c r="J207" i="6" s="1"/>
  <c r="L207" i="6" s="1"/>
  <c r="I207" i="6"/>
  <c r="K207" i="6"/>
  <c r="C208" i="6"/>
  <c r="D208" i="6"/>
  <c r="E208" i="6" s="1"/>
  <c r="H208" i="6"/>
  <c r="I208" i="6"/>
  <c r="C209" i="6"/>
  <c r="E209" i="6" s="1"/>
  <c r="D209" i="6"/>
  <c r="F209" i="6" s="1"/>
  <c r="G209" i="6" s="1"/>
  <c r="H209" i="6"/>
  <c r="K209" i="6" s="1"/>
  <c r="I209" i="6"/>
  <c r="J209" i="6"/>
  <c r="C210" i="6"/>
  <c r="D210" i="6"/>
  <c r="E210" i="6"/>
  <c r="F210" i="6"/>
  <c r="H210" i="6"/>
  <c r="I210" i="6"/>
  <c r="K210" i="6" s="1"/>
  <c r="L210" i="6" s="1"/>
  <c r="J210" i="6"/>
  <c r="C211" i="6"/>
  <c r="D211" i="6"/>
  <c r="F211" i="6"/>
  <c r="H211" i="6"/>
  <c r="J211" i="6" s="1"/>
  <c r="I211" i="6"/>
  <c r="K211" i="6"/>
  <c r="L211" i="6"/>
  <c r="C212" i="6"/>
  <c r="D212" i="6"/>
  <c r="E212" i="6"/>
  <c r="F212" i="6"/>
  <c r="H212" i="6"/>
  <c r="I212" i="6"/>
  <c r="K212" i="6" s="1"/>
  <c r="J212" i="6"/>
  <c r="L212" i="6"/>
  <c r="C213" i="6"/>
  <c r="D213" i="6"/>
  <c r="F213" i="6" s="1"/>
  <c r="H213" i="6"/>
  <c r="J213" i="6" s="1"/>
  <c r="L213" i="6" s="1"/>
  <c r="I213" i="6"/>
  <c r="K213" i="6"/>
  <c r="C214" i="6"/>
  <c r="D214" i="6"/>
  <c r="E214" i="6"/>
  <c r="F214" i="6"/>
  <c r="G214" i="6" s="1"/>
  <c r="H214" i="6"/>
  <c r="I214" i="6"/>
  <c r="J214" i="6"/>
  <c r="C215" i="6"/>
  <c r="D215" i="6"/>
  <c r="H215" i="6"/>
  <c r="J215" i="6" s="1"/>
  <c r="I215" i="6"/>
  <c r="C216" i="6"/>
  <c r="D216" i="6"/>
  <c r="E216" i="6"/>
  <c r="F216" i="6"/>
  <c r="H216" i="6"/>
  <c r="I216" i="6"/>
  <c r="K216" i="6" s="1"/>
  <c r="C217" i="6"/>
  <c r="E217" i="6" s="1"/>
  <c r="D217" i="6"/>
  <c r="H217" i="6"/>
  <c r="K217" i="6" s="1"/>
  <c r="L217" i="6" s="1"/>
  <c r="I217" i="6"/>
  <c r="J217" i="6"/>
  <c r="C218" i="6"/>
  <c r="D218" i="6"/>
  <c r="E218" i="6"/>
  <c r="F218" i="6"/>
  <c r="G218" i="6" s="1"/>
  <c r="H218" i="6"/>
  <c r="J218" i="6" s="1"/>
  <c r="I218" i="6"/>
  <c r="K218" i="6" s="1"/>
  <c r="C219" i="6"/>
  <c r="E219" i="6" s="1"/>
  <c r="D219" i="6"/>
  <c r="H219" i="6"/>
  <c r="J219" i="6" s="1"/>
  <c r="I219" i="6"/>
  <c r="K219" i="6"/>
  <c r="L219" i="6" s="1"/>
  <c r="C220" i="6"/>
  <c r="D220" i="6"/>
  <c r="H220" i="6"/>
  <c r="I220" i="6"/>
  <c r="K220" i="6" s="1"/>
  <c r="L220" i="6" s="1"/>
  <c r="J220" i="6"/>
  <c r="C221" i="6"/>
  <c r="E221" i="6" s="1"/>
  <c r="D221" i="6"/>
  <c r="H221" i="6"/>
  <c r="I221" i="6"/>
  <c r="J221" i="6"/>
  <c r="K221" i="6"/>
  <c r="L221" i="6" s="1"/>
  <c r="C222" i="6"/>
  <c r="D222" i="6"/>
  <c r="E222" i="6"/>
  <c r="F222" i="6"/>
  <c r="G222" i="6" s="1"/>
  <c r="H222" i="6"/>
  <c r="I222" i="6"/>
  <c r="K222" i="6" s="1"/>
  <c r="C223" i="6"/>
  <c r="D223" i="6"/>
  <c r="F223" i="6"/>
  <c r="H223" i="6"/>
  <c r="J223" i="6" s="1"/>
  <c r="I223" i="6"/>
  <c r="K223" i="6"/>
  <c r="L223" i="6" s="1"/>
  <c r="C224" i="6"/>
  <c r="D224" i="6"/>
  <c r="F224" i="6" s="1"/>
  <c r="E224" i="6"/>
  <c r="H224" i="6"/>
  <c r="I224" i="6"/>
  <c r="K224" i="6" s="1"/>
  <c r="L224" i="6" s="1"/>
  <c r="J224" i="6"/>
  <c r="C225" i="6"/>
  <c r="D225" i="6"/>
  <c r="F225" i="6" s="1"/>
  <c r="H225" i="6"/>
  <c r="I225" i="6"/>
  <c r="J225" i="6"/>
  <c r="K225" i="6"/>
  <c r="L225" i="6" s="1"/>
  <c r="C226" i="6"/>
  <c r="D226" i="6"/>
  <c r="E226" i="6"/>
  <c r="F226" i="6"/>
  <c r="H226" i="6"/>
  <c r="J226" i="6" s="1"/>
  <c r="I226" i="6"/>
  <c r="K226" i="6" s="1"/>
  <c r="C227" i="6"/>
  <c r="D227" i="6"/>
  <c r="F227" i="6" s="1"/>
  <c r="H227" i="6"/>
  <c r="J227" i="6" s="1"/>
  <c r="I227" i="6"/>
  <c r="C228" i="6"/>
  <c r="D228" i="6"/>
  <c r="H228" i="6"/>
  <c r="J228" i="6" s="1"/>
  <c r="I228" i="6"/>
  <c r="C229" i="6"/>
  <c r="D229" i="6"/>
  <c r="H229" i="6"/>
  <c r="I229" i="6"/>
  <c r="J229" i="6"/>
  <c r="K229" i="6"/>
  <c r="C230" i="6"/>
  <c r="E230" i="6" s="1"/>
  <c r="D230" i="6"/>
  <c r="F230" i="6" s="1"/>
  <c r="G230" i="6" s="1"/>
  <c r="H230" i="6"/>
  <c r="I230" i="6"/>
  <c r="K230" i="6" s="1"/>
  <c r="C231" i="6"/>
  <c r="E231" i="6" s="1"/>
  <c r="D231" i="6"/>
  <c r="F231" i="6" s="1"/>
  <c r="G231" i="6" s="1"/>
  <c r="H231" i="6"/>
  <c r="J231" i="6" s="1"/>
  <c r="I231" i="6"/>
  <c r="C232" i="6"/>
  <c r="E232" i="6" s="1"/>
  <c r="D232" i="6"/>
  <c r="F232" i="6"/>
  <c r="G232" i="6" s="1"/>
  <c r="H232" i="6"/>
  <c r="I232" i="6"/>
  <c r="J232" i="6" s="1"/>
  <c r="C233" i="6"/>
  <c r="D233" i="6"/>
  <c r="F233" i="6" s="1"/>
  <c r="E233" i="6"/>
  <c r="H233" i="6"/>
  <c r="J233" i="6" s="1"/>
  <c r="I233" i="6"/>
  <c r="K233" i="6" s="1"/>
  <c r="L233" i="6" s="1"/>
  <c r="C234" i="6"/>
  <c r="D234" i="6"/>
  <c r="H234" i="6"/>
  <c r="I234" i="6"/>
  <c r="J234" i="6"/>
  <c r="K234" i="6"/>
  <c r="C235" i="6"/>
  <c r="E235" i="6" s="1"/>
  <c r="D235" i="6"/>
  <c r="F235" i="6" s="1"/>
  <c r="H235" i="6"/>
  <c r="I235" i="6"/>
  <c r="K235" i="6" s="1"/>
  <c r="C236" i="6"/>
  <c r="E236" i="6" s="1"/>
  <c r="D236" i="6"/>
  <c r="F236" i="6"/>
  <c r="G236" i="6" s="1"/>
  <c r="H236" i="6"/>
  <c r="I236" i="6"/>
  <c r="J236" i="6" s="1"/>
  <c r="C237" i="6"/>
  <c r="D237" i="6"/>
  <c r="F237" i="6" s="1"/>
  <c r="E237" i="6"/>
  <c r="H237" i="6"/>
  <c r="J237" i="6" s="1"/>
  <c r="I237" i="6"/>
  <c r="K237" i="6" s="1"/>
  <c r="L237" i="6" s="1"/>
  <c r="C238" i="6"/>
  <c r="D238" i="6"/>
  <c r="H238" i="6"/>
  <c r="I238" i="6"/>
  <c r="J238" i="6"/>
  <c r="K238" i="6"/>
  <c r="C239" i="6"/>
  <c r="E239" i="6" s="1"/>
  <c r="D239" i="6"/>
  <c r="F239" i="6" s="1"/>
  <c r="H239" i="6"/>
  <c r="J239" i="6" s="1"/>
  <c r="I239" i="6"/>
  <c r="C240" i="6"/>
  <c r="E240" i="6" s="1"/>
  <c r="D240" i="6"/>
  <c r="F240" i="6"/>
  <c r="G240" i="6" s="1"/>
  <c r="H240" i="6"/>
  <c r="I240" i="6"/>
  <c r="J240" i="6" s="1"/>
  <c r="C241" i="6"/>
  <c r="D241" i="6"/>
  <c r="F241" i="6" s="1"/>
  <c r="E241" i="6"/>
  <c r="H241" i="6"/>
  <c r="J241" i="6" s="1"/>
  <c r="I241" i="6"/>
  <c r="K241" i="6" s="1"/>
  <c r="C242" i="6"/>
  <c r="D242" i="6"/>
  <c r="H242" i="6"/>
  <c r="I242" i="6"/>
  <c r="J242" i="6"/>
  <c r="K242" i="6"/>
  <c r="L242" i="6" s="1"/>
  <c r="C243" i="6"/>
  <c r="E243" i="6" s="1"/>
  <c r="D243" i="6"/>
  <c r="F243" i="6" s="1"/>
  <c r="H243" i="6"/>
  <c r="J243" i="6" s="1"/>
  <c r="I243" i="6"/>
  <c r="C244" i="6"/>
  <c r="E244" i="6" s="1"/>
  <c r="D244" i="6"/>
  <c r="F244" i="6"/>
  <c r="G244" i="6"/>
  <c r="H244" i="6"/>
  <c r="I244" i="6"/>
  <c r="K244" i="6" s="1"/>
  <c r="L244" i="6" s="1"/>
  <c r="J244" i="6"/>
  <c r="C245" i="6"/>
  <c r="D245" i="6"/>
  <c r="F245" i="6" s="1"/>
  <c r="H245" i="6"/>
  <c r="J245" i="6" s="1"/>
  <c r="I245" i="6"/>
  <c r="K245" i="6" s="1"/>
  <c r="L245" i="6" s="1"/>
  <c r="C246" i="6"/>
  <c r="D246" i="6"/>
  <c r="H246" i="6"/>
  <c r="I246" i="6"/>
  <c r="J246" i="6"/>
  <c r="K246" i="6"/>
  <c r="L246" i="6" s="1"/>
  <c r="C247" i="6"/>
  <c r="E247" i="6" s="1"/>
  <c r="D247" i="6"/>
  <c r="F247" i="6" s="1"/>
  <c r="H247" i="6"/>
  <c r="I247" i="6"/>
  <c r="K247" i="6" s="1"/>
  <c r="C248" i="6"/>
  <c r="E248" i="6" s="1"/>
  <c r="D248" i="6"/>
  <c r="F248" i="6"/>
  <c r="G248" i="6"/>
  <c r="H248" i="6"/>
  <c r="I248" i="6"/>
  <c r="K248" i="6" s="1"/>
  <c r="L248" i="6" s="1"/>
  <c r="J248" i="6"/>
  <c r="C249" i="6"/>
  <c r="D249" i="6"/>
  <c r="F249" i="6" s="1"/>
  <c r="E249" i="6"/>
  <c r="H249" i="6"/>
  <c r="J249" i="6" s="1"/>
  <c r="I249" i="6"/>
  <c r="K249" i="6" s="1"/>
  <c r="L249" i="6"/>
  <c r="C250" i="6"/>
  <c r="D250" i="6"/>
  <c r="H250" i="6"/>
  <c r="I250" i="6"/>
  <c r="J250" i="6"/>
  <c r="K250" i="6"/>
  <c r="C251" i="6"/>
  <c r="E251" i="6" s="1"/>
  <c r="D251" i="6"/>
  <c r="F251" i="6" s="1"/>
  <c r="G251" i="6" s="1"/>
  <c r="H251" i="6"/>
  <c r="J251" i="6" s="1"/>
  <c r="I251" i="6"/>
  <c r="C252" i="6"/>
  <c r="E252" i="6" s="1"/>
  <c r="D252" i="6"/>
  <c r="F252" i="6"/>
  <c r="G252" i="6" s="1"/>
  <c r="H252" i="6"/>
  <c r="I252" i="6"/>
  <c r="K252" i="6" s="1"/>
  <c r="L252" i="6" s="1"/>
  <c r="J252" i="6"/>
  <c r="C253" i="6"/>
  <c r="D253" i="6"/>
  <c r="F253" i="6" s="1"/>
  <c r="H253" i="6"/>
  <c r="J253" i="6" s="1"/>
  <c r="L253" i="6" s="1"/>
  <c r="I253" i="6"/>
  <c r="K253" i="6" s="1"/>
  <c r="C254" i="6"/>
  <c r="D254" i="6"/>
  <c r="H254" i="6"/>
  <c r="I254" i="6"/>
  <c r="J254" i="6"/>
  <c r="K254" i="6"/>
  <c r="L254" i="6" s="1"/>
  <c r="C255" i="6"/>
  <c r="E255" i="6" s="1"/>
  <c r="D255" i="6"/>
  <c r="F255" i="6" s="1"/>
  <c r="G255" i="6" s="1"/>
  <c r="H255" i="6"/>
  <c r="J255" i="6" s="1"/>
  <c r="I255" i="6"/>
  <c r="C256" i="6"/>
  <c r="E256" i="6" s="1"/>
  <c r="D256" i="6"/>
  <c r="F256" i="6"/>
  <c r="G256" i="6"/>
  <c r="H256" i="6"/>
  <c r="I256" i="6"/>
  <c r="J256" i="6" s="1"/>
  <c r="C257" i="6"/>
  <c r="D257" i="6"/>
  <c r="H257" i="6"/>
  <c r="J257" i="6" s="1"/>
  <c r="L257" i="6" s="1"/>
  <c r="I257" i="6"/>
  <c r="K257" i="6" s="1"/>
  <c r="C258" i="6"/>
  <c r="D258" i="6"/>
  <c r="H258" i="6"/>
  <c r="I258" i="6"/>
  <c r="J258" i="6"/>
  <c r="K258" i="6"/>
  <c r="L258" i="6" s="1"/>
  <c r="C259" i="6"/>
  <c r="E259" i="6" s="1"/>
  <c r="D259" i="6"/>
  <c r="F259" i="6" s="1"/>
  <c r="G259" i="6" s="1"/>
  <c r="H259" i="6"/>
  <c r="J259" i="6" s="1"/>
  <c r="I259" i="6"/>
  <c r="C260" i="6"/>
  <c r="E260" i="6" s="1"/>
  <c r="G260" i="6" s="1"/>
  <c r="D260" i="6"/>
  <c r="F260" i="6"/>
  <c r="H260" i="6"/>
  <c r="I260" i="6"/>
  <c r="J260" i="6" s="1"/>
  <c r="C261" i="6"/>
  <c r="D261" i="6"/>
  <c r="F261" i="6" s="1"/>
  <c r="E261" i="6"/>
  <c r="H261" i="6"/>
  <c r="J261" i="6" s="1"/>
  <c r="L261" i="6" s="1"/>
  <c r="I261" i="6"/>
  <c r="K261" i="6" s="1"/>
  <c r="C262" i="6"/>
  <c r="D262" i="6"/>
  <c r="H262" i="6"/>
  <c r="I262" i="6"/>
  <c r="J262" i="6"/>
  <c r="K262" i="6"/>
  <c r="C263" i="6"/>
  <c r="E263" i="6" s="1"/>
  <c r="D263" i="6"/>
  <c r="F263" i="6" s="1"/>
  <c r="G263" i="6" s="1"/>
  <c r="H263" i="6"/>
  <c r="I263" i="6"/>
  <c r="K263" i="6" s="1"/>
  <c r="C264" i="6"/>
  <c r="E264" i="6" s="1"/>
  <c r="D264" i="6"/>
  <c r="F264" i="6"/>
  <c r="G264" i="6" s="1"/>
  <c r="H264" i="6"/>
  <c r="I264" i="6"/>
  <c r="J264" i="6" s="1"/>
  <c r="C265" i="6"/>
  <c r="D265" i="6"/>
  <c r="F265" i="6" s="1"/>
  <c r="H265" i="6"/>
  <c r="J265" i="6" s="1"/>
  <c r="I265" i="6"/>
  <c r="K265" i="6" s="1"/>
  <c r="L265" i="6" s="1"/>
  <c r="C266" i="6"/>
  <c r="D266" i="6"/>
  <c r="H266" i="6"/>
  <c r="I266" i="6"/>
  <c r="J266" i="6"/>
  <c r="K266" i="6"/>
  <c r="L266" i="6" s="1"/>
  <c r="C267" i="6"/>
  <c r="E267" i="6" s="1"/>
  <c r="D267" i="6"/>
  <c r="F267" i="6" s="1"/>
  <c r="H267" i="6"/>
  <c r="I267" i="6"/>
  <c r="K267" i="6" s="1"/>
  <c r="C268" i="6"/>
  <c r="E268" i="6" s="1"/>
  <c r="D268" i="6"/>
  <c r="F268" i="6"/>
  <c r="G268" i="6"/>
  <c r="H268" i="6"/>
  <c r="I268" i="6"/>
  <c r="J268" i="6" s="1"/>
  <c r="C269" i="6"/>
  <c r="D269" i="6"/>
  <c r="F269" i="6" s="1"/>
  <c r="H269" i="6"/>
  <c r="J269" i="6" s="1"/>
  <c r="L269" i="6" s="1"/>
  <c r="I269" i="6"/>
  <c r="K269" i="6" s="1"/>
  <c r="C270" i="6"/>
  <c r="D270" i="6"/>
  <c r="H270" i="6"/>
  <c r="I270" i="6"/>
  <c r="J270" i="6"/>
  <c r="K270" i="6"/>
  <c r="L270" i="6" s="1"/>
  <c r="C271" i="6"/>
  <c r="E271" i="6" s="1"/>
  <c r="D271" i="6"/>
  <c r="F271" i="6" s="1"/>
  <c r="G271" i="6" s="1"/>
  <c r="H271" i="6"/>
  <c r="I271" i="6"/>
  <c r="K271" i="6" s="1"/>
  <c r="C272" i="6"/>
  <c r="E272" i="6" s="1"/>
  <c r="D272" i="6"/>
  <c r="F272" i="6"/>
  <c r="G272" i="6"/>
  <c r="H272" i="6"/>
  <c r="I272" i="6"/>
  <c r="J272" i="6" s="1"/>
  <c r="C273" i="6"/>
  <c r="D273" i="6"/>
  <c r="H273" i="6"/>
  <c r="J273" i="6" s="1"/>
  <c r="L273" i="6" s="1"/>
  <c r="I273" i="6"/>
  <c r="K273" i="6" s="1"/>
  <c r="C274" i="6"/>
  <c r="D274" i="6"/>
  <c r="H274" i="6"/>
  <c r="I274" i="6"/>
  <c r="J274" i="6"/>
  <c r="K274" i="6"/>
  <c r="L274" i="6" s="1"/>
  <c r="C275" i="6"/>
  <c r="E275" i="6" s="1"/>
  <c r="D275" i="6"/>
  <c r="F275" i="6" s="1"/>
  <c r="G275" i="6" s="1"/>
  <c r="H275" i="6"/>
  <c r="J275" i="6" s="1"/>
  <c r="I275" i="6"/>
  <c r="C276" i="6"/>
  <c r="E276" i="6" s="1"/>
  <c r="G276" i="6" s="1"/>
  <c r="D276" i="6"/>
  <c r="F276" i="6"/>
  <c r="H276" i="6"/>
  <c r="I276" i="6"/>
  <c r="J276" i="6" s="1"/>
  <c r="C277" i="6"/>
  <c r="D277" i="6"/>
  <c r="F277" i="6" s="1"/>
  <c r="E277" i="6"/>
  <c r="H277" i="6"/>
  <c r="J277" i="6" s="1"/>
  <c r="L277" i="6" s="1"/>
  <c r="I277" i="6"/>
  <c r="K277" i="6" s="1"/>
  <c r="C278" i="6"/>
  <c r="D278" i="6"/>
  <c r="H278" i="6"/>
  <c r="I278" i="6"/>
  <c r="J278" i="6"/>
  <c r="K278" i="6"/>
  <c r="C279" i="6"/>
  <c r="E279" i="6" s="1"/>
  <c r="D279" i="6"/>
  <c r="F279" i="6" s="1"/>
  <c r="G279" i="6" s="1"/>
  <c r="H279" i="6"/>
  <c r="I279" i="6"/>
  <c r="K279" i="6" s="1"/>
  <c r="C280" i="6"/>
  <c r="E280" i="6" s="1"/>
  <c r="D280" i="6"/>
  <c r="F280" i="6"/>
  <c r="G280" i="6" s="1"/>
  <c r="H280" i="6"/>
  <c r="I280" i="6"/>
  <c r="J280" i="6" s="1"/>
  <c r="C281" i="6"/>
  <c r="D281" i="6"/>
  <c r="F281" i="6" s="1"/>
  <c r="H281" i="6"/>
  <c r="J281" i="6" s="1"/>
  <c r="I281" i="6"/>
  <c r="K281" i="6" s="1"/>
  <c r="L281" i="6" s="1"/>
  <c r="C282" i="6"/>
  <c r="D282" i="6"/>
  <c r="H282" i="6"/>
  <c r="I282" i="6"/>
  <c r="J282" i="6"/>
  <c r="K282" i="6"/>
  <c r="L282" i="6" s="1"/>
  <c r="C283" i="6"/>
  <c r="E283" i="6" s="1"/>
  <c r="D283" i="6"/>
  <c r="F283" i="6" s="1"/>
  <c r="H283" i="6"/>
  <c r="I283" i="6"/>
  <c r="K283" i="6" s="1"/>
  <c r="C284" i="6"/>
  <c r="E284" i="6" s="1"/>
  <c r="D284" i="6"/>
  <c r="F284" i="6"/>
  <c r="G284" i="6"/>
  <c r="H284" i="6"/>
  <c r="I284" i="6"/>
  <c r="J284" i="6" s="1"/>
  <c r="C285" i="6"/>
  <c r="D285" i="6"/>
  <c r="F285" i="6" s="1"/>
  <c r="H285" i="6"/>
  <c r="J285" i="6" s="1"/>
  <c r="L285" i="6" s="1"/>
  <c r="I285" i="6"/>
  <c r="K285" i="6" s="1"/>
  <c r="C286" i="6"/>
  <c r="D286" i="6"/>
  <c r="H286" i="6"/>
  <c r="I286" i="6"/>
  <c r="J286" i="6"/>
  <c r="K286" i="6"/>
  <c r="L286" i="6" s="1"/>
  <c r="C287" i="6"/>
  <c r="E287" i="6" s="1"/>
  <c r="D287" i="6"/>
  <c r="F287" i="6" s="1"/>
  <c r="G287" i="6" s="1"/>
  <c r="H287" i="6"/>
  <c r="I287" i="6"/>
  <c r="K287" i="6" s="1"/>
  <c r="C288" i="6"/>
  <c r="E288" i="6" s="1"/>
  <c r="D288" i="6"/>
  <c r="F288" i="6"/>
  <c r="G288" i="6"/>
  <c r="H288" i="6"/>
  <c r="I288" i="6"/>
  <c r="J288" i="6" s="1"/>
  <c r="C289" i="6"/>
  <c r="D289" i="6"/>
  <c r="H289" i="6"/>
  <c r="J289" i="6" s="1"/>
  <c r="L289" i="6" s="1"/>
  <c r="I289" i="6"/>
  <c r="K289" i="6" s="1"/>
  <c r="C290" i="6"/>
  <c r="D290" i="6"/>
  <c r="H290" i="6"/>
  <c r="I290" i="6"/>
  <c r="J290" i="6"/>
  <c r="K290" i="6"/>
  <c r="L290" i="6" s="1"/>
  <c r="C291" i="6"/>
  <c r="E291" i="6" s="1"/>
  <c r="D291" i="6"/>
  <c r="F291" i="6" s="1"/>
  <c r="G291" i="6" s="1"/>
  <c r="H291" i="6"/>
  <c r="I291" i="6"/>
  <c r="K291" i="6"/>
  <c r="C292" i="6"/>
  <c r="E292" i="6" s="1"/>
  <c r="D292" i="6"/>
  <c r="F292" i="6"/>
  <c r="G292" i="6"/>
  <c r="H292" i="6"/>
  <c r="I292" i="6"/>
  <c r="K292" i="6" s="1"/>
  <c r="J292" i="6"/>
  <c r="C293" i="6"/>
  <c r="D293" i="6"/>
  <c r="F293" i="6" s="1"/>
  <c r="G293" i="6" s="1"/>
  <c r="E293" i="6"/>
  <c r="H293" i="6"/>
  <c r="J293" i="6" s="1"/>
  <c r="I293" i="6"/>
  <c r="C294" i="6"/>
  <c r="D294" i="6"/>
  <c r="H294" i="6"/>
  <c r="I294" i="6"/>
  <c r="J294" i="6"/>
  <c r="K294" i="6"/>
  <c r="L294" i="6" s="1"/>
  <c r="C295" i="6"/>
  <c r="E295" i="6" s="1"/>
  <c r="D295" i="6"/>
  <c r="H295" i="6"/>
  <c r="I295" i="6"/>
  <c r="K295" i="6" s="1"/>
  <c r="C296" i="6"/>
  <c r="D296" i="6"/>
  <c r="H296" i="6"/>
  <c r="I296" i="6"/>
  <c r="J296" i="6" s="1"/>
  <c r="C297" i="6"/>
  <c r="D297" i="6"/>
  <c r="H297" i="6"/>
  <c r="I297" i="6"/>
  <c r="K297" i="6" s="1"/>
  <c r="C298" i="6"/>
  <c r="F298" i="6" s="1"/>
  <c r="D298" i="6"/>
  <c r="E298" i="6"/>
  <c r="H298" i="6"/>
  <c r="I298" i="6"/>
  <c r="J298" i="6"/>
  <c r="K298" i="6"/>
  <c r="L298" i="6" s="1"/>
  <c r="C299" i="6"/>
  <c r="D299" i="6"/>
  <c r="F299" i="6" s="1"/>
  <c r="H299" i="6"/>
  <c r="I299" i="6"/>
  <c r="K299" i="6" s="1"/>
  <c r="C300" i="6"/>
  <c r="E300" i="6" s="1"/>
  <c r="D300" i="6"/>
  <c r="H300" i="6"/>
  <c r="I300" i="6"/>
  <c r="J300" i="6"/>
  <c r="K300" i="6"/>
  <c r="L300" i="6" s="1"/>
  <c r="C301" i="6"/>
  <c r="E301" i="6" s="1"/>
  <c r="G301" i="6" s="1"/>
  <c r="D301" i="6"/>
  <c r="F301" i="6" s="1"/>
  <c r="H301" i="6"/>
  <c r="I301" i="6"/>
  <c r="J301" i="6"/>
  <c r="K301" i="6"/>
  <c r="L301" i="6" s="1"/>
  <c r="C302" i="6"/>
  <c r="F302" i="6" s="1"/>
  <c r="G302" i="6" s="1"/>
  <c r="D302" i="6"/>
  <c r="E302" i="6"/>
  <c r="H302" i="6"/>
  <c r="J302" i="6" s="1"/>
  <c r="I302" i="6"/>
  <c r="C303" i="6"/>
  <c r="E303" i="6" s="1"/>
  <c r="D303" i="6"/>
  <c r="F303" i="6"/>
  <c r="G303" i="6"/>
  <c r="H303" i="6"/>
  <c r="J303" i="6" s="1"/>
  <c r="I303" i="6"/>
  <c r="K303" i="6"/>
  <c r="L303" i="6" s="1"/>
  <c r="C304" i="6"/>
  <c r="D304" i="6"/>
  <c r="F304" i="6" s="1"/>
  <c r="H304" i="6"/>
  <c r="I304" i="6"/>
  <c r="J304" i="6" s="1"/>
  <c r="C305" i="6"/>
  <c r="E305" i="6" s="1"/>
  <c r="D305" i="6"/>
  <c r="F305" i="6" s="1"/>
  <c r="G305" i="6" s="1"/>
  <c r="H305" i="6"/>
  <c r="I305" i="6"/>
  <c r="J305" i="6"/>
  <c r="K305" i="6"/>
  <c r="L305" i="6" s="1"/>
  <c r="C306" i="6"/>
  <c r="F306" i="6" s="1"/>
  <c r="G306" i="6" s="1"/>
  <c r="D306" i="6"/>
  <c r="E306" i="6"/>
  <c r="H306" i="6"/>
  <c r="J306" i="6" s="1"/>
  <c r="I306" i="6"/>
  <c r="C307" i="6"/>
  <c r="E307" i="6" s="1"/>
  <c r="D307" i="6"/>
  <c r="F307" i="6"/>
  <c r="G307" i="6"/>
  <c r="H307" i="6"/>
  <c r="J307" i="6" s="1"/>
  <c r="I307" i="6"/>
  <c r="K307" i="6"/>
  <c r="L307" i="6" s="1"/>
  <c r="C308" i="6"/>
  <c r="D308" i="6"/>
  <c r="F308" i="6" s="1"/>
  <c r="H308" i="6"/>
  <c r="I308" i="6"/>
  <c r="J308" i="6" s="1"/>
  <c r="C309" i="6"/>
  <c r="E309" i="6" s="1"/>
  <c r="D309" i="6"/>
  <c r="F309" i="6" s="1"/>
  <c r="G309" i="6" s="1"/>
  <c r="H309" i="6"/>
  <c r="I309" i="6"/>
  <c r="J309" i="6"/>
  <c r="K309" i="6"/>
  <c r="L309" i="6" s="1"/>
  <c r="C310" i="6"/>
  <c r="F310" i="6" s="1"/>
  <c r="G310" i="6" s="1"/>
  <c r="D310" i="6"/>
  <c r="E310" i="6"/>
  <c r="H310" i="6"/>
  <c r="J310" i="6" s="1"/>
  <c r="I310" i="6"/>
  <c r="C311" i="6"/>
  <c r="E311" i="6" s="1"/>
  <c r="D311" i="6"/>
  <c r="F311" i="6"/>
  <c r="G311" i="6"/>
  <c r="H311" i="6"/>
  <c r="J311" i="6" s="1"/>
  <c r="I311" i="6"/>
  <c r="K311" i="6"/>
  <c r="L311" i="6" s="1"/>
  <c r="C312" i="6"/>
  <c r="D312" i="6"/>
  <c r="F312" i="6" s="1"/>
  <c r="H312" i="6"/>
  <c r="I312" i="6"/>
  <c r="J312" i="6" s="1"/>
  <c r="C313" i="6"/>
  <c r="E313" i="6" s="1"/>
  <c r="D313" i="6"/>
  <c r="F313" i="6" s="1"/>
  <c r="G313" i="6" s="1"/>
  <c r="H313" i="6"/>
  <c r="I313" i="6"/>
  <c r="J313" i="6"/>
  <c r="K313" i="6"/>
  <c r="L313" i="6" s="1"/>
  <c r="C314" i="6"/>
  <c r="F314" i="6" s="1"/>
  <c r="G314" i="6" s="1"/>
  <c r="D314" i="6"/>
  <c r="E314" i="6"/>
  <c r="H314" i="6"/>
  <c r="J314" i="6" s="1"/>
  <c r="I314" i="6"/>
  <c r="C315" i="6"/>
  <c r="E315" i="6" s="1"/>
  <c r="D315" i="6"/>
  <c r="F315" i="6"/>
  <c r="G315" i="6"/>
  <c r="H315" i="6"/>
  <c r="J315" i="6" s="1"/>
  <c r="I315" i="6"/>
  <c r="K315" i="6"/>
  <c r="L315" i="6" s="1"/>
  <c r="C316" i="6"/>
  <c r="D316" i="6"/>
  <c r="F316" i="6" s="1"/>
  <c r="H316" i="6"/>
  <c r="I316" i="6"/>
  <c r="J316" i="6" s="1"/>
  <c r="C317" i="6"/>
  <c r="E317" i="6" s="1"/>
  <c r="D317" i="6"/>
  <c r="F317" i="6" s="1"/>
  <c r="G317" i="6" s="1"/>
  <c r="H317" i="6"/>
  <c r="I317" i="6"/>
  <c r="J317" i="6"/>
  <c r="K317" i="6"/>
  <c r="L317" i="6" s="1"/>
  <c r="C318" i="6"/>
  <c r="F318" i="6" s="1"/>
  <c r="G318" i="6" s="1"/>
  <c r="D318" i="6"/>
  <c r="E318" i="6"/>
  <c r="H318" i="6"/>
  <c r="J318" i="6" s="1"/>
  <c r="I318" i="6"/>
  <c r="C319" i="6"/>
  <c r="E319" i="6" s="1"/>
  <c r="G319" i="6" s="1"/>
  <c r="D319" i="6"/>
  <c r="F319" i="6"/>
  <c r="H319" i="6"/>
  <c r="J319" i="6" s="1"/>
  <c r="I319" i="6"/>
  <c r="K319" i="6"/>
  <c r="L319" i="6" s="1"/>
  <c r="C320" i="6"/>
  <c r="D320" i="6"/>
  <c r="F320" i="6" s="1"/>
  <c r="H320" i="6"/>
  <c r="I320" i="6"/>
  <c r="J320" i="6" s="1"/>
  <c r="C321" i="6"/>
  <c r="E321" i="6" s="1"/>
  <c r="D321" i="6"/>
  <c r="F321" i="6" s="1"/>
  <c r="G321" i="6" s="1"/>
  <c r="H321" i="6"/>
  <c r="I321" i="6"/>
  <c r="J321" i="6"/>
  <c r="K321" i="6"/>
  <c r="L321" i="6" s="1"/>
  <c r="C322" i="6"/>
  <c r="F322" i="6" s="1"/>
  <c r="G322" i="6" s="1"/>
  <c r="D322" i="6"/>
  <c r="E322" i="6"/>
  <c r="H322" i="6"/>
  <c r="J322" i="6" s="1"/>
  <c r="I322" i="6"/>
  <c r="C323" i="6"/>
  <c r="E323" i="6" s="1"/>
  <c r="G323" i="6" s="1"/>
  <c r="D323" i="6"/>
  <c r="F323" i="6"/>
  <c r="H323" i="6"/>
  <c r="J323" i="6" s="1"/>
  <c r="I323" i="6"/>
  <c r="K323" i="6"/>
  <c r="L323" i="6" s="1"/>
  <c r="C324" i="6"/>
  <c r="D324" i="6"/>
  <c r="F324" i="6" s="1"/>
  <c r="H324" i="6"/>
  <c r="I324" i="6"/>
  <c r="J324" i="6" s="1"/>
  <c r="C325" i="6"/>
  <c r="E325" i="6" s="1"/>
  <c r="D325" i="6"/>
  <c r="F325" i="6" s="1"/>
  <c r="G325" i="6" s="1"/>
  <c r="H325" i="6"/>
  <c r="I325" i="6"/>
  <c r="J325" i="6"/>
  <c r="K325" i="6"/>
  <c r="L325" i="6" s="1"/>
  <c r="C326" i="6"/>
  <c r="F326" i="6" s="1"/>
  <c r="G326" i="6" s="1"/>
  <c r="D326" i="6"/>
  <c r="E326" i="6"/>
  <c r="H326" i="6"/>
  <c r="J326" i="6" s="1"/>
  <c r="I326" i="6"/>
  <c r="C327" i="6"/>
  <c r="E327" i="6" s="1"/>
  <c r="G327" i="6" s="1"/>
  <c r="D327" i="6"/>
  <c r="F327" i="6"/>
  <c r="H327" i="6"/>
  <c r="J327" i="6" s="1"/>
  <c r="I327" i="6"/>
  <c r="K327" i="6"/>
  <c r="L327" i="6" s="1"/>
  <c r="C328" i="6"/>
  <c r="D328" i="6"/>
  <c r="F328" i="6" s="1"/>
  <c r="H328" i="6"/>
  <c r="I328" i="6"/>
  <c r="J328" i="6" s="1"/>
  <c r="C329" i="6"/>
  <c r="E329" i="6" s="1"/>
  <c r="D329" i="6"/>
  <c r="F329" i="6" s="1"/>
  <c r="G329" i="6" s="1"/>
  <c r="H329" i="6"/>
  <c r="I329" i="6"/>
  <c r="J329" i="6"/>
  <c r="K329" i="6"/>
  <c r="L329" i="6" s="1"/>
  <c r="C330" i="6"/>
  <c r="F330" i="6" s="1"/>
  <c r="G330" i="6" s="1"/>
  <c r="D330" i="6"/>
  <c r="E330" i="6"/>
  <c r="H330" i="6"/>
  <c r="J330" i="6" s="1"/>
  <c r="I330" i="6"/>
  <c r="C331" i="6"/>
  <c r="E331" i="6" s="1"/>
  <c r="G331" i="6" s="1"/>
  <c r="D331" i="6"/>
  <c r="F331" i="6"/>
  <c r="H331" i="6"/>
  <c r="J331" i="6" s="1"/>
  <c r="I331" i="6"/>
  <c r="K331" i="6"/>
  <c r="L331" i="6" s="1"/>
  <c r="C332" i="6"/>
  <c r="D332" i="6"/>
  <c r="F332" i="6" s="1"/>
  <c r="H332" i="6"/>
  <c r="I332" i="6"/>
  <c r="J332" i="6" s="1"/>
  <c r="C333" i="6"/>
  <c r="E333" i="6" s="1"/>
  <c r="D333" i="6"/>
  <c r="F333" i="6" s="1"/>
  <c r="G333" i="6" s="1"/>
  <c r="H333" i="6"/>
  <c r="I333" i="6"/>
  <c r="J333" i="6"/>
  <c r="K333" i="6"/>
  <c r="L333" i="6" s="1"/>
  <c r="C334" i="6"/>
  <c r="F334" i="6" s="1"/>
  <c r="G334" i="6" s="1"/>
  <c r="D334" i="6"/>
  <c r="E334" i="6"/>
  <c r="H334" i="6"/>
  <c r="J334" i="6" s="1"/>
  <c r="I334" i="6"/>
  <c r="C335" i="6"/>
  <c r="E335" i="6" s="1"/>
  <c r="G335" i="6" s="1"/>
  <c r="D335" i="6"/>
  <c r="F335" i="6"/>
  <c r="H335" i="6"/>
  <c r="J335" i="6" s="1"/>
  <c r="I335" i="6"/>
  <c r="K335" i="6"/>
  <c r="L335" i="6" s="1"/>
  <c r="C336" i="6"/>
  <c r="D336" i="6"/>
  <c r="F336" i="6" s="1"/>
  <c r="H336" i="6"/>
  <c r="I336" i="6"/>
  <c r="J336" i="6" s="1"/>
  <c r="C337" i="6"/>
  <c r="E337" i="6" s="1"/>
  <c r="D337" i="6"/>
  <c r="F337" i="6" s="1"/>
  <c r="G337" i="6" s="1"/>
  <c r="H337" i="6"/>
  <c r="I337" i="6"/>
  <c r="J337" i="6"/>
  <c r="K337" i="6"/>
  <c r="L337" i="6" s="1"/>
  <c r="C338" i="6"/>
  <c r="E338" i="6" s="1"/>
  <c r="D338" i="6"/>
  <c r="H338" i="6"/>
  <c r="I338" i="6"/>
  <c r="K338" i="6" s="1"/>
  <c r="C339" i="6"/>
  <c r="E339" i="6" s="1"/>
  <c r="G339" i="6" s="1"/>
  <c r="D339" i="6"/>
  <c r="F339" i="6"/>
  <c r="H339" i="6"/>
  <c r="J339" i="6" s="1"/>
  <c r="I339" i="6"/>
  <c r="K339" i="6" s="1"/>
  <c r="C340" i="6"/>
  <c r="D340" i="6"/>
  <c r="F340" i="6" s="1"/>
  <c r="H340" i="6"/>
  <c r="I340" i="6"/>
  <c r="J340" i="6" s="1"/>
  <c r="C341" i="6"/>
  <c r="E341" i="6" s="1"/>
  <c r="D341" i="6"/>
  <c r="H341" i="6"/>
  <c r="I341" i="6"/>
  <c r="J341" i="6"/>
  <c r="K341" i="6"/>
  <c r="C342" i="6"/>
  <c r="E342" i="6" s="1"/>
  <c r="D342" i="6"/>
  <c r="H342" i="6"/>
  <c r="J342" i="6" s="1"/>
  <c r="I342" i="6"/>
  <c r="C343" i="6"/>
  <c r="E343" i="6" s="1"/>
  <c r="D343" i="6"/>
  <c r="F343" i="6"/>
  <c r="G343" i="6" s="1"/>
  <c r="H343" i="6"/>
  <c r="J343" i="6" s="1"/>
  <c r="I343" i="6"/>
  <c r="K343" i="6" s="1"/>
  <c r="L343" i="6" s="1"/>
  <c r="C344" i="6"/>
  <c r="D344" i="6"/>
  <c r="F344" i="6" s="1"/>
  <c r="E344" i="6"/>
  <c r="H344" i="6"/>
  <c r="I344" i="6"/>
  <c r="J344" i="6" s="1"/>
  <c r="C345" i="6"/>
  <c r="E345" i="6" s="1"/>
  <c r="D345" i="6"/>
  <c r="F345" i="6" s="1"/>
  <c r="G345" i="6" s="1"/>
  <c r="H345" i="6"/>
  <c r="I345" i="6"/>
  <c r="J345" i="6"/>
  <c r="K345" i="6"/>
  <c r="L345" i="6" s="1"/>
  <c r="C346" i="6"/>
  <c r="E346" i="6" s="1"/>
  <c r="D346" i="6"/>
  <c r="H346" i="6"/>
  <c r="I346" i="6"/>
  <c r="K346" i="6" s="1"/>
  <c r="C347" i="6"/>
  <c r="E347" i="6" s="1"/>
  <c r="D347" i="6"/>
  <c r="F347" i="6"/>
  <c r="G347" i="6"/>
  <c r="H347" i="6"/>
  <c r="J347" i="6" s="1"/>
  <c r="I347" i="6"/>
  <c r="K347" i="6" s="1"/>
  <c r="C348" i="6"/>
  <c r="D348" i="6"/>
  <c r="F348" i="6" s="1"/>
  <c r="E348" i="6"/>
  <c r="H348" i="6"/>
  <c r="I348" i="6"/>
  <c r="J348" i="6" s="1"/>
  <c r="C349" i="6"/>
  <c r="E349" i="6" s="1"/>
  <c r="D349" i="6"/>
  <c r="H349" i="6"/>
  <c r="I349" i="6"/>
  <c r="J349" i="6"/>
  <c r="K349" i="6"/>
  <c r="C350" i="6"/>
  <c r="E350" i="6" s="1"/>
  <c r="D350" i="6"/>
  <c r="H350" i="6"/>
  <c r="J350" i="6" s="1"/>
  <c r="I350" i="6"/>
  <c r="C351" i="6"/>
  <c r="E351" i="6" s="1"/>
  <c r="D351" i="6"/>
  <c r="F351" i="6"/>
  <c r="G351" i="6" s="1"/>
  <c r="H351" i="6"/>
  <c r="J351" i="6" s="1"/>
  <c r="I351" i="6"/>
  <c r="K351" i="6" s="1"/>
  <c r="L351" i="6" s="1"/>
  <c r="C352" i="6"/>
  <c r="D352" i="6"/>
  <c r="F352" i="6" s="1"/>
  <c r="H352" i="6"/>
  <c r="I352" i="6"/>
  <c r="J352" i="6" s="1"/>
  <c r="C353" i="6"/>
  <c r="E353" i="6" s="1"/>
  <c r="D353" i="6"/>
  <c r="F353" i="6" s="1"/>
  <c r="G353" i="6" s="1"/>
  <c r="H353" i="6"/>
  <c r="I353" i="6"/>
  <c r="J353" i="6"/>
  <c r="K353" i="6"/>
  <c r="L353" i="6" s="1"/>
  <c r="C354" i="6"/>
  <c r="E354" i="6" s="1"/>
  <c r="D354" i="6"/>
  <c r="H354" i="6"/>
  <c r="I354" i="6"/>
  <c r="K354" i="6" s="1"/>
  <c r="C355" i="6"/>
  <c r="E355" i="6" s="1"/>
  <c r="G355" i="6" s="1"/>
  <c r="D355" i="6"/>
  <c r="F355" i="6"/>
  <c r="H355" i="6"/>
  <c r="J355" i="6" s="1"/>
  <c r="I355" i="6"/>
  <c r="K355" i="6" s="1"/>
  <c r="C356" i="6"/>
  <c r="D356" i="6"/>
  <c r="F356" i="6" s="1"/>
  <c r="H356" i="6"/>
  <c r="I356" i="6"/>
  <c r="J356" i="6" s="1"/>
  <c r="C357" i="6"/>
  <c r="E357" i="6" s="1"/>
  <c r="D357" i="6"/>
  <c r="H357" i="6"/>
  <c r="I357" i="6"/>
  <c r="J357" i="6"/>
  <c r="K357" i="6"/>
  <c r="C358" i="6"/>
  <c r="E358" i="6" s="1"/>
  <c r="D358" i="6"/>
  <c r="H358" i="6"/>
  <c r="J358" i="6" s="1"/>
  <c r="I358" i="6"/>
  <c r="C359" i="6"/>
  <c r="E359" i="6" s="1"/>
  <c r="D359" i="6"/>
  <c r="F359" i="6"/>
  <c r="G359" i="6" s="1"/>
  <c r="H359" i="6"/>
  <c r="J359" i="6" s="1"/>
  <c r="I359" i="6"/>
  <c r="K359" i="6" s="1"/>
  <c r="L359" i="6" s="1"/>
  <c r="C360" i="6"/>
  <c r="D360" i="6"/>
  <c r="F360" i="6" s="1"/>
  <c r="E360" i="6"/>
  <c r="H360" i="6"/>
  <c r="I360" i="6"/>
  <c r="J360" i="6" s="1"/>
  <c r="C361" i="6"/>
  <c r="E361" i="6" s="1"/>
  <c r="D361" i="6"/>
  <c r="F361" i="6" s="1"/>
  <c r="G361" i="6" s="1"/>
  <c r="H361" i="6"/>
  <c r="I361" i="6"/>
  <c r="J361" i="6"/>
  <c r="K361" i="6"/>
  <c r="L361" i="6" s="1"/>
  <c r="C362" i="6"/>
  <c r="E362" i="6" s="1"/>
  <c r="D362" i="6"/>
  <c r="H362" i="6"/>
  <c r="J362" i="6" s="1"/>
  <c r="I362" i="6"/>
  <c r="K362" i="6" s="1"/>
  <c r="L362" i="6" s="1"/>
  <c r="C363" i="6"/>
  <c r="E363" i="6" s="1"/>
  <c r="D363" i="6"/>
  <c r="F363" i="6"/>
  <c r="G363" i="6"/>
  <c r="H363" i="6"/>
  <c r="J363" i="6" s="1"/>
  <c r="I363" i="6"/>
  <c r="K363" i="6" s="1"/>
  <c r="C364" i="6"/>
  <c r="D364" i="6"/>
  <c r="F364" i="6" s="1"/>
  <c r="E364" i="6"/>
  <c r="H364" i="6"/>
  <c r="I364" i="6"/>
  <c r="J364" i="6" s="1"/>
  <c r="C365" i="6"/>
  <c r="E365" i="6" s="1"/>
  <c r="D365" i="6"/>
  <c r="H365" i="6"/>
  <c r="I365" i="6"/>
  <c r="J365" i="6"/>
  <c r="K365" i="6"/>
  <c r="C366" i="6"/>
  <c r="E366" i="6" s="1"/>
  <c r="D366" i="6"/>
  <c r="H366" i="6"/>
  <c r="J366" i="6" s="1"/>
  <c r="I366" i="6"/>
  <c r="C367" i="6"/>
  <c r="E367" i="6" s="1"/>
  <c r="D367" i="6"/>
  <c r="F367" i="6"/>
  <c r="G367" i="6" s="1"/>
  <c r="H367" i="6"/>
  <c r="J367" i="6" s="1"/>
  <c r="I367" i="6"/>
  <c r="K367" i="6" s="1"/>
  <c r="L367" i="6" s="1"/>
  <c r="C368" i="6"/>
  <c r="D368" i="6"/>
  <c r="F368" i="6" s="1"/>
  <c r="H368" i="6"/>
  <c r="I368" i="6"/>
  <c r="J368" i="6" s="1"/>
  <c r="C369" i="6"/>
  <c r="E369" i="6" s="1"/>
  <c r="D369" i="6"/>
  <c r="F369" i="6" s="1"/>
  <c r="G369" i="6" s="1"/>
  <c r="H369" i="6"/>
  <c r="I369" i="6"/>
  <c r="J369" i="6"/>
  <c r="K369" i="6"/>
  <c r="L369" i="6" s="1"/>
  <c r="C370" i="6"/>
  <c r="E370" i="6" s="1"/>
  <c r="D370" i="6"/>
  <c r="H370" i="6"/>
  <c r="I370" i="6"/>
  <c r="K370" i="6" s="1"/>
  <c r="C371" i="6"/>
  <c r="E371" i="6" s="1"/>
  <c r="G371" i="6" s="1"/>
  <c r="D371" i="6"/>
  <c r="F371" i="6"/>
  <c r="H371" i="6"/>
  <c r="J371" i="6" s="1"/>
  <c r="I371" i="6"/>
  <c r="K371" i="6" s="1"/>
  <c r="C372" i="6"/>
  <c r="D372" i="6"/>
  <c r="F372" i="6" s="1"/>
  <c r="H372" i="6"/>
  <c r="I372" i="6"/>
  <c r="J372" i="6" s="1"/>
  <c r="C373" i="6"/>
  <c r="D373" i="6"/>
  <c r="F373" i="6" s="1"/>
  <c r="G373" i="6" s="1"/>
  <c r="E373" i="6"/>
  <c r="H373" i="6"/>
  <c r="I373" i="6"/>
  <c r="J373" i="6"/>
  <c r="K373" i="6"/>
  <c r="L373" i="6" s="1"/>
  <c r="C374" i="6"/>
  <c r="F374" i="6" s="1"/>
  <c r="D374" i="6"/>
  <c r="E374" i="6"/>
  <c r="H374" i="6"/>
  <c r="J374" i="6" s="1"/>
  <c r="I374" i="6"/>
  <c r="K374" i="6" s="1"/>
  <c r="L374" i="6" s="1"/>
  <c r="C375" i="6"/>
  <c r="E375" i="6" s="1"/>
  <c r="D375" i="6"/>
  <c r="F375" i="6"/>
  <c r="G375" i="6"/>
  <c r="H375" i="6"/>
  <c r="J375" i="6" s="1"/>
  <c r="I375" i="6"/>
  <c r="K375" i="6" s="1"/>
  <c r="L375" i="6" s="1"/>
  <c r="C376" i="6"/>
  <c r="D376" i="6"/>
  <c r="F376" i="6" s="1"/>
  <c r="G376" i="6" s="1"/>
  <c r="E376" i="6"/>
  <c r="H376" i="6"/>
  <c r="I376" i="6"/>
  <c r="C377" i="6"/>
  <c r="E377" i="6" s="1"/>
  <c r="D377" i="6"/>
  <c r="H377" i="6"/>
  <c r="I377" i="6"/>
  <c r="J377" i="6"/>
  <c r="K377" i="6"/>
  <c r="C378" i="6"/>
  <c r="F378" i="6" s="1"/>
  <c r="D378" i="6"/>
  <c r="H378" i="6"/>
  <c r="I378" i="6"/>
  <c r="K378" i="6"/>
  <c r="C379" i="6"/>
  <c r="E379" i="6" s="1"/>
  <c r="D379" i="6"/>
  <c r="H379" i="6"/>
  <c r="I379" i="6"/>
  <c r="K379" i="6"/>
  <c r="C380" i="6"/>
  <c r="E380" i="6" s="1"/>
  <c r="D380" i="6"/>
  <c r="H380" i="6"/>
  <c r="I380" i="6"/>
  <c r="J380" i="6" s="1"/>
  <c r="C381" i="6"/>
  <c r="D381" i="6"/>
  <c r="F381" i="6" s="1"/>
  <c r="E381" i="6"/>
  <c r="G381" i="6"/>
  <c r="H381" i="6"/>
  <c r="J381" i="6" s="1"/>
  <c r="I381" i="6"/>
  <c r="K381" i="6" s="1"/>
  <c r="C382" i="6"/>
  <c r="D382" i="6"/>
  <c r="E382" i="6"/>
  <c r="F382" i="6"/>
  <c r="G382" i="6" s="1"/>
  <c r="H382" i="6"/>
  <c r="J382" i="6" s="1"/>
  <c r="I382" i="6"/>
  <c r="C383" i="6"/>
  <c r="E383" i="6" s="1"/>
  <c r="D383" i="6"/>
  <c r="F383" i="6" s="1"/>
  <c r="H383" i="6"/>
  <c r="I383" i="6"/>
  <c r="J383" i="6" s="1"/>
  <c r="L383" i="6" s="1"/>
  <c r="K383" i="6"/>
  <c r="C384" i="6"/>
  <c r="E384" i="6" s="1"/>
  <c r="D384" i="6"/>
  <c r="F384" i="6" s="1"/>
  <c r="G384" i="6" s="1"/>
  <c r="H384" i="6"/>
  <c r="I384" i="6"/>
  <c r="K384" i="6" s="1"/>
  <c r="L384" i="6" s="1"/>
  <c r="J384" i="6"/>
  <c r="C385" i="6"/>
  <c r="D385" i="6"/>
  <c r="E385" i="6"/>
  <c r="F385" i="6"/>
  <c r="G385" i="6"/>
  <c r="H385" i="6"/>
  <c r="J385" i="6" s="1"/>
  <c r="I385" i="6"/>
  <c r="K385" i="6" s="1"/>
  <c r="L385" i="6" s="1"/>
  <c r="C386" i="6"/>
  <c r="D386" i="6"/>
  <c r="E386" i="6"/>
  <c r="F386" i="6"/>
  <c r="G386" i="6" s="1"/>
  <c r="H386" i="6"/>
  <c r="J386" i="6" s="1"/>
  <c r="I386" i="6"/>
  <c r="C387" i="6"/>
  <c r="E387" i="6" s="1"/>
  <c r="D387" i="6"/>
  <c r="F387" i="6" s="1"/>
  <c r="G387" i="6" s="1"/>
  <c r="H387" i="6"/>
  <c r="I387" i="6"/>
  <c r="J387" i="6" s="1"/>
  <c r="L387" i="6" s="1"/>
  <c r="K387" i="6"/>
  <c r="C388" i="6"/>
  <c r="E388" i="6" s="1"/>
  <c r="D388" i="6"/>
  <c r="F388" i="6" s="1"/>
  <c r="H388" i="6"/>
  <c r="I388" i="6"/>
  <c r="K388" i="6" s="1"/>
  <c r="L388" i="6" s="1"/>
  <c r="J388" i="6"/>
  <c r="C389" i="6"/>
  <c r="D389" i="6"/>
  <c r="E389" i="6"/>
  <c r="F389" i="6"/>
  <c r="G389" i="6"/>
  <c r="H389" i="6"/>
  <c r="J389" i="6" s="1"/>
  <c r="I389" i="6"/>
  <c r="K389" i="6" s="1"/>
  <c r="C390" i="6"/>
  <c r="D390" i="6"/>
  <c r="E390" i="6"/>
  <c r="F390" i="6"/>
  <c r="G390" i="6" s="1"/>
  <c r="H390" i="6"/>
  <c r="J390" i="6" s="1"/>
  <c r="I390" i="6"/>
  <c r="C391" i="6"/>
  <c r="E391" i="6" s="1"/>
  <c r="D391" i="6"/>
  <c r="F391" i="6" s="1"/>
  <c r="H391" i="6"/>
  <c r="I391" i="6"/>
  <c r="J391" i="6" s="1"/>
  <c r="L391" i="6" s="1"/>
  <c r="K391" i="6"/>
  <c r="C392" i="6"/>
  <c r="E392" i="6" s="1"/>
  <c r="D392" i="6"/>
  <c r="F392" i="6" s="1"/>
  <c r="G392" i="6" s="1"/>
  <c r="H392" i="6"/>
  <c r="I392" i="6"/>
  <c r="K392" i="6" s="1"/>
  <c r="L392" i="6" s="1"/>
  <c r="J392" i="6"/>
  <c r="C393" i="6"/>
  <c r="D393" i="6"/>
  <c r="E393" i="6"/>
  <c r="F393" i="6"/>
  <c r="G393" i="6"/>
  <c r="H393" i="6"/>
  <c r="J393" i="6" s="1"/>
  <c r="I393" i="6"/>
  <c r="K393" i="6" s="1"/>
  <c r="L393" i="6" s="1"/>
  <c r="C394" i="6"/>
  <c r="D394" i="6"/>
  <c r="E394" i="6"/>
  <c r="F394" i="6"/>
  <c r="G394" i="6" s="1"/>
  <c r="H394" i="6"/>
  <c r="J394" i="6" s="1"/>
  <c r="I394" i="6"/>
  <c r="C395" i="6"/>
  <c r="E395" i="6" s="1"/>
  <c r="D395" i="6"/>
  <c r="F395" i="6" s="1"/>
  <c r="G395" i="6" s="1"/>
  <c r="H395" i="6"/>
  <c r="I395" i="6"/>
  <c r="J395" i="6" s="1"/>
  <c r="L395" i="6" s="1"/>
  <c r="K395" i="6"/>
  <c r="C396" i="6"/>
  <c r="E396" i="6" s="1"/>
  <c r="D396" i="6"/>
  <c r="F396" i="6" s="1"/>
  <c r="H396" i="6"/>
  <c r="I396" i="6"/>
  <c r="K396" i="6" s="1"/>
  <c r="L396" i="6" s="1"/>
  <c r="J396" i="6"/>
  <c r="C397" i="6"/>
  <c r="D397" i="6"/>
  <c r="E397" i="6"/>
  <c r="F397" i="6"/>
  <c r="G397" i="6"/>
  <c r="H397" i="6"/>
  <c r="J397" i="6" s="1"/>
  <c r="I397" i="6"/>
  <c r="K397" i="6" s="1"/>
  <c r="C398" i="6"/>
  <c r="D398" i="6"/>
  <c r="E398" i="6"/>
  <c r="F398" i="6"/>
  <c r="G398" i="6" s="1"/>
  <c r="H398" i="6"/>
  <c r="J398" i="6" s="1"/>
  <c r="I398" i="6"/>
  <c r="C399" i="6"/>
  <c r="E399" i="6" s="1"/>
  <c r="D399" i="6"/>
  <c r="F399" i="6" s="1"/>
  <c r="H399" i="6"/>
  <c r="I399" i="6"/>
  <c r="J399" i="6" s="1"/>
  <c r="L399" i="6" s="1"/>
  <c r="K399" i="6"/>
  <c r="C400" i="6"/>
  <c r="E400" i="6" s="1"/>
  <c r="D400" i="6"/>
  <c r="F400" i="6" s="1"/>
  <c r="H400" i="6"/>
  <c r="I400" i="6"/>
  <c r="K400" i="6" s="1"/>
  <c r="L400" i="6" s="1"/>
  <c r="J400" i="6"/>
  <c r="C401" i="6"/>
  <c r="D401" i="6"/>
  <c r="E401" i="6"/>
  <c r="F401" i="6"/>
  <c r="G401" i="6"/>
  <c r="H401" i="6"/>
  <c r="J401" i="6" s="1"/>
  <c r="I401" i="6"/>
  <c r="K401" i="6" s="1"/>
  <c r="L401" i="6" s="1"/>
  <c r="C402" i="6"/>
  <c r="D402" i="6"/>
  <c r="E402" i="6"/>
  <c r="F402" i="6"/>
  <c r="G402" i="6" s="1"/>
  <c r="H402" i="6"/>
  <c r="J402" i="6" s="1"/>
  <c r="I402" i="6"/>
  <c r="C403" i="6"/>
  <c r="E403" i="6" s="1"/>
  <c r="D403" i="6"/>
  <c r="F403" i="6" s="1"/>
  <c r="G403" i="6" s="1"/>
  <c r="H403" i="6"/>
  <c r="I403" i="6"/>
  <c r="J403" i="6" s="1"/>
  <c r="L403" i="6" s="1"/>
  <c r="K403" i="6"/>
  <c r="C404" i="6"/>
  <c r="E404" i="6" s="1"/>
  <c r="D404" i="6"/>
  <c r="F404" i="6" s="1"/>
  <c r="H404" i="6"/>
  <c r="I404" i="6"/>
  <c r="K404" i="6" s="1"/>
  <c r="L404" i="6" s="1"/>
  <c r="J404" i="6"/>
  <c r="C405" i="6"/>
  <c r="D405" i="6"/>
  <c r="E405" i="6"/>
  <c r="F405" i="6"/>
  <c r="G405" i="6"/>
  <c r="H405" i="6"/>
  <c r="J405" i="6" s="1"/>
  <c r="I405" i="6"/>
  <c r="K405" i="6" s="1"/>
  <c r="C406" i="6"/>
  <c r="D406" i="6"/>
  <c r="E406" i="6"/>
  <c r="F406" i="6"/>
  <c r="G406" i="6" s="1"/>
  <c r="H406" i="6"/>
  <c r="J406" i="6" s="1"/>
  <c r="I406" i="6"/>
  <c r="C407" i="6"/>
  <c r="E407" i="6" s="1"/>
  <c r="D407" i="6"/>
  <c r="F407" i="6" s="1"/>
  <c r="H407" i="6"/>
  <c r="I407" i="6"/>
  <c r="J407" i="6" s="1"/>
  <c r="L407" i="6" s="1"/>
  <c r="K407" i="6"/>
  <c r="C408" i="6"/>
  <c r="E408" i="6" s="1"/>
  <c r="D408" i="6"/>
  <c r="F408" i="6" s="1"/>
  <c r="G408" i="6" s="1"/>
  <c r="H408" i="6"/>
  <c r="I408" i="6"/>
  <c r="K408" i="6" s="1"/>
  <c r="L408" i="6" s="1"/>
  <c r="J408" i="6"/>
  <c r="C409" i="6"/>
  <c r="D409" i="6"/>
  <c r="E409" i="6"/>
  <c r="F409" i="6"/>
  <c r="G409" i="6"/>
  <c r="H409" i="6"/>
  <c r="J409" i="6" s="1"/>
  <c r="I409" i="6"/>
  <c r="K409" i="6" s="1"/>
  <c r="C410" i="6"/>
  <c r="D410" i="6"/>
  <c r="E410" i="6"/>
  <c r="F410" i="6"/>
  <c r="G410" i="6" s="1"/>
  <c r="H410" i="6"/>
  <c r="J410" i="6" s="1"/>
  <c r="I410" i="6"/>
  <c r="C411" i="6"/>
  <c r="E411" i="6" s="1"/>
  <c r="D411" i="6"/>
  <c r="F411" i="6" s="1"/>
  <c r="H411" i="6"/>
  <c r="I411" i="6"/>
  <c r="J411" i="6" s="1"/>
  <c r="L411" i="6" s="1"/>
  <c r="K411" i="6"/>
  <c r="C412" i="6"/>
  <c r="E412" i="6" s="1"/>
  <c r="D412" i="6"/>
  <c r="F412" i="6" s="1"/>
  <c r="H412" i="6"/>
  <c r="I412" i="6"/>
  <c r="K412" i="6" s="1"/>
  <c r="L412" i="6" s="1"/>
  <c r="J412" i="6"/>
  <c r="C413" i="6"/>
  <c r="D413" i="6"/>
  <c r="E413" i="6"/>
  <c r="F413" i="6"/>
  <c r="G413" i="6"/>
  <c r="H413" i="6"/>
  <c r="J413" i="6" s="1"/>
  <c r="I413" i="6"/>
  <c r="K413" i="6" s="1"/>
  <c r="C414" i="6"/>
  <c r="D414" i="6"/>
  <c r="E414" i="6"/>
  <c r="F414" i="6"/>
  <c r="G414" i="6" s="1"/>
  <c r="H414" i="6"/>
  <c r="J414" i="6" s="1"/>
  <c r="I414" i="6"/>
  <c r="C415" i="6"/>
  <c r="E415" i="6" s="1"/>
  <c r="D415" i="6"/>
  <c r="F415" i="6" s="1"/>
  <c r="H415" i="6"/>
  <c r="I415" i="6"/>
  <c r="J415" i="6" s="1"/>
  <c r="L415" i="6" s="1"/>
  <c r="K415" i="6"/>
  <c r="C416" i="6"/>
  <c r="E416" i="6" s="1"/>
  <c r="D416" i="6"/>
  <c r="F416" i="6" s="1"/>
  <c r="G416" i="6" s="1"/>
  <c r="H416" i="6"/>
  <c r="I416" i="6"/>
  <c r="K416" i="6" s="1"/>
  <c r="L416" i="6" s="1"/>
  <c r="J416" i="6"/>
  <c r="C417" i="6"/>
  <c r="D417" i="6"/>
  <c r="E417" i="6"/>
  <c r="F417" i="6"/>
  <c r="G417" i="6"/>
  <c r="H417" i="6"/>
  <c r="J417" i="6" s="1"/>
  <c r="I417" i="6"/>
  <c r="K417" i="6" s="1"/>
  <c r="L417" i="6" s="1"/>
  <c r="C418" i="6"/>
  <c r="D418" i="6"/>
  <c r="E418" i="6"/>
  <c r="F418" i="6"/>
  <c r="G418" i="6" s="1"/>
  <c r="H418" i="6"/>
  <c r="J418" i="6" s="1"/>
  <c r="I418" i="6"/>
  <c r="C419" i="6"/>
  <c r="E419" i="6" s="1"/>
  <c r="D419" i="6"/>
  <c r="F419" i="6" s="1"/>
  <c r="G419" i="6" s="1"/>
  <c r="H419" i="6"/>
  <c r="I419" i="6"/>
  <c r="J419" i="6" s="1"/>
  <c r="L419" i="6" s="1"/>
  <c r="K419" i="6"/>
  <c r="C420" i="6"/>
  <c r="E420" i="6" s="1"/>
  <c r="D420" i="6"/>
  <c r="F420" i="6" s="1"/>
  <c r="H420" i="6"/>
  <c r="I420" i="6"/>
  <c r="K420" i="6" s="1"/>
  <c r="L420" i="6" s="1"/>
  <c r="J420" i="6"/>
  <c r="C421" i="6"/>
  <c r="D421" i="6"/>
  <c r="E421" i="6"/>
  <c r="F421" i="6"/>
  <c r="G421" i="6"/>
  <c r="H421" i="6"/>
  <c r="J421" i="6" s="1"/>
  <c r="I421" i="6"/>
  <c r="K421" i="6" s="1"/>
  <c r="C422" i="6"/>
  <c r="D422" i="6"/>
  <c r="E422" i="6"/>
  <c r="F422" i="6"/>
  <c r="G422" i="6" s="1"/>
  <c r="H422" i="6"/>
  <c r="J422" i="6" s="1"/>
  <c r="I422" i="6"/>
  <c r="C423" i="6"/>
  <c r="E423" i="6" s="1"/>
  <c r="D423" i="6"/>
  <c r="F423" i="6" s="1"/>
  <c r="H423" i="6"/>
  <c r="I423" i="6"/>
  <c r="J423" i="6" s="1"/>
  <c r="L423" i="6" s="1"/>
  <c r="K423" i="6"/>
  <c r="C424" i="6"/>
  <c r="E424" i="6" s="1"/>
  <c r="D424" i="6"/>
  <c r="F424" i="6" s="1"/>
  <c r="G424" i="6" s="1"/>
  <c r="H424" i="6"/>
  <c r="I424" i="6"/>
  <c r="K424" i="6" s="1"/>
  <c r="L424" i="6" s="1"/>
  <c r="J424" i="6"/>
  <c r="C425" i="6"/>
  <c r="D425" i="6"/>
  <c r="E425" i="6"/>
  <c r="F425" i="6"/>
  <c r="G425" i="6"/>
  <c r="H425" i="6"/>
  <c r="J425" i="6" s="1"/>
  <c r="I425" i="6"/>
  <c r="K425" i="6" s="1"/>
  <c r="L425" i="6" s="1"/>
  <c r="C426" i="6"/>
  <c r="D426" i="6"/>
  <c r="E426" i="6"/>
  <c r="F426" i="6"/>
  <c r="G426" i="6" s="1"/>
  <c r="H426" i="6"/>
  <c r="J426" i="6" s="1"/>
  <c r="I426" i="6"/>
  <c r="C427" i="6"/>
  <c r="E427" i="6" s="1"/>
  <c r="D427" i="6"/>
  <c r="F427" i="6" s="1"/>
  <c r="G427" i="6" s="1"/>
  <c r="H427" i="6"/>
  <c r="I427" i="6"/>
  <c r="J427" i="6" s="1"/>
  <c r="L427" i="6" s="1"/>
  <c r="K427" i="6"/>
  <c r="C428" i="6"/>
  <c r="E428" i="6" s="1"/>
  <c r="D428" i="6"/>
  <c r="F428" i="6" s="1"/>
  <c r="H428" i="6"/>
  <c r="I428" i="6"/>
  <c r="K428" i="6" s="1"/>
  <c r="L428" i="6" s="1"/>
  <c r="J428" i="6"/>
  <c r="C429" i="6"/>
  <c r="D429" i="6"/>
  <c r="E429" i="6"/>
  <c r="F429" i="6"/>
  <c r="G429" i="6"/>
  <c r="H429" i="6"/>
  <c r="J429" i="6" s="1"/>
  <c r="I429" i="6"/>
  <c r="K429" i="6" s="1"/>
  <c r="C430" i="6"/>
  <c r="D430" i="6"/>
  <c r="E430" i="6"/>
  <c r="F430" i="6"/>
  <c r="G430" i="6" s="1"/>
  <c r="H430" i="6"/>
  <c r="J430" i="6" s="1"/>
  <c r="I430" i="6"/>
  <c r="C431" i="6"/>
  <c r="E431" i="6" s="1"/>
  <c r="D431" i="6"/>
  <c r="F431" i="6" s="1"/>
  <c r="H431" i="6"/>
  <c r="I431" i="6"/>
  <c r="J431" i="6" s="1"/>
  <c r="L431" i="6" s="1"/>
  <c r="K431" i="6"/>
  <c r="C432" i="6"/>
  <c r="E432" i="6" s="1"/>
  <c r="D432" i="6"/>
  <c r="F432" i="6" s="1"/>
  <c r="H432" i="6"/>
  <c r="I432" i="6"/>
  <c r="K432" i="6" s="1"/>
  <c r="L432" i="6" s="1"/>
  <c r="J432" i="6"/>
  <c r="C433" i="6"/>
  <c r="D433" i="6"/>
  <c r="E433" i="6"/>
  <c r="F433" i="6"/>
  <c r="G433" i="6"/>
  <c r="H433" i="6"/>
  <c r="J433" i="6" s="1"/>
  <c r="I433" i="6"/>
  <c r="K433" i="6" s="1"/>
  <c r="L433" i="6" s="1"/>
  <c r="C434" i="6"/>
  <c r="D434" i="6"/>
  <c r="E434" i="6"/>
  <c r="F434" i="6"/>
  <c r="G434" i="6" s="1"/>
  <c r="H434" i="6"/>
  <c r="J434" i="6" s="1"/>
  <c r="I434" i="6"/>
  <c r="C435" i="6"/>
  <c r="E435" i="6" s="1"/>
  <c r="D435" i="6"/>
  <c r="F435" i="6" s="1"/>
  <c r="G435" i="6" s="1"/>
  <c r="H435" i="6"/>
  <c r="I435" i="6"/>
  <c r="J435" i="6" s="1"/>
  <c r="L435" i="6" s="1"/>
  <c r="K435" i="6"/>
  <c r="C436" i="6"/>
  <c r="E436" i="6" s="1"/>
  <c r="D436" i="6"/>
  <c r="F436" i="6" s="1"/>
  <c r="H436" i="6"/>
  <c r="I436" i="6"/>
  <c r="K436" i="6" s="1"/>
  <c r="L436" i="6" s="1"/>
  <c r="J436" i="6"/>
  <c r="C437" i="6"/>
  <c r="D437" i="6"/>
  <c r="E437" i="6"/>
  <c r="F437" i="6"/>
  <c r="G437" i="6"/>
  <c r="H437" i="6"/>
  <c r="J437" i="6" s="1"/>
  <c r="I437" i="6"/>
  <c r="K437" i="6" s="1"/>
  <c r="K3" i="6"/>
  <c r="L3" i="6" s="1"/>
  <c r="J3" i="6"/>
  <c r="F3" i="6"/>
  <c r="G3" i="6" s="1"/>
  <c r="E3" i="6"/>
  <c r="I3" i="6"/>
  <c r="H3" i="6"/>
  <c r="D3" i="6"/>
  <c r="C3" i="6"/>
  <c r="G423" i="6" l="1"/>
  <c r="L421" i="6"/>
  <c r="G412" i="6"/>
  <c r="G391" i="6"/>
  <c r="L389" i="6"/>
  <c r="L379" i="6"/>
  <c r="L291" i="6"/>
  <c r="G378" i="6"/>
  <c r="G431" i="6"/>
  <c r="L429" i="6"/>
  <c r="G420" i="6"/>
  <c r="G399" i="6"/>
  <c r="L397" i="6"/>
  <c r="G388" i="6"/>
  <c r="L437" i="6"/>
  <c r="G428" i="6"/>
  <c r="G407" i="6"/>
  <c r="L405" i="6"/>
  <c r="G396" i="6"/>
  <c r="G432" i="6"/>
  <c r="G411" i="6"/>
  <c r="L409" i="6"/>
  <c r="G400" i="6"/>
  <c r="G436" i="6"/>
  <c r="G415" i="6"/>
  <c r="L413" i="6"/>
  <c r="G404" i="6"/>
  <c r="G383" i="6"/>
  <c r="L381" i="6"/>
  <c r="L370" i="6"/>
  <c r="J354" i="6"/>
  <c r="L354" i="6" s="1"/>
  <c r="J287" i="6"/>
  <c r="J379" i="6"/>
  <c r="J378" i="6"/>
  <c r="G374" i="6"/>
  <c r="L371" i="6"/>
  <c r="L365" i="6"/>
  <c r="G360" i="6"/>
  <c r="K358" i="6"/>
  <c r="L358" i="6" s="1"/>
  <c r="F357" i="6"/>
  <c r="G357" i="6" s="1"/>
  <c r="L355" i="6"/>
  <c r="L349" i="6"/>
  <c r="G344" i="6"/>
  <c r="K342" i="6"/>
  <c r="L342" i="6" s="1"/>
  <c r="F341" i="6"/>
  <c r="G341" i="6" s="1"/>
  <c r="L339" i="6"/>
  <c r="J271" i="6"/>
  <c r="E270" i="6"/>
  <c r="F270" i="6"/>
  <c r="G270" i="6" s="1"/>
  <c r="F257" i="6"/>
  <c r="E257" i="6"/>
  <c r="K255" i="6"/>
  <c r="L255" i="6" s="1"/>
  <c r="G211" i="6"/>
  <c r="J370" i="6"/>
  <c r="E286" i="6"/>
  <c r="F286" i="6"/>
  <c r="G286" i="6" s="1"/>
  <c r="K434" i="6"/>
  <c r="L434" i="6" s="1"/>
  <c r="K430" i="6"/>
  <c r="L430" i="6" s="1"/>
  <c r="K426" i="6"/>
  <c r="L426" i="6" s="1"/>
  <c r="K422" i="6"/>
  <c r="L422" i="6" s="1"/>
  <c r="K418" i="6"/>
  <c r="L418" i="6" s="1"/>
  <c r="K414" i="6"/>
  <c r="L414" i="6" s="1"/>
  <c r="K410" i="6"/>
  <c r="L410" i="6" s="1"/>
  <c r="K406" i="6"/>
  <c r="L406" i="6" s="1"/>
  <c r="K402" i="6"/>
  <c r="L402" i="6" s="1"/>
  <c r="K398" i="6"/>
  <c r="L398" i="6" s="1"/>
  <c r="K394" i="6"/>
  <c r="L394" i="6" s="1"/>
  <c r="K390" i="6"/>
  <c r="L390" i="6" s="1"/>
  <c r="K386" i="6"/>
  <c r="L386" i="6" s="1"/>
  <c r="K382" i="6"/>
  <c r="L382" i="6" s="1"/>
  <c r="F380" i="6"/>
  <c r="G380" i="6" s="1"/>
  <c r="G298" i="6"/>
  <c r="E296" i="6"/>
  <c r="F296" i="6"/>
  <c r="G296" i="6" s="1"/>
  <c r="E254" i="6"/>
  <c r="F254" i="6"/>
  <c r="G254" i="6" s="1"/>
  <c r="J376" i="6"/>
  <c r="K376" i="6"/>
  <c r="L376" i="6" s="1"/>
  <c r="F273" i="6"/>
  <c r="E273" i="6"/>
  <c r="F379" i="6"/>
  <c r="G379" i="6" s="1"/>
  <c r="E378" i="6"/>
  <c r="G364" i="6"/>
  <c r="G348" i="6"/>
  <c r="E299" i="6"/>
  <c r="G299" i="6" s="1"/>
  <c r="G237" i="6"/>
  <c r="E220" i="6"/>
  <c r="F220" i="6"/>
  <c r="G220" i="6" s="1"/>
  <c r="L378" i="6"/>
  <c r="L287" i="6"/>
  <c r="J338" i="6"/>
  <c r="L338" i="6" s="1"/>
  <c r="L299" i="6"/>
  <c r="L271" i="6"/>
  <c r="F377" i="6"/>
  <c r="G377" i="6" s="1"/>
  <c r="E368" i="6"/>
  <c r="E352" i="6"/>
  <c r="J346" i="6"/>
  <c r="L346" i="6" s="1"/>
  <c r="E336" i="6"/>
  <c r="G336" i="6" s="1"/>
  <c r="E332" i="6"/>
  <c r="G332" i="6" s="1"/>
  <c r="E328" i="6"/>
  <c r="G328" i="6" s="1"/>
  <c r="E324" i="6"/>
  <c r="G324" i="6" s="1"/>
  <c r="E320" i="6"/>
  <c r="E316" i="6"/>
  <c r="E312" i="6"/>
  <c r="E308" i="6"/>
  <c r="E304" i="6"/>
  <c r="G304" i="6" s="1"/>
  <c r="E294" i="6"/>
  <c r="F294" i="6"/>
  <c r="G294" i="6" s="1"/>
  <c r="L278" i="6"/>
  <c r="L241" i="6"/>
  <c r="L226" i="6"/>
  <c r="G224" i="6"/>
  <c r="K380" i="6"/>
  <c r="L380" i="6" s="1"/>
  <c r="G368" i="6"/>
  <c r="K366" i="6"/>
  <c r="L366" i="6" s="1"/>
  <c r="F365" i="6"/>
  <c r="G365" i="6" s="1"/>
  <c r="L363" i="6"/>
  <c r="L357" i="6"/>
  <c r="G352" i="6"/>
  <c r="K350" i="6"/>
  <c r="L350" i="6" s="1"/>
  <c r="F349" i="6"/>
  <c r="G349" i="6" s="1"/>
  <c r="L347" i="6"/>
  <c r="L341" i="6"/>
  <c r="G320" i="6"/>
  <c r="G316" i="6"/>
  <c r="G312" i="6"/>
  <c r="G308" i="6"/>
  <c r="F297" i="6"/>
  <c r="E297" i="6"/>
  <c r="G283" i="6"/>
  <c r="L262" i="6"/>
  <c r="F289" i="6"/>
  <c r="E289" i="6"/>
  <c r="L377" i="6"/>
  <c r="E372" i="6"/>
  <c r="G372" i="6" s="1"/>
  <c r="E356" i="6"/>
  <c r="G356" i="6" s="1"/>
  <c r="E340" i="6"/>
  <c r="G340" i="6" s="1"/>
  <c r="K334" i="6"/>
  <c r="L334" i="6" s="1"/>
  <c r="K330" i="6"/>
  <c r="L330" i="6" s="1"/>
  <c r="K326" i="6"/>
  <c r="L326" i="6" s="1"/>
  <c r="K322" i="6"/>
  <c r="L322" i="6" s="1"/>
  <c r="K318" i="6"/>
  <c r="L318" i="6" s="1"/>
  <c r="K314" i="6"/>
  <c r="L314" i="6" s="1"/>
  <c r="K310" i="6"/>
  <c r="L310" i="6" s="1"/>
  <c r="K306" i="6"/>
  <c r="L306" i="6" s="1"/>
  <c r="K302" i="6"/>
  <c r="L302" i="6" s="1"/>
  <c r="F300" i="6"/>
  <c r="G300" i="6" s="1"/>
  <c r="G267" i="6"/>
  <c r="E250" i="6"/>
  <c r="F250" i="6"/>
  <c r="G250" i="6" s="1"/>
  <c r="G247" i="6"/>
  <c r="L229" i="6"/>
  <c r="E228" i="6"/>
  <c r="F228" i="6"/>
  <c r="G228" i="6" s="1"/>
  <c r="K372" i="6"/>
  <c r="L372" i="6" s="1"/>
  <c r="K368" i="6"/>
  <c r="L368" i="6" s="1"/>
  <c r="K364" i="6"/>
  <c r="L364" i="6" s="1"/>
  <c r="K360" i="6"/>
  <c r="L360" i="6" s="1"/>
  <c r="K356" i="6"/>
  <c r="L356" i="6" s="1"/>
  <c r="K352" i="6"/>
  <c r="L352" i="6" s="1"/>
  <c r="K348" i="6"/>
  <c r="L348" i="6" s="1"/>
  <c r="K344" i="6"/>
  <c r="L344" i="6" s="1"/>
  <c r="K340" i="6"/>
  <c r="L340" i="6" s="1"/>
  <c r="K336" i="6"/>
  <c r="L336" i="6" s="1"/>
  <c r="K332" i="6"/>
  <c r="L332" i="6" s="1"/>
  <c r="K328" i="6"/>
  <c r="L328" i="6" s="1"/>
  <c r="K324" i="6"/>
  <c r="L324" i="6" s="1"/>
  <c r="K320" i="6"/>
  <c r="L320" i="6" s="1"/>
  <c r="K316" i="6"/>
  <c r="L316" i="6" s="1"/>
  <c r="K312" i="6"/>
  <c r="L312" i="6" s="1"/>
  <c r="K308" i="6"/>
  <c r="L308" i="6" s="1"/>
  <c r="K304" i="6"/>
  <c r="L304" i="6" s="1"/>
  <c r="K296" i="6"/>
  <c r="L296" i="6" s="1"/>
  <c r="L292" i="6"/>
  <c r="G277" i="6"/>
  <c r="K275" i="6"/>
  <c r="L275" i="6" s="1"/>
  <c r="G261" i="6"/>
  <c r="K259" i="6"/>
  <c r="L259" i="6" s="1"/>
  <c r="J235" i="6"/>
  <c r="L235" i="6" s="1"/>
  <c r="E234" i="6"/>
  <c r="F234" i="6"/>
  <c r="G234" i="6" s="1"/>
  <c r="G213" i="6"/>
  <c r="E79" i="6"/>
  <c r="G79" i="6" s="1"/>
  <c r="F370" i="6"/>
  <c r="G370" i="6" s="1"/>
  <c r="F366" i="6"/>
  <c r="G366" i="6" s="1"/>
  <c r="F362" i="6"/>
  <c r="G362" i="6" s="1"/>
  <c r="F358" i="6"/>
  <c r="G358" i="6" s="1"/>
  <c r="F354" i="6"/>
  <c r="G354" i="6" s="1"/>
  <c r="F350" i="6"/>
  <c r="G350" i="6" s="1"/>
  <c r="F346" i="6"/>
  <c r="G346" i="6" s="1"/>
  <c r="F342" i="6"/>
  <c r="G342" i="6" s="1"/>
  <c r="F338" i="6"/>
  <c r="G338" i="6" s="1"/>
  <c r="K293" i="6"/>
  <c r="L293" i="6" s="1"/>
  <c r="J291" i="6"/>
  <c r="E290" i="6"/>
  <c r="F290" i="6"/>
  <c r="G290" i="6" s="1"/>
  <c r="E281" i="6"/>
  <c r="G281" i="6" s="1"/>
  <c r="E274" i="6"/>
  <c r="F274" i="6"/>
  <c r="E265" i="6"/>
  <c r="E258" i="6"/>
  <c r="F258" i="6"/>
  <c r="L250" i="6"/>
  <c r="E245" i="6"/>
  <c r="G245" i="6" s="1"/>
  <c r="G241" i="6"/>
  <c r="K239" i="6"/>
  <c r="L239" i="6" s="1"/>
  <c r="G235" i="6"/>
  <c r="J230" i="6"/>
  <c r="F221" i="6"/>
  <c r="G221" i="6" s="1"/>
  <c r="G197" i="6"/>
  <c r="L279" i="6"/>
  <c r="G265" i="6"/>
  <c r="L263" i="6"/>
  <c r="E238" i="6"/>
  <c r="F238" i="6"/>
  <c r="G238" i="6" s="1"/>
  <c r="L230" i="6"/>
  <c r="L209" i="6"/>
  <c r="J299" i="6"/>
  <c r="J297" i="6"/>
  <c r="L297" i="6" s="1"/>
  <c r="J295" i="6"/>
  <c r="L295" i="6" s="1"/>
  <c r="E285" i="6"/>
  <c r="J279" i="6"/>
  <c r="E278" i="6"/>
  <c r="F278" i="6"/>
  <c r="E269" i="6"/>
  <c r="J263" i="6"/>
  <c r="E262" i="6"/>
  <c r="F262" i="6"/>
  <c r="G262" i="6" s="1"/>
  <c r="E253" i="6"/>
  <c r="G249" i="6"/>
  <c r="K243" i="6"/>
  <c r="L243" i="6" s="1"/>
  <c r="G239" i="6"/>
  <c r="L234" i="6"/>
  <c r="E229" i="6"/>
  <c r="F229" i="6"/>
  <c r="G229" i="6" s="1"/>
  <c r="F219" i="6"/>
  <c r="G219" i="6" s="1"/>
  <c r="G198" i="6"/>
  <c r="F167" i="6"/>
  <c r="E167" i="6"/>
  <c r="G285" i="6"/>
  <c r="G269" i="6"/>
  <c r="G253" i="6"/>
  <c r="E242" i="6"/>
  <c r="F242" i="6"/>
  <c r="G242" i="6" s="1"/>
  <c r="G223" i="6"/>
  <c r="E215" i="6"/>
  <c r="F215" i="6"/>
  <c r="G215" i="6" s="1"/>
  <c r="K188" i="6"/>
  <c r="L188" i="6" s="1"/>
  <c r="J188" i="6"/>
  <c r="E187" i="6"/>
  <c r="G187" i="6" s="1"/>
  <c r="J185" i="6"/>
  <c r="K185" i="6"/>
  <c r="L185" i="6" s="1"/>
  <c r="F295" i="6"/>
  <c r="G295" i="6" s="1"/>
  <c r="J283" i="6"/>
  <c r="L283" i="6" s="1"/>
  <c r="E282" i="6"/>
  <c r="F282" i="6"/>
  <c r="J267" i="6"/>
  <c r="L267" i="6" s="1"/>
  <c r="E266" i="6"/>
  <c r="F266" i="6"/>
  <c r="G266" i="6" s="1"/>
  <c r="K251" i="6"/>
  <c r="L251" i="6" s="1"/>
  <c r="J247" i="6"/>
  <c r="L247" i="6" s="1"/>
  <c r="E246" i="6"/>
  <c r="F246" i="6"/>
  <c r="G246" i="6" s="1"/>
  <c r="G243" i="6"/>
  <c r="L238" i="6"/>
  <c r="G233" i="6"/>
  <c r="K231" i="6"/>
  <c r="L231" i="6" s="1"/>
  <c r="K208" i="6"/>
  <c r="J208" i="6"/>
  <c r="E168" i="6"/>
  <c r="F168" i="6"/>
  <c r="G168" i="6" s="1"/>
  <c r="E227" i="6"/>
  <c r="G227" i="6" s="1"/>
  <c r="E225" i="6"/>
  <c r="G225" i="6" s="1"/>
  <c r="E223" i="6"/>
  <c r="J216" i="6"/>
  <c r="L216" i="6" s="1"/>
  <c r="K215" i="6"/>
  <c r="L215" i="6" s="1"/>
  <c r="K214" i="6"/>
  <c r="L214" i="6" s="1"/>
  <c r="F208" i="6"/>
  <c r="G208" i="6" s="1"/>
  <c r="J205" i="6"/>
  <c r="L205" i="6" s="1"/>
  <c r="J200" i="6"/>
  <c r="L200" i="6" s="1"/>
  <c r="L192" i="6"/>
  <c r="F191" i="6"/>
  <c r="G191" i="6" s="1"/>
  <c r="L186" i="6"/>
  <c r="G182" i="6"/>
  <c r="L176" i="6"/>
  <c r="J170" i="6"/>
  <c r="L170" i="6" s="1"/>
  <c r="G169" i="6"/>
  <c r="K115" i="6"/>
  <c r="L115" i="6" s="1"/>
  <c r="J115" i="6"/>
  <c r="E102" i="6"/>
  <c r="F102" i="6"/>
  <c r="G102" i="6" s="1"/>
  <c r="K228" i="6"/>
  <c r="L228" i="6" s="1"/>
  <c r="K227" i="6"/>
  <c r="L227" i="6" s="1"/>
  <c r="J222" i="6"/>
  <c r="L218" i="6"/>
  <c r="G210" i="6"/>
  <c r="J201" i="6"/>
  <c r="L201" i="6" s="1"/>
  <c r="J189" i="6"/>
  <c r="K189" i="6"/>
  <c r="L189" i="6" s="1"/>
  <c r="E175" i="6"/>
  <c r="F175" i="6"/>
  <c r="G175" i="6" s="1"/>
  <c r="F108" i="6"/>
  <c r="E108" i="6"/>
  <c r="K288" i="6"/>
  <c r="L288" i="6" s="1"/>
  <c r="K284" i="6"/>
  <c r="L284" i="6" s="1"/>
  <c r="K280" i="6"/>
  <c r="L280" i="6" s="1"/>
  <c r="K276" i="6"/>
  <c r="L276" i="6" s="1"/>
  <c r="K272" i="6"/>
  <c r="L272" i="6" s="1"/>
  <c r="K268" i="6"/>
  <c r="L268" i="6" s="1"/>
  <c r="K264" i="6"/>
  <c r="L264" i="6" s="1"/>
  <c r="K260" i="6"/>
  <c r="L260" i="6" s="1"/>
  <c r="K256" i="6"/>
  <c r="L256" i="6" s="1"/>
  <c r="K240" i="6"/>
  <c r="L240" i="6" s="1"/>
  <c r="K236" i="6"/>
  <c r="L236" i="6" s="1"/>
  <c r="K232" i="6"/>
  <c r="L232" i="6" s="1"/>
  <c r="L222" i="6"/>
  <c r="G212" i="6"/>
  <c r="K206" i="6"/>
  <c r="L206" i="6" s="1"/>
  <c r="E204" i="6"/>
  <c r="F204" i="6"/>
  <c r="G204" i="6" s="1"/>
  <c r="E203" i="6"/>
  <c r="G203" i="6" s="1"/>
  <c r="J197" i="6"/>
  <c r="L197" i="6" s="1"/>
  <c r="F195" i="6"/>
  <c r="G195" i="6" s="1"/>
  <c r="L190" i="6"/>
  <c r="G186" i="6"/>
  <c r="L180" i="6"/>
  <c r="F179" i="6"/>
  <c r="G179" i="6" s="1"/>
  <c r="G176" i="6"/>
  <c r="E166" i="6"/>
  <c r="G166" i="6" s="1"/>
  <c r="F42" i="6"/>
  <c r="E42" i="6"/>
  <c r="G216" i="6"/>
  <c r="E200" i="6"/>
  <c r="F200" i="6"/>
  <c r="G200" i="6" s="1"/>
  <c r="J193" i="6"/>
  <c r="K193" i="6"/>
  <c r="L193" i="6" s="1"/>
  <c r="J184" i="6"/>
  <c r="J177" i="6"/>
  <c r="K177" i="6"/>
  <c r="J171" i="6"/>
  <c r="K171" i="6"/>
  <c r="L171" i="6" s="1"/>
  <c r="L160" i="6"/>
  <c r="L184" i="6"/>
  <c r="E163" i="6"/>
  <c r="F163" i="6"/>
  <c r="G163" i="6" s="1"/>
  <c r="G226" i="6"/>
  <c r="F217" i="6"/>
  <c r="G217" i="6" s="1"/>
  <c r="E213" i="6"/>
  <c r="E211" i="6"/>
  <c r="G202" i="6"/>
  <c r="E183" i="6"/>
  <c r="G183" i="6" s="1"/>
  <c r="J181" i="6"/>
  <c r="K181" i="6"/>
  <c r="L181" i="6" s="1"/>
  <c r="E174" i="6"/>
  <c r="F174" i="6"/>
  <c r="G174" i="6" s="1"/>
  <c r="L60" i="6"/>
  <c r="E173" i="6"/>
  <c r="G173" i="6" s="1"/>
  <c r="K162" i="6"/>
  <c r="L162" i="6" s="1"/>
  <c r="L161" i="6"/>
  <c r="F159" i="6"/>
  <c r="G159" i="6" s="1"/>
  <c r="E111" i="6"/>
  <c r="F111" i="6"/>
  <c r="G111" i="6" s="1"/>
  <c r="K174" i="6"/>
  <c r="L174" i="6" s="1"/>
  <c r="K165" i="6"/>
  <c r="L165" i="6" s="1"/>
  <c r="E160" i="6"/>
  <c r="F160" i="6"/>
  <c r="G160" i="6" s="1"/>
  <c r="J157" i="6"/>
  <c r="J156" i="6"/>
  <c r="L156" i="6" s="1"/>
  <c r="J152" i="6"/>
  <c r="J148" i="6"/>
  <c r="J144" i="6"/>
  <c r="J140" i="6"/>
  <c r="J136" i="6"/>
  <c r="L136" i="6" s="1"/>
  <c r="J132" i="6"/>
  <c r="L132" i="6" s="1"/>
  <c r="J128" i="6"/>
  <c r="J124" i="6"/>
  <c r="J120" i="6"/>
  <c r="K116" i="6"/>
  <c r="L116" i="6" s="1"/>
  <c r="L113" i="6"/>
  <c r="E106" i="6"/>
  <c r="J81" i="6"/>
  <c r="K81" i="6"/>
  <c r="L81" i="6" s="1"/>
  <c r="E74" i="6"/>
  <c r="F63" i="6"/>
  <c r="G63" i="6" s="1"/>
  <c r="L55" i="6"/>
  <c r="L44" i="6"/>
  <c r="E18" i="6"/>
  <c r="G18" i="6" s="1"/>
  <c r="J8" i="6"/>
  <c r="L8" i="6" s="1"/>
  <c r="F196" i="6"/>
  <c r="G196" i="6" s="1"/>
  <c r="F192" i="6"/>
  <c r="G192" i="6" s="1"/>
  <c r="F188" i="6"/>
  <c r="G188" i="6" s="1"/>
  <c r="F184" i="6"/>
  <c r="G184" i="6" s="1"/>
  <c r="F180" i="6"/>
  <c r="G180" i="6" s="1"/>
  <c r="K172" i="6"/>
  <c r="L172" i="6" s="1"/>
  <c r="L152" i="6"/>
  <c r="L148" i="6"/>
  <c r="L144" i="6"/>
  <c r="L140" i="6"/>
  <c r="L128" i="6"/>
  <c r="L124" i="6"/>
  <c r="L120" i="6"/>
  <c r="L114" i="6"/>
  <c r="G106" i="6"/>
  <c r="G103" i="6"/>
  <c r="G74" i="6"/>
  <c r="J166" i="6"/>
  <c r="L166" i="6" s="1"/>
  <c r="K164" i="6"/>
  <c r="L164" i="6" s="1"/>
  <c r="K158" i="6"/>
  <c r="L158" i="6" s="1"/>
  <c r="L157" i="6"/>
  <c r="F155" i="6"/>
  <c r="G155" i="6" s="1"/>
  <c r="K153" i="6"/>
  <c r="L153" i="6" s="1"/>
  <c r="F151" i="6"/>
  <c r="G151" i="6" s="1"/>
  <c r="K149" i="6"/>
  <c r="L149" i="6" s="1"/>
  <c r="F147" i="6"/>
  <c r="G147" i="6" s="1"/>
  <c r="K145" i="6"/>
  <c r="L145" i="6" s="1"/>
  <c r="F143" i="6"/>
  <c r="G143" i="6" s="1"/>
  <c r="K141" i="6"/>
  <c r="L141" i="6" s="1"/>
  <c r="F139" i="6"/>
  <c r="G139" i="6" s="1"/>
  <c r="K137" i="6"/>
  <c r="L137" i="6" s="1"/>
  <c r="F135" i="6"/>
  <c r="G135" i="6" s="1"/>
  <c r="K133" i="6"/>
  <c r="L133" i="6" s="1"/>
  <c r="F131" i="6"/>
  <c r="G131" i="6" s="1"/>
  <c r="K129" i="6"/>
  <c r="L129" i="6" s="1"/>
  <c r="F127" i="6"/>
  <c r="G127" i="6" s="1"/>
  <c r="K125" i="6"/>
  <c r="L125" i="6" s="1"/>
  <c r="F123" i="6"/>
  <c r="G123" i="6" s="1"/>
  <c r="K121" i="6"/>
  <c r="L121" i="6" s="1"/>
  <c r="F104" i="6"/>
  <c r="G104" i="6" s="1"/>
  <c r="E104" i="6"/>
  <c r="J85" i="6"/>
  <c r="K85" i="6"/>
  <c r="L85" i="6" s="1"/>
  <c r="J65" i="6"/>
  <c r="K65" i="6"/>
  <c r="L65" i="6" s="1"/>
  <c r="E58" i="6"/>
  <c r="G47" i="6"/>
  <c r="L39" i="6"/>
  <c r="E30" i="6"/>
  <c r="F30" i="6"/>
  <c r="G30" i="6" s="1"/>
  <c r="E119" i="6"/>
  <c r="G119" i="6" s="1"/>
  <c r="E109" i="6"/>
  <c r="F109" i="6"/>
  <c r="G109" i="6" s="1"/>
  <c r="G101" i="6"/>
  <c r="G58" i="6"/>
  <c r="G19" i="6"/>
  <c r="E169" i="6"/>
  <c r="E164" i="6"/>
  <c r="F164" i="6"/>
  <c r="G164" i="6" s="1"/>
  <c r="G158" i="6"/>
  <c r="L154" i="6"/>
  <c r="L150" i="6"/>
  <c r="L146" i="6"/>
  <c r="L142" i="6"/>
  <c r="L138" i="6"/>
  <c r="L134" i="6"/>
  <c r="L130" i="6"/>
  <c r="L126" i="6"/>
  <c r="L122" i="6"/>
  <c r="L118" i="6"/>
  <c r="G114" i="6"/>
  <c r="F110" i="6"/>
  <c r="G110" i="6" s="1"/>
  <c r="L102" i="6"/>
  <c r="L76" i="6"/>
  <c r="J49" i="6"/>
  <c r="K49" i="6"/>
  <c r="F31" i="6"/>
  <c r="G31" i="6" s="1"/>
  <c r="K21" i="6"/>
  <c r="L21" i="6" s="1"/>
  <c r="J20" i="6"/>
  <c r="L20" i="6" s="1"/>
  <c r="J114" i="6"/>
  <c r="E107" i="6"/>
  <c r="G107" i="6" s="1"/>
  <c r="E103" i="6"/>
  <c r="L100" i="6"/>
  <c r="G90" i="6"/>
  <c r="J77" i="6"/>
  <c r="K77" i="6"/>
  <c r="L77" i="6" s="1"/>
  <c r="J61" i="6"/>
  <c r="K61" i="6"/>
  <c r="L61" i="6" s="1"/>
  <c r="G59" i="6"/>
  <c r="J45" i="6"/>
  <c r="K45" i="6"/>
  <c r="L28" i="6"/>
  <c r="E19" i="6"/>
  <c r="G14" i="6"/>
  <c r="G7" i="6"/>
  <c r="E116" i="6"/>
  <c r="G116" i="6" s="1"/>
  <c r="K105" i="6"/>
  <c r="L105" i="6" s="1"/>
  <c r="F99" i="6"/>
  <c r="G99" i="6" s="1"/>
  <c r="K96" i="6"/>
  <c r="L96" i="6" s="1"/>
  <c r="E75" i="6"/>
  <c r="G75" i="6" s="1"/>
  <c r="K72" i="6"/>
  <c r="L72" i="6" s="1"/>
  <c r="E59" i="6"/>
  <c r="K56" i="6"/>
  <c r="L56" i="6" s="1"/>
  <c r="E43" i="6"/>
  <c r="G43" i="6" s="1"/>
  <c r="K40" i="6"/>
  <c r="L40" i="6" s="1"/>
  <c r="F27" i="6"/>
  <c r="G27" i="6" s="1"/>
  <c r="K17" i="6"/>
  <c r="L17" i="6" s="1"/>
  <c r="K16" i="6"/>
  <c r="L16" i="6" s="1"/>
  <c r="G8" i="6"/>
  <c r="E7" i="6"/>
  <c r="F156" i="6"/>
  <c r="G156" i="6" s="1"/>
  <c r="F115" i="6"/>
  <c r="G115" i="6" s="1"/>
  <c r="F113" i="6"/>
  <c r="G113" i="6" s="1"/>
  <c r="K106" i="6"/>
  <c r="L106" i="6" s="1"/>
  <c r="L92" i="6"/>
  <c r="F82" i="6"/>
  <c r="G82" i="6" s="1"/>
  <c r="J73" i="6"/>
  <c r="K73" i="6"/>
  <c r="L73" i="6" s="1"/>
  <c r="G71" i="6"/>
  <c r="J57" i="6"/>
  <c r="K57" i="6"/>
  <c r="J41" i="6"/>
  <c r="K41" i="6"/>
  <c r="L41" i="6" s="1"/>
  <c r="F22" i="6"/>
  <c r="G22" i="6" s="1"/>
  <c r="G15" i="6"/>
  <c r="L4" i="6"/>
  <c r="E112" i="6"/>
  <c r="G112" i="6" s="1"/>
  <c r="K104" i="6"/>
  <c r="L104" i="6" s="1"/>
  <c r="J102" i="6"/>
  <c r="J97" i="6"/>
  <c r="K97" i="6"/>
  <c r="L97" i="6" s="1"/>
  <c r="E95" i="6"/>
  <c r="G95" i="6" s="1"/>
  <c r="F91" i="6"/>
  <c r="G91" i="6" s="1"/>
  <c r="K88" i="6"/>
  <c r="L88" i="6" s="1"/>
  <c r="E71" i="6"/>
  <c r="K68" i="6"/>
  <c r="L68" i="6" s="1"/>
  <c r="E55" i="6"/>
  <c r="G55" i="6" s="1"/>
  <c r="K52" i="6"/>
  <c r="L52" i="6" s="1"/>
  <c r="G40" i="6"/>
  <c r="E39" i="6"/>
  <c r="G39" i="6" s="1"/>
  <c r="K37" i="6"/>
  <c r="L37" i="6" s="1"/>
  <c r="K36" i="6"/>
  <c r="L36" i="6" s="1"/>
  <c r="K25" i="6"/>
  <c r="L25" i="6" s="1"/>
  <c r="K24" i="6"/>
  <c r="L24" i="6" s="1"/>
  <c r="G16" i="6"/>
  <c r="E15" i="6"/>
  <c r="F10" i="6"/>
  <c r="G10" i="6" s="1"/>
  <c r="J93" i="6"/>
  <c r="K93" i="6"/>
  <c r="L93" i="6" s="1"/>
  <c r="G87" i="6"/>
  <c r="L84" i="6"/>
  <c r="J69" i="6"/>
  <c r="K69" i="6"/>
  <c r="L69" i="6" s="1"/>
  <c r="F67" i="6"/>
  <c r="G67" i="6" s="1"/>
  <c r="J53" i="6"/>
  <c r="K53" i="6"/>
  <c r="L53" i="6" s="1"/>
  <c r="F51" i="6"/>
  <c r="G51" i="6" s="1"/>
  <c r="F35" i="6"/>
  <c r="G35" i="6" s="1"/>
  <c r="F23" i="6"/>
  <c r="G23" i="6" s="1"/>
  <c r="K13" i="6"/>
  <c r="L13" i="6" s="1"/>
  <c r="K12" i="6"/>
  <c r="L12" i="6" s="1"/>
  <c r="J89" i="6"/>
  <c r="K89" i="6"/>
  <c r="L89" i="6" s="1"/>
  <c r="E87" i="6"/>
  <c r="F83" i="6"/>
  <c r="G83" i="6" s="1"/>
  <c r="K80" i="6"/>
  <c r="L80" i="6" s="1"/>
  <c r="K64" i="6"/>
  <c r="L64" i="6" s="1"/>
  <c r="K48" i="6"/>
  <c r="L48" i="6" s="1"/>
  <c r="G36" i="6"/>
  <c r="K33" i="6"/>
  <c r="L33" i="6" s="1"/>
  <c r="K32" i="6"/>
  <c r="L32" i="6" s="1"/>
  <c r="G24" i="6"/>
  <c r="F11" i="6"/>
  <c r="G11" i="6" s="1"/>
  <c r="K74" i="6"/>
  <c r="L74" i="6" s="1"/>
  <c r="K70" i="6"/>
  <c r="L70" i="6" s="1"/>
  <c r="K66" i="6"/>
  <c r="L66" i="6" s="1"/>
  <c r="K62" i="6"/>
  <c r="L62" i="6" s="1"/>
  <c r="K58" i="6"/>
  <c r="L58" i="6" s="1"/>
  <c r="K54" i="6"/>
  <c r="L54" i="6" s="1"/>
  <c r="K50" i="6"/>
  <c r="L50" i="6" s="1"/>
  <c r="K46" i="6"/>
  <c r="L46" i="6" s="1"/>
  <c r="K42" i="6"/>
  <c r="L42" i="6" s="1"/>
  <c r="K38" i="6"/>
  <c r="L38" i="6" s="1"/>
  <c r="K34" i="6"/>
  <c r="L34" i="6" s="1"/>
  <c r="F100" i="6"/>
  <c r="G100" i="6" s="1"/>
  <c r="F96" i="6"/>
  <c r="G96" i="6" s="1"/>
  <c r="F92" i="6"/>
  <c r="G92" i="6" s="1"/>
  <c r="F88" i="6"/>
  <c r="G88" i="6" s="1"/>
  <c r="F84" i="6"/>
  <c r="G84" i="6" s="1"/>
  <c r="F80" i="6"/>
  <c r="G80" i="6" s="1"/>
  <c r="F76" i="6"/>
  <c r="G76" i="6" s="1"/>
  <c r="F72" i="6"/>
  <c r="G72" i="6" s="1"/>
  <c r="F68" i="6"/>
  <c r="G68" i="6" s="1"/>
  <c r="F64" i="6"/>
  <c r="G64" i="6" s="1"/>
  <c r="F60" i="6"/>
  <c r="G60" i="6" s="1"/>
  <c r="F56" i="6"/>
  <c r="G56" i="6" s="1"/>
  <c r="F52" i="6"/>
  <c r="G52" i="6" s="1"/>
  <c r="F48" i="6"/>
  <c r="G48" i="6" s="1"/>
  <c r="F44" i="6"/>
  <c r="G44" i="6" s="1"/>
  <c r="G42" i="6" l="1"/>
  <c r="L208" i="6"/>
  <c r="G167" i="6"/>
  <c r="G278" i="6"/>
  <c r="G258" i="6"/>
  <c r="G257" i="6"/>
  <c r="G108" i="6"/>
  <c r="G297" i="6"/>
  <c r="G289" i="6"/>
  <c r="G273" i="6"/>
  <c r="L57" i="6"/>
  <c r="L45" i="6"/>
  <c r="L49" i="6"/>
  <c r="L177" i="6"/>
  <c r="G282" i="6"/>
  <c r="G274" i="6"/>
  <c r="C109" i="4"/>
  <c r="C108" i="4"/>
  <c r="C107" i="4"/>
  <c r="C106" i="4"/>
  <c r="C105" i="4"/>
  <c r="C104" i="4"/>
  <c r="C103" i="4"/>
  <c r="C102" i="4"/>
  <c r="C101" i="4"/>
  <c r="C100" i="4"/>
  <c r="C99" i="4"/>
  <c r="C98" i="4"/>
  <c r="C96" i="4"/>
  <c r="C95" i="4"/>
  <c r="C94" i="4"/>
  <c r="C93" i="4"/>
  <c r="C91" i="4"/>
  <c r="C90" i="4"/>
  <c r="C89" i="4"/>
  <c r="C88" i="4"/>
  <c r="C87" i="4"/>
  <c r="C86" i="4"/>
  <c r="C83" i="4"/>
  <c r="C82" i="4"/>
  <c r="C81" i="4"/>
  <c r="C80" i="4"/>
  <c r="C78" i="4"/>
  <c r="C76" i="4"/>
  <c r="C75" i="4"/>
  <c r="C74" i="4"/>
  <c r="C73" i="4"/>
  <c r="C71" i="4"/>
  <c r="C68" i="4"/>
  <c r="C66" i="4"/>
  <c r="C65" i="4"/>
  <c r="C64" i="4"/>
  <c r="C63" i="4"/>
  <c r="C62" i="4"/>
  <c r="C61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7" i="4"/>
  <c r="C5" i="4"/>
  <c r="C4" i="4"/>
  <c r="C2" i="4"/>
  <c r="C50" i="3"/>
  <c r="B50" i="3"/>
  <c r="C49" i="3"/>
  <c r="B49" i="3"/>
  <c r="C48" i="3"/>
  <c r="B48" i="3"/>
  <c r="C46" i="3"/>
  <c r="B46" i="3"/>
  <c r="C45" i="3"/>
  <c r="B45" i="3"/>
  <c r="B44" i="3"/>
  <c r="C43" i="3"/>
  <c r="B43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C28" i="3"/>
  <c r="B28" i="3"/>
  <c r="C26" i="3"/>
  <c r="B26" i="3"/>
  <c r="C25" i="3"/>
  <c r="B25" i="3"/>
  <c r="C24" i="3"/>
  <c r="B24" i="3"/>
  <c r="C23" i="3"/>
  <c r="B23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B10" i="3"/>
  <c r="C8" i="3"/>
  <c r="C7" i="3"/>
  <c r="B7" i="3"/>
  <c r="B6" i="3"/>
  <c r="C5" i="3"/>
  <c r="B5" i="3"/>
  <c r="C4" i="3"/>
  <c r="B4" i="3"/>
  <c r="C3" i="3"/>
  <c r="B3" i="3"/>
</calcChain>
</file>

<file path=xl/sharedStrings.xml><?xml version="1.0" encoding="utf-8"?>
<sst xmlns="http://schemas.openxmlformats.org/spreadsheetml/2006/main" count="2700" uniqueCount="1190">
  <si>
    <t>CD</t>
  </si>
  <si>
    <t>Incumbent</t>
  </si>
  <si>
    <t>Party</t>
  </si>
  <si>
    <t>Obama 2012</t>
  </si>
  <si>
    <t>Romney 2012</t>
  </si>
  <si>
    <t>Obama 2008</t>
  </si>
  <si>
    <t>McCain 2008</t>
  </si>
  <si>
    <t>AK-AL</t>
  </si>
  <si>
    <t>Young, Don</t>
  </si>
  <si>
    <t>(R)</t>
  </si>
  <si>
    <t>AL-01</t>
  </si>
  <si>
    <t>Byrne, Bradley</t>
  </si>
  <si>
    <t>AL-02</t>
  </si>
  <si>
    <t>Roby, Martha</t>
  </si>
  <si>
    <t>AL-03</t>
  </si>
  <si>
    <t>Rogers, Mike D.</t>
  </si>
  <si>
    <t>AL-04</t>
  </si>
  <si>
    <t>Aderholt, Rob</t>
  </si>
  <si>
    <t>AL-05</t>
  </si>
  <si>
    <t>Brooks, Mo</t>
  </si>
  <si>
    <t>AL-06</t>
  </si>
  <si>
    <t>Palmer, Gary</t>
  </si>
  <si>
    <t>AL-07</t>
  </si>
  <si>
    <t>Sewell, Terri</t>
  </si>
  <si>
    <t>(D)</t>
  </si>
  <si>
    <t>AR-01</t>
  </si>
  <si>
    <t>Crawford, Rick</t>
  </si>
  <si>
    <t>AR-02</t>
  </si>
  <si>
    <t>Hill, French</t>
  </si>
  <si>
    <t>AR-03</t>
  </si>
  <si>
    <t>Womack, Steve</t>
  </si>
  <si>
    <t>AR-04</t>
  </si>
  <si>
    <t>Westerman, Bruce</t>
  </si>
  <si>
    <t>AZ-01</t>
  </si>
  <si>
    <t>Kirkpatrick, Ann</t>
  </si>
  <si>
    <t>AZ-02</t>
  </si>
  <si>
    <t>McSally, Martha</t>
  </si>
  <si>
    <t>AZ-03</t>
  </si>
  <si>
    <t>Grijalva, Raul</t>
  </si>
  <si>
    <t>AZ-04</t>
  </si>
  <si>
    <t>Gosar, Paul</t>
  </si>
  <si>
    <t>AZ-05</t>
  </si>
  <si>
    <t>Salmon, Matt</t>
  </si>
  <si>
    <t>AZ-06</t>
  </si>
  <si>
    <t>Schweikert, David</t>
  </si>
  <si>
    <t>AZ-07</t>
  </si>
  <si>
    <t>Gallego, Ruben</t>
  </si>
  <si>
    <t>AZ-08</t>
  </si>
  <si>
    <t>Franks, Trent</t>
  </si>
  <si>
    <t>AZ-09</t>
  </si>
  <si>
    <t>Sinema, Kyrsten</t>
  </si>
  <si>
    <t>CA-01</t>
  </si>
  <si>
    <t>LaMalfa, Doug</t>
  </si>
  <si>
    <t>CA-02</t>
  </si>
  <si>
    <t>Huffman, Jared</t>
  </si>
  <si>
    <t>CA-03</t>
  </si>
  <si>
    <t>Garamendi, John</t>
  </si>
  <si>
    <t>CA-04</t>
  </si>
  <si>
    <t>McClintock, Tom</t>
  </si>
  <si>
    <t>CA-05</t>
  </si>
  <si>
    <t>Thompson, Mike</t>
  </si>
  <si>
    <t>CA-06</t>
  </si>
  <si>
    <t>Matsui, Doris</t>
  </si>
  <si>
    <t>CA-07</t>
  </si>
  <si>
    <t>Bera, Ami</t>
  </si>
  <si>
    <t>CA-08</t>
  </si>
  <si>
    <t>Cook, Paul</t>
  </si>
  <si>
    <t>CA-09</t>
  </si>
  <si>
    <t>McNerney, Jerry</t>
  </si>
  <si>
    <t>CA-10</t>
  </si>
  <si>
    <t>Denham, Jeff</t>
  </si>
  <si>
    <t>CA-11</t>
  </si>
  <si>
    <t>DeSaulnier, Mark</t>
  </si>
  <si>
    <t>CA-12</t>
  </si>
  <si>
    <t>Pelosi, Nancy</t>
  </si>
  <si>
    <t>CA-13</t>
  </si>
  <si>
    <t>Lee, Barbara</t>
  </si>
  <si>
    <t>CA-14</t>
  </si>
  <si>
    <t>Speier, Jackie</t>
  </si>
  <si>
    <t>CA-15</t>
  </si>
  <si>
    <t>Swalwell, Eric</t>
  </si>
  <si>
    <t>CA-16</t>
  </si>
  <si>
    <t>Jim Costa</t>
  </si>
  <si>
    <t>CA-17</t>
  </si>
  <si>
    <t>Honda, Mike</t>
  </si>
  <si>
    <t>CA-18</t>
  </si>
  <si>
    <t>Eshoo, Anna</t>
  </si>
  <si>
    <t>CA-19</t>
  </si>
  <si>
    <t>Lofgren, Zoe</t>
  </si>
  <si>
    <t>CA-20</t>
  </si>
  <si>
    <t>Farr, Sam</t>
  </si>
  <si>
    <t>CA-21</t>
  </si>
  <si>
    <t>Valadao, David</t>
  </si>
  <si>
    <t>CA-22</t>
  </si>
  <si>
    <t>Nunes, Devin</t>
  </si>
  <si>
    <t>CA-23</t>
  </si>
  <si>
    <t>McCarthy, Kevin</t>
  </si>
  <si>
    <t>CA-24</t>
  </si>
  <si>
    <t>Capps, Lois</t>
  </si>
  <si>
    <t>CA-25</t>
  </si>
  <si>
    <t>Knight, Steve</t>
  </si>
  <si>
    <t>CA-26</t>
  </si>
  <si>
    <t>Brownley, Julia</t>
  </si>
  <si>
    <t>CA-27</t>
  </si>
  <si>
    <t>Chu, Judy</t>
  </si>
  <si>
    <t>CA-28</t>
  </si>
  <si>
    <t>Schiff, Adam</t>
  </si>
  <si>
    <t>CA-29</t>
  </si>
  <si>
    <t>Cardenas, Tony</t>
  </si>
  <si>
    <t>CA-30</t>
  </si>
  <si>
    <t>Sherman, Brad</t>
  </si>
  <si>
    <t>CA-31</t>
  </si>
  <si>
    <t>Aguilar, Pete</t>
  </si>
  <si>
    <t>CA-32</t>
  </si>
  <si>
    <t>Napolitano, Grace</t>
  </si>
  <si>
    <t>CA-33</t>
  </si>
  <si>
    <t>Lieu, Ted</t>
  </si>
  <si>
    <t>CA-34</t>
  </si>
  <si>
    <t>Becerra, Xavier</t>
  </si>
  <si>
    <t>CA-35</t>
  </si>
  <si>
    <t>Torres, Norma</t>
  </si>
  <si>
    <t>CA-36</t>
  </si>
  <si>
    <t>Ruiz, Raul</t>
  </si>
  <si>
    <t>CA-37</t>
  </si>
  <si>
    <t>Bass, Karen</t>
  </si>
  <si>
    <t>CA-38</t>
  </si>
  <si>
    <t>Sanchez, Linda</t>
  </si>
  <si>
    <t>CA-39</t>
  </si>
  <si>
    <t>Royce, Ed</t>
  </si>
  <si>
    <t>CA-40</t>
  </si>
  <si>
    <t>Roybal-Allard, Lucille</t>
  </si>
  <si>
    <t>CA-41</t>
  </si>
  <si>
    <t>Takano, Mark</t>
  </si>
  <si>
    <t>CA-42</t>
  </si>
  <si>
    <t>Calvert, Ken</t>
  </si>
  <si>
    <t>CA-43</t>
  </si>
  <si>
    <t>Waters, Maxine</t>
  </si>
  <si>
    <t>CA-44</t>
  </si>
  <si>
    <t>Hahn, Janice</t>
  </si>
  <si>
    <t>CA-45</t>
  </si>
  <si>
    <t>Walters, Mimi</t>
  </si>
  <si>
    <t>CA-46</t>
  </si>
  <si>
    <t>Sanchez, Loretta</t>
  </si>
  <si>
    <t>CA-47</t>
  </si>
  <si>
    <t>Lowenthal, Alan</t>
  </si>
  <si>
    <t>CA-48</t>
  </si>
  <si>
    <t>Rohrabacher, Dana</t>
  </si>
  <si>
    <t>CA-49</t>
  </si>
  <si>
    <t>Issa, Darrell</t>
  </si>
  <si>
    <t>CA-50</t>
  </si>
  <si>
    <t>Hunter, Duncan</t>
  </si>
  <si>
    <t>CA-51</t>
  </si>
  <si>
    <t>Vargas, Juan</t>
  </si>
  <si>
    <t>CA-52</t>
  </si>
  <si>
    <t>Peters, Scott</t>
  </si>
  <si>
    <t>CA-53</t>
  </si>
  <si>
    <t>Davis, Susan</t>
  </si>
  <si>
    <t>CO-01</t>
  </si>
  <si>
    <t>DeGette, Diana</t>
  </si>
  <si>
    <t>CO-02</t>
  </si>
  <si>
    <t>Polis, Jared</t>
  </si>
  <si>
    <t>CO-03</t>
  </si>
  <si>
    <t>Tipton, Scott</t>
  </si>
  <si>
    <t>CO-04</t>
  </si>
  <si>
    <t>Buck, Ken</t>
  </si>
  <si>
    <t>CO-05</t>
  </si>
  <si>
    <t>Lamborn, Doug</t>
  </si>
  <si>
    <t>CO-06</t>
  </si>
  <si>
    <t>Coffman, Mike</t>
  </si>
  <si>
    <t>CO-07</t>
  </si>
  <si>
    <t>Perlmutter, Ed</t>
  </si>
  <si>
    <t>CT-01</t>
  </si>
  <si>
    <t>Larson, John</t>
  </si>
  <si>
    <t>CT-02</t>
  </si>
  <si>
    <t>Courtney, Joe</t>
  </si>
  <si>
    <t>CT-03</t>
  </si>
  <si>
    <t>DeLauro, Rosa</t>
  </si>
  <si>
    <t>CT-04</t>
  </si>
  <si>
    <t>Himes, Jim</t>
  </si>
  <si>
    <t>CT-05</t>
  </si>
  <si>
    <t>Esty, Elizabeth</t>
  </si>
  <si>
    <t>DE-AL</t>
  </si>
  <si>
    <t>Carney, John</t>
  </si>
  <si>
    <t>FL-01</t>
  </si>
  <si>
    <t>Miller, Jeff</t>
  </si>
  <si>
    <t>FL-02</t>
  </si>
  <si>
    <t>Graham, Gwen</t>
  </si>
  <si>
    <t>FL-03</t>
  </si>
  <si>
    <t>Yoho, Ted</t>
  </si>
  <si>
    <t>FL-04</t>
  </si>
  <si>
    <t>Crenshaw, Ander</t>
  </si>
  <si>
    <t>FL-05</t>
  </si>
  <si>
    <t>Brown, Corrine</t>
  </si>
  <si>
    <t>FL-06</t>
  </si>
  <si>
    <t>DeSantis, Ron</t>
  </si>
  <si>
    <t>FL-07</t>
  </si>
  <si>
    <t>Mica, John</t>
  </si>
  <si>
    <t>FL-08</t>
  </si>
  <si>
    <t>Posey, Bill</t>
  </si>
  <si>
    <t>FL-09</t>
  </si>
  <si>
    <t>Grayson, Alan</t>
  </si>
  <si>
    <t>FL-10</t>
  </si>
  <si>
    <t>Webster, Dan</t>
  </si>
  <si>
    <t>FL-11</t>
  </si>
  <si>
    <t>Nugent, Rich</t>
  </si>
  <si>
    <t>FL-12</t>
  </si>
  <si>
    <t>Bilirakis, Gus</t>
  </si>
  <si>
    <t>FL-13</t>
  </si>
  <si>
    <t>Jolly, David</t>
  </si>
  <si>
    <t>FL-14</t>
  </si>
  <si>
    <t>Castor, Kathy</t>
  </si>
  <si>
    <t>FL-15</t>
  </si>
  <si>
    <t>Ross, Dennis</t>
  </si>
  <si>
    <t>FL-16</t>
  </si>
  <si>
    <t>Buchanan, Vern</t>
  </si>
  <si>
    <t>FL-17</t>
  </si>
  <si>
    <t>Rooney, Tom</t>
  </si>
  <si>
    <t>FL-18</t>
  </si>
  <si>
    <t>Murphy, Patrick</t>
  </si>
  <si>
    <t>FL-19</t>
  </si>
  <si>
    <t>Clawson, Curt</t>
  </si>
  <si>
    <t>FL-20</t>
  </si>
  <si>
    <t>Hastings, Alcee</t>
  </si>
  <si>
    <t>FL-21</t>
  </si>
  <si>
    <t>Deutch, Ted</t>
  </si>
  <si>
    <t>FL-22</t>
  </si>
  <si>
    <t>Frankel, Lois</t>
  </si>
  <si>
    <t>FL-23</t>
  </si>
  <si>
    <t>Wasserman Schultz, Debbie</t>
  </si>
  <si>
    <t>FL-24</t>
  </si>
  <si>
    <t>Wilson, Frederica</t>
  </si>
  <si>
    <t>FL-25</t>
  </si>
  <si>
    <t>Diaz-Balart, Mario</t>
  </si>
  <si>
    <t>FL-26</t>
  </si>
  <si>
    <t>Curbelo, Carlos</t>
  </si>
  <si>
    <t>FL-27</t>
  </si>
  <si>
    <t>Ros-Lehtinen, Ileana</t>
  </si>
  <si>
    <t>GA-01</t>
  </si>
  <si>
    <t>Carter, Buddy</t>
  </si>
  <si>
    <t>GA-02</t>
  </si>
  <si>
    <t>Bishop, Sanford</t>
  </si>
  <si>
    <t>GA-03</t>
  </si>
  <si>
    <t>Westmoreland, Lynn</t>
  </si>
  <si>
    <t>GA-04</t>
  </si>
  <si>
    <t>Johnson, Hank</t>
  </si>
  <si>
    <t>GA-05</t>
  </si>
  <si>
    <t>Lewis, John</t>
  </si>
  <si>
    <t>GA-06</t>
  </si>
  <si>
    <t>Price, Tom</t>
  </si>
  <si>
    <t>GA-07</t>
  </si>
  <si>
    <t>Woodall, Rob</t>
  </si>
  <si>
    <t>GA-08</t>
  </si>
  <si>
    <t>Scott, Austin</t>
  </si>
  <si>
    <t>GA-09</t>
  </si>
  <si>
    <t>Collins, Doug</t>
  </si>
  <si>
    <t>GA-10</t>
  </si>
  <si>
    <t>Hice, Jodi</t>
  </si>
  <si>
    <t>GA-11</t>
  </si>
  <si>
    <t>Loudermilk, Barry</t>
  </si>
  <si>
    <t>GA-12</t>
  </si>
  <si>
    <t>Allen, Rick</t>
  </si>
  <si>
    <t>GA-13</t>
  </si>
  <si>
    <t>Scott, David</t>
  </si>
  <si>
    <t>GA-14</t>
  </si>
  <si>
    <t>Graves, Tom</t>
  </si>
  <si>
    <t>HI-01</t>
  </si>
  <si>
    <t>Takai, Mark</t>
  </si>
  <si>
    <t>HI-02</t>
  </si>
  <si>
    <t>Gabbard, Tulsi</t>
  </si>
  <si>
    <t>IA-01</t>
  </si>
  <si>
    <t>Blum, Rod</t>
  </si>
  <si>
    <t>IA-02</t>
  </si>
  <si>
    <t>Loebsack, David</t>
  </si>
  <si>
    <t>IA-03</t>
  </si>
  <si>
    <t>Young, David</t>
  </si>
  <si>
    <t>IA-04</t>
  </si>
  <si>
    <t>King, Steve</t>
  </si>
  <si>
    <t>ID-01</t>
  </si>
  <si>
    <t>Labrador, Raul</t>
  </si>
  <si>
    <t>ID-02</t>
  </si>
  <si>
    <t>Simpson, Mike</t>
  </si>
  <si>
    <t>IL-01</t>
  </si>
  <si>
    <t>Rush, Bobby</t>
  </si>
  <si>
    <t>IL-02</t>
  </si>
  <si>
    <t>Kelly, Robin</t>
  </si>
  <si>
    <t>IL-03</t>
  </si>
  <si>
    <t>Lipinski, Dan</t>
  </si>
  <si>
    <t>IL-04</t>
  </si>
  <si>
    <t>Gutierrez, Luis</t>
  </si>
  <si>
    <t>IL-05</t>
  </si>
  <si>
    <t>Quigley, Mike</t>
  </si>
  <si>
    <t>IL-06</t>
  </si>
  <si>
    <t>Roskam, Peter</t>
  </si>
  <si>
    <t>IL-07</t>
  </si>
  <si>
    <t>Davis, Danny</t>
  </si>
  <si>
    <t>IL-08</t>
  </si>
  <si>
    <t>Duckworth, Tammy</t>
  </si>
  <si>
    <t>IL-09</t>
  </si>
  <si>
    <t>Schakowsky, Jan</t>
  </si>
  <si>
    <t>IL-10</t>
  </si>
  <si>
    <t>Dold, Bob</t>
  </si>
  <si>
    <t>IL-11</t>
  </si>
  <si>
    <t>Foster, Bill</t>
  </si>
  <si>
    <t>IL-12</t>
  </si>
  <si>
    <t>Bost, Mike</t>
  </si>
  <si>
    <t>IL-13</t>
  </si>
  <si>
    <t>Davis, Rodney</t>
  </si>
  <si>
    <t>IL-14</t>
  </si>
  <si>
    <t>Hultgren, Randy</t>
  </si>
  <si>
    <t>IL-15</t>
  </si>
  <si>
    <t>Shimkus, John</t>
  </si>
  <si>
    <t>IL-16</t>
  </si>
  <si>
    <t>Kinzinger, Adam</t>
  </si>
  <si>
    <t>IL-17</t>
  </si>
  <si>
    <t>Bustos, Cheri</t>
  </si>
  <si>
    <t>IL-18</t>
  </si>
  <si>
    <t>LaHood, Darin</t>
  </si>
  <si>
    <t>IN-01</t>
  </si>
  <si>
    <t>Visclosky, Pete</t>
  </si>
  <si>
    <t>IN-02</t>
  </si>
  <si>
    <t>Walorski, Jackie</t>
  </si>
  <si>
    <t>IN-03</t>
  </si>
  <si>
    <t>Stutzman, Marlin</t>
  </si>
  <si>
    <t>IN-04</t>
  </si>
  <si>
    <t>Rokita, Todd</t>
  </si>
  <si>
    <t>IN-05</t>
  </si>
  <si>
    <t>Brooks, Susan</t>
  </si>
  <si>
    <t>IN-06</t>
  </si>
  <si>
    <t>Messer, Luke</t>
  </si>
  <si>
    <t>IN-07</t>
  </si>
  <si>
    <t>Carson, Andre</t>
  </si>
  <si>
    <t>IN-08</t>
  </si>
  <si>
    <t>Bucshon, Larry</t>
  </si>
  <si>
    <t>IN-09</t>
  </si>
  <si>
    <t>Young, Todd</t>
  </si>
  <si>
    <t>KS-01</t>
  </si>
  <si>
    <t>Huelskamp, Tim</t>
  </si>
  <si>
    <t>KS-02</t>
  </si>
  <si>
    <t>Jenkins, Lynn</t>
  </si>
  <si>
    <t>KS-03</t>
  </si>
  <si>
    <t>Yoder, Kevin</t>
  </si>
  <si>
    <t>KS-04</t>
  </si>
  <si>
    <t>Pompeo, Mike</t>
  </si>
  <si>
    <t>KY-01</t>
  </si>
  <si>
    <t>Whitfield, Ed</t>
  </si>
  <si>
    <t>KY-02</t>
  </si>
  <si>
    <t>Guthrie, Brett</t>
  </si>
  <si>
    <t>KY-03</t>
  </si>
  <si>
    <t>Yarmuth, John</t>
  </si>
  <si>
    <t>KY-04</t>
  </si>
  <si>
    <t>Massie, Thomas</t>
  </si>
  <si>
    <t>KY-05</t>
  </si>
  <si>
    <t>Rogers, Hal</t>
  </si>
  <si>
    <t>KY-06</t>
  </si>
  <si>
    <t>Barr, Andy</t>
  </si>
  <si>
    <t>LA-01</t>
  </si>
  <si>
    <t>Scalise, Steve</t>
  </si>
  <si>
    <t>LA-02</t>
  </si>
  <si>
    <t>Richmond, Cedric</t>
  </si>
  <si>
    <t>LA-03</t>
  </si>
  <si>
    <t>Boustany, Charles</t>
  </si>
  <si>
    <t>LA-04</t>
  </si>
  <si>
    <t>Fleming, John</t>
  </si>
  <si>
    <t>LA-05</t>
  </si>
  <si>
    <t>Abraham, Ralph</t>
  </si>
  <si>
    <t>LA-06</t>
  </si>
  <si>
    <t>Graves, Garret</t>
  </si>
  <si>
    <t>MA-01</t>
  </si>
  <si>
    <t>Neal, Richard</t>
  </si>
  <si>
    <t>MA-02</t>
  </si>
  <si>
    <t>McGovern, Jim</t>
  </si>
  <si>
    <t>MA-03</t>
  </si>
  <si>
    <t>Tsongas, Niki</t>
  </si>
  <si>
    <t>MA-04</t>
  </si>
  <si>
    <t>Kennedy, Joe</t>
  </si>
  <si>
    <t>MA-05</t>
  </si>
  <si>
    <t>Clark, Katherine</t>
  </si>
  <si>
    <t>MA-06</t>
  </si>
  <si>
    <t>Moulton, Seth</t>
  </si>
  <si>
    <t>MA-07</t>
  </si>
  <si>
    <t>Capuano, Mike</t>
  </si>
  <si>
    <t>MA-08</t>
  </si>
  <si>
    <t>Lynch, Stephen</t>
  </si>
  <si>
    <t>MA-09</t>
  </si>
  <si>
    <t>Keating, Bill</t>
  </si>
  <si>
    <t>MD-01</t>
  </si>
  <si>
    <t>Harris, Andy</t>
  </si>
  <si>
    <t>MD-02</t>
  </si>
  <si>
    <t>Ruppersberger, Dutch</t>
  </si>
  <si>
    <t>MD-03</t>
  </si>
  <si>
    <t>Sarbanes, John</t>
  </si>
  <si>
    <t>MD-04</t>
  </si>
  <si>
    <t>Edwards, Donna</t>
  </si>
  <si>
    <t>MD-05</t>
  </si>
  <si>
    <t>Hoyer, Steny</t>
  </si>
  <si>
    <t>MD-06</t>
  </si>
  <si>
    <t>Delaney, John</t>
  </si>
  <si>
    <t>MD-07</t>
  </si>
  <si>
    <t>Cummings, Elijah</t>
  </si>
  <si>
    <t>MD-08</t>
  </si>
  <si>
    <t>Van Hollen, Chris</t>
  </si>
  <si>
    <t>ME-01</t>
  </si>
  <si>
    <t>Pingree, Chellie</t>
  </si>
  <si>
    <t>ME-02</t>
  </si>
  <si>
    <t>Poliquin, Bruce</t>
  </si>
  <si>
    <t>MI-01</t>
  </si>
  <si>
    <t>Benishek, Dan</t>
  </si>
  <si>
    <t>MI-02</t>
  </si>
  <si>
    <t>Huizenga, Bill</t>
  </si>
  <si>
    <t>MI-03</t>
  </si>
  <si>
    <t>Amash, Justin</t>
  </si>
  <si>
    <t>MI-04</t>
  </si>
  <si>
    <t>Moolenaar, John</t>
  </si>
  <si>
    <t>MI-05</t>
  </si>
  <si>
    <t>Kildee, Dan</t>
  </si>
  <si>
    <t>MI-06</t>
  </si>
  <si>
    <t>Upton, Fred</t>
  </si>
  <si>
    <t>MI-07</t>
  </si>
  <si>
    <t>Walberg, Tim</t>
  </si>
  <si>
    <t>MI-08</t>
  </si>
  <si>
    <t>Bishop, Mike</t>
  </si>
  <si>
    <t>MI-09</t>
  </si>
  <si>
    <t>Levin, Sander</t>
  </si>
  <si>
    <t>MI-10</t>
  </si>
  <si>
    <t>Miller, Candice</t>
  </si>
  <si>
    <t>MI-11</t>
  </si>
  <si>
    <t>Trott, Dave</t>
  </si>
  <si>
    <t>MI-12</t>
  </si>
  <si>
    <t>Dingell, Debbie</t>
  </si>
  <si>
    <t>MI-13</t>
  </si>
  <si>
    <t>Conyers, John</t>
  </si>
  <si>
    <t>MI-14</t>
  </si>
  <si>
    <t>Lawrence, Brenda</t>
  </si>
  <si>
    <t>MN-01</t>
  </si>
  <si>
    <t>Walz, Tim</t>
  </si>
  <si>
    <t>MN-02</t>
  </si>
  <si>
    <t>Kline, John</t>
  </si>
  <si>
    <t>MN-03</t>
  </si>
  <si>
    <t>Paulsen, Erik</t>
  </si>
  <si>
    <t>MN-04</t>
  </si>
  <si>
    <t>McCollum, Betty</t>
  </si>
  <si>
    <t>MN-05</t>
  </si>
  <si>
    <t>Ellison, Keith</t>
  </si>
  <si>
    <t>MN-06</t>
  </si>
  <si>
    <t>Emmer, Tom</t>
  </si>
  <si>
    <t>MN-07</t>
  </si>
  <si>
    <t>Peterson, Collin</t>
  </si>
  <si>
    <t>MN-08</t>
  </si>
  <si>
    <t>Nolan, Rick</t>
  </si>
  <si>
    <t>MO-01</t>
  </si>
  <si>
    <t>Clay, Lacy</t>
  </si>
  <si>
    <t>MO-02</t>
  </si>
  <si>
    <t>Wagner, Ann</t>
  </si>
  <si>
    <t>MO-03</t>
  </si>
  <si>
    <t>Luetkemeyer, Blaine</t>
  </si>
  <si>
    <t>MO-04</t>
  </si>
  <si>
    <t>Hartzler, Vicki</t>
  </si>
  <si>
    <t>MO-05</t>
  </si>
  <si>
    <t>Cleaver, Emanuel</t>
  </si>
  <si>
    <t>MO-06</t>
  </si>
  <si>
    <t>Graves, Sam</t>
  </si>
  <si>
    <t>MO-07</t>
  </si>
  <si>
    <t>Long, Billy</t>
  </si>
  <si>
    <t>MO-08</t>
  </si>
  <si>
    <t>Smith, Jason</t>
  </si>
  <si>
    <t>MS-01</t>
  </si>
  <si>
    <t>Kelly, Trent</t>
  </si>
  <si>
    <t>MS-02</t>
  </si>
  <si>
    <t>Thompson, Bennie</t>
  </si>
  <si>
    <t>MS-03</t>
  </si>
  <si>
    <t>Harper, Gregg</t>
  </si>
  <si>
    <t>MS-04</t>
  </si>
  <si>
    <t>Palazzo, Steven</t>
  </si>
  <si>
    <t>MT-AL</t>
  </si>
  <si>
    <t>Zinke, Ryan</t>
  </si>
  <si>
    <t>NC-01</t>
  </si>
  <si>
    <t>Butterfield, G.K.</t>
  </si>
  <si>
    <t>NC-02</t>
  </si>
  <si>
    <t>Ellmers, Renee</t>
  </si>
  <si>
    <t>NC-03</t>
  </si>
  <si>
    <t>Jones, Walter</t>
  </si>
  <si>
    <t>NC-04</t>
  </si>
  <si>
    <t>Price, David</t>
  </si>
  <si>
    <t>NC-05</t>
  </si>
  <si>
    <t>Foxx, Virginia</t>
  </si>
  <si>
    <t>NC-06</t>
  </si>
  <si>
    <t>Walker, Mark</t>
  </si>
  <si>
    <t>NC-07</t>
  </si>
  <si>
    <t>Rouzer, David</t>
  </si>
  <si>
    <t>NC-08</t>
  </si>
  <si>
    <t>Hudson, Richard</t>
  </si>
  <si>
    <t>NC-09</t>
  </si>
  <si>
    <t>Pittenger, Robert</t>
  </si>
  <si>
    <t>NC-10</t>
  </si>
  <si>
    <t>McHenry, Patrick</t>
  </si>
  <si>
    <t>NC-11</t>
  </si>
  <si>
    <t>Meadows, Mark</t>
  </si>
  <si>
    <t>NC-12</t>
  </si>
  <si>
    <t>Adams, Alma</t>
  </si>
  <si>
    <t>NC-13</t>
  </si>
  <si>
    <t>Holding, George</t>
  </si>
  <si>
    <t>ND-AL</t>
  </si>
  <si>
    <t>Cramer, Kevin</t>
  </si>
  <si>
    <t>NE-01</t>
  </si>
  <si>
    <t>Fortenberry, Jeff</t>
  </si>
  <si>
    <t>NE-02</t>
  </si>
  <si>
    <t>Ashford, Brad</t>
  </si>
  <si>
    <t>NE-03</t>
  </si>
  <si>
    <t>Smith, Adrian</t>
  </si>
  <si>
    <t>NH-01</t>
  </si>
  <si>
    <t>Guinta, Frank</t>
  </si>
  <si>
    <t>NH-02</t>
  </si>
  <si>
    <t>Kuster, Annie</t>
  </si>
  <si>
    <t>NJ-01</t>
  </si>
  <si>
    <t>Norcross, Donald</t>
  </si>
  <si>
    <t>NJ-02</t>
  </si>
  <si>
    <t>LoBiondo, Frank</t>
  </si>
  <si>
    <t>NJ-03</t>
  </si>
  <si>
    <t>MacArthur, Tom</t>
  </si>
  <si>
    <t>NJ-04</t>
  </si>
  <si>
    <t>Smith, Chris</t>
  </si>
  <si>
    <t>NJ-05</t>
  </si>
  <si>
    <t>Garrett, Scott</t>
  </si>
  <si>
    <t>NJ-06</t>
  </si>
  <si>
    <t>Pallone, Frank</t>
  </si>
  <si>
    <t>NJ-07</t>
  </si>
  <si>
    <t>Lance, Leonard</t>
  </si>
  <si>
    <t>NJ-08</t>
  </si>
  <si>
    <t>Sires, Albio</t>
  </si>
  <si>
    <t>NJ-09</t>
  </si>
  <si>
    <t>Pascrell, Bill</t>
  </si>
  <si>
    <t>NJ-10</t>
  </si>
  <si>
    <t>Payne, Donald</t>
  </si>
  <si>
    <t>NJ-11</t>
  </si>
  <si>
    <t>Frelinghuysen, Rodney</t>
  </si>
  <si>
    <t>NJ-12</t>
  </si>
  <si>
    <t>Watson Coleman, Bonnie</t>
  </si>
  <si>
    <t>NM-01</t>
  </si>
  <si>
    <t>Lujan Grisham, Michelle</t>
  </si>
  <si>
    <t>NM-02</t>
  </si>
  <si>
    <t>Pearce, Steve</t>
  </si>
  <si>
    <t>NM-03</t>
  </si>
  <si>
    <t>Lujan, Ben</t>
  </si>
  <si>
    <t>NV-01</t>
  </si>
  <si>
    <t>Titus, Dina</t>
  </si>
  <si>
    <t>NV-02</t>
  </si>
  <si>
    <t>Amodei, Mark</t>
  </si>
  <si>
    <t>NV-03</t>
  </si>
  <si>
    <t>Heck, Joe</t>
  </si>
  <si>
    <t>NV-04</t>
  </si>
  <si>
    <t>Hardy, Cresent</t>
  </si>
  <si>
    <t>NY-01</t>
  </si>
  <si>
    <t>Zeldin, Lee</t>
  </si>
  <si>
    <t>NY-02</t>
  </si>
  <si>
    <t>King, Peter</t>
  </si>
  <si>
    <t>NY-03</t>
  </si>
  <si>
    <t>Israel, Steve</t>
  </si>
  <si>
    <t>NY-04</t>
  </si>
  <si>
    <t>Rice, Kathleen</t>
  </si>
  <si>
    <t>NY-05</t>
  </si>
  <si>
    <t>Meeks, Gregory</t>
  </si>
  <si>
    <t>NY-06</t>
  </si>
  <si>
    <t>Meng, Grace</t>
  </si>
  <si>
    <t>NY-07</t>
  </si>
  <si>
    <t>Velazquez, Nydia</t>
  </si>
  <si>
    <t>NY-08</t>
  </si>
  <si>
    <t>Jeffries, Hakeem</t>
  </si>
  <si>
    <t>NY-09</t>
  </si>
  <si>
    <t>Clarke, Yvette</t>
  </si>
  <si>
    <t>NY-10</t>
  </si>
  <si>
    <t>Nadler, Jerrold</t>
  </si>
  <si>
    <t>NY-11</t>
  </si>
  <si>
    <t>Donovan, Dan</t>
  </si>
  <si>
    <t>NY-12</t>
  </si>
  <si>
    <t>Maloney, Carolyn</t>
  </si>
  <si>
    <t>NY-13</t>
  </si>
  <si>
    <t>Rangel, Charlie</t>
  </si>
  <si>
    <t>NY-14</t>
  </si>
  <si>
    <t>Crowley, Joe</t>
  </si>
  <si>
    <t>NY-15</t>
  </si>
  <si>
    <t>Serrano, Jose</t>
  </si>
  <si>
    <t>NY-16</t>
  </si>
  <si>
    <t>Engel, Eliot</t>
  </si>
  <si>
    <t>NY-17</t>
  </si>
  <si>
    <t>Lowey, Nita</t>
  </si>
  <si>
    <t>NY-18</t>
  </si>
  <si>
    <t>Maloney, Sean</t>
  </si>
  <si>
    <t>NY-19</t>
  </si>
  <si>
    <t>Gibson, Chris</t>
  </si>
  <si>
    <t>NY-20</t>
  </si>
  <si>
    <t>Tonko, Paul</t>
  </si>
  <si>
    <t>NY-21</t>
  </si>
  <si>
    <t>Stefanik, Elise</t>
  </si>
  <si>
    <t>NY-22</t>
  </si>
  <si>
    <t>Hanna, Richard</t>
  </si>
  <si>
    <t>NY-23</t>
  </si>
  <si>
    <t>Reed, Tom</t>
  </si>
  <si>
    <t>NY-24</t>
  </si>
  <si>
    <t>Katko, John</t>
  </si>
  <si>
    <t>NY-25</t>
  </si>
  <si>
    <t>Slaughter, Louise</t>
  </si>
  <si>
    <t>NY-26</t>
  </si>
  <si>
    <t>Higgins, Brian</t>
  </si>
  <si>
    <t>NY-27</t>
  </si>
  <si>
    <t>Collins, Chris</t>
  </si>
  <si>
    <t>OH-01</t>
  </si>
  <si>
    <t>Chabot, Steve</t>
  </si>
  <si>
    <t>OH-02</t>
  </si>
  <si>
    <t>Wenstrup, Brad</t>
  </si>
  <si>
    <t>OH-03</t>
  </si>
  <si>
    <t>Beatty, Joyce</t>
  </si>
  <si>
    <t>OH-04</t>
  </si>
  <si>
    <t>Jordan, Jim</t>
  </si>
  <si>
    <t>OH-05</t>
  </si>
  <si>
    <t>Latta, Bob</t>
  </si>
  <si>
    <t>OH-06</t>
  </si>
  <si>
    <t>Johnson, Bill</t>
  </si>
  <si>
    <t>OH-07</t>
  </si>
  <si>
    <t>Gibbs, Bob</t>
  </si>
  <si>
    <t>OH-08</t>
  </si>
  <si>
    <t>OH-09</t>
  </si>
  <si>
    <t>Kaptur, Marcy</t>
  </si>
  <si>
    <t>OH-10</t>
  </si>
  <si>
    <t>Turner, Michael</t>
  </si>
  <si>
    <t>OH-11</t>
  </si>
  <si>
    <t>Fudge, Marcia</t>
  </si>
  <si>
    <t>OH-12</t>
  </si>
  <si>
    <t>Tiberi, Patrick</t>
  </si>
  <si>
    <t>OH-13</t>
  </si>
  <si>
    <t>Ryan, Tim</t>
  </si>
  <si>
    <t>OH-14</t>
  </si>
  <si>
    <t>Joyce, David</t>
  </si>
  <si>
    <t>OH-15</t>
  </si>
  <si>
    <t>Stivers, Steve</t>
  </si>
  <si>
    <t>OH-16</t>
  </si>
  <si>
    <t>Renacci, Jim</t>
  </si>
  <si>
    <t>OK-01</t>
  </si>
  <si>
    <t>Bridenstine, Jim</t>
  </si>
  <si>
    <t>OK-02</t>
  </si>
  <si>
    <t>Mullin, Markwayne</t>
  </si>
  <si>
    <t>OK-03</t>
  </si>
  <si>
    <t>Lucas, Frank</t>
  </si>
  <si>
    <t>OK-04</t>
  </si>
  <si>
    <t>Cole, Tom</t>
  </si>
  <si>
    <t>OK-05</t>
  </si>
  <si>
    <t>Russell, Steve</t>
  </si>
  <si>
    <t>OR-01</t>
  </si>
  <si>
    <t>Bonamici, Suzanne</t>
  </si>
  <si>
    <t>OR-02</t>
  </si>
  <si>
    <t>Walden, Greg</t>
  </si>
  <si>
    <t>OR-03</t>
  </si>
  <si>
    <t>Blumenauer, Earl</t>
  </si>
  <si>
    <t>OR-04</t>
  </si>
  <si>
    <t>DeFazio, Peter</t>
  </si>
  <si>
    <t>OR-05</t>
  </si>
  <si>
    <t>Schrader, Kurt</t>
  </si>
  <si>
    <t>PA-01</t>
  </si>
  <si>
    <t>Brady, Bob</t>
  </si>
  <si>
    <t>PA-02</t>
  </si>
  <si>
    <t>Fattah, Chaka</t>
  </si>
  <si>
    <t>PA-03</t>
  </si>
  <si>
    <t>Kelly, Mike</t>
  </si>
  <si>
    <t>PA-04</t>
  </si>
  <si>
    <t>Perry, Scott</t>
  </si>
  <si>
    <t>PA-05</t>
  </si>
  <si>
    <t>Thompson, Glenn</t>
  </si>
  <si>
    <t>PA-06</t>
  </si>
  <si>
    <t>Costello, Ryan</t>
  </si>
  <si>
    <t>PA-07</t>
  </si>
  <si>
    <t>Meehan, Pat</t>
  </si>
  <si>
    <t>PA-08</t>
  </si>
  <si>
    <t>Fitzpatrick, Michael</t>
  </si>
  <si>
    <t>PA-09</t>
  </si>
  <si>
    <t>Schuster, Bill</t>
  </si>
  <si>
    <t>PA-10</t>
  </si>
  <si>
    <t>Marino, Tom</t>
  </si>
  <si>
    <t>PA-11</t>
  </si>
  <si>
    <t>Barletta, Lou</t>
  </si>
  <si>
    <t>PA-12</t>
  </si>
  <si>
    <t>Rothfus, Keith</t>
  </si>
  <si>
    <t>PA-13</t>
  </si>
  <si>
    <t>Boyle, Brendan</t>
  </si>
  <si>
    <t>PA-14</t>
  </si>
  <si>
    <t>Doyle, Michael</t>
  </si>
  <si>
    <t>PA-15</t>
  </si>
  <si>
    <t>Dent, Charlie</t>
  </si>
  <si>
    <t>PA-16</t>
  </si>
  <si>
    <t>Pitts, Joe</t>
  </si>
  <si>
    <t>PA-17</t>
  </si>
  <si>
    <t>Cartwright, Matt</t>
  </si>
  <si>
    <t>PA-18</t>
  </si>
  <si>
    <t>Murphy, Tim</t>
  </si>
  <si>
    <t>RI-01</t>
  </si>
  <si>
    <t>Cicilline, David</t>
  </si>
  <si>
    <t>RI-02</t>
  </si>
  <si>
    <t>Langevin, Jim</t>
  </si>
  <si>
    <t>SC-01</t>
  </si>
  <si>
    <t>Sanford, Mark</t>
  </si>
  <si>
    <t>SC-02</t>
  </si>
  <si>
    <t>Wilson, Joe</t>
  </si>
  <si>
    <t>SC-03</t>
  </si>
  <si>
    <t>Duncan, Jeff</t>
  </si>
  <si>
    <t>SC-04</t>
  </si>
  <si>
    <t>Gowdy, Trey</t>
  </si>
  <si>
    <t>SC-05</t>
  </si>
  <si>
    <t>Mulvaney, Mick</t>
  </si>
  <si>
    <t>SC-06</t>
  </si>
  <si>
    <t>Clyburn, Jim</t>
  </si>
  <si>
    <t>SC-07</t>
  </si>
  <si>
    <t>Rice, Tom</t>
  </si>
  <si>
    <t>SD-AL</t>
  </si>
  <si>
    <t>Noem, Kristi</t>
  </si>
  <si>
    <t>TN-01</t>
  </si>
  <si>
    <t>Roe, Phil</t>
  </si>
  <si>
    <t>TN-02</t>
  </si>
  <si>
    <t>Duncan, John</t>
  </si>
  <si>
    <t>TN-03</t>
  </si>
  <si>
    <t>Fleischmann, Chuck</t>
  </si>
  <si>
    <t>TN-04</t>
  </si>
  <si>
    <t>DesJarlais, Scott</t>
  </si>
  <si>
    <t>TN-05</t>
  </si>
  <si>
    <t>Cooper, Jim</t>
  </si>
  <si>
    <t>TN-06</t>
  </si>
  <si>
    <t>Black, Diane</t>
  </si>
  <si>
    <t>TN-07</t>
  </si>
  <si>
    <t>Blackburn, Marsha</t>
  </si>
  <si>
    <t>TN-08</t>
  </si>
  <si>
    <t>Fincher, Steve</t>
  </si>
  <si>
    <t>TN-09</t>
  </si>
  <si>
    <t>Cohen, Steve</t>
  </si>
  <si>
    <t>TX-01</t>
  </si>
  <si>
    <t>Gohmert, Louie</t>
  </si>
  <si>
    <t>TX-02</t>
  </si>
  <si>
    <t>Poe, Ted</t>
  </si>
  <si>
    <t>TX-03</t>
  </si>
  <si>
    <t>Johnson, Sam</t>
  </si>
  <si>
    <t>TX-04</t>
  </si>
  <si>
    <t>Ratcliffe, John</t>
  </si>
  <si>
    <t>TX-05</t>
  </si>
  <si>
    <t>Hensarling, Jeb</t>
  </si>
  <si>
    <t>TX-06</t>
  </si>
  <si>
    <t>Barton, Joe</t>
  </si>
  <si>
    <t>TX-07</t>
  </si>
  <si>
    <t>Culberson, John</t>
  </si>
  <si>
    <t>TX-08</t>
  </si>
  <si>
    <t>Brady, Kevin</t>
  </si>
  <si>
    <t>TX-09</t>
  </si>
  <si>
    <t>Green, Al</t>
  </si>
  <si>
    <t>TX-10</t>
  </si>
  <si>
    <t>McCaul, Michael</t>
  </si>
  <si>
    <t>TX-11</t>
  </si>
  <si>
    <t>Conaway, Michael</t>
  </si>
  <si>
    <t>TX-12</t>
  </si>
  <si>
    <t>Granger, Kay</t>
  </si>
  <si>
    <t>TX-13</t>
  </si>
  <si>
    <t>Thornberry, Mac</t>
  </si>
  <si>
    <t>TX-14</t>
  </si>
  <si>
    <t>Weber, Randy</t>
  </si>
  <si>
    <t>TX-15</t>
  </si>
  <si>
    <t>Hinojosa, Ruben</t>
  </si>
  <si>
    <t>TX-16</t>
  </si>
  <si>
    <t>O'Rourke, Beto</t>
  </si>
  <si>
    <t>TX-17</t>
  </si>
  <si>
    <t>Flores, Bill</t>
  </si>
  <si>
    <t>TX-18</t>
  </si>
  <si>
    <t>Jackson-Lee, Sheila</t>
  </si>
  <si>
    <t>TX-19</t>
  </si>
  <si>
    <t>Neugebauer, Randy</t>
  </si>
  <si>
    <t>TX-20</t>
  </si>
  <si>
    <t>Castro, Joaquin</t>
  </si>
  <si>
    <t>TX-21</t>
  </si>
  <si>
    <t>Smith, Lamar</t>
  </si>
  <si>
    <t>TX-22</t>
  </si>
  <si>
    <t>Olson, Pete</t>
  </si>
  <si>
    <t>TX-23</t>
  </si>
  <si>
    <t>Hurd, Will</t>
  </si>
  <si>
    <t>TX-24</t>
  </si>
  <si>
    <t>Marchant, Kenny</t>
  </si>
  <si>
    <t>TX-25</t>
  </si>
  <si>
    <t>Williams, Roger</t>
  </si>
  <si>
    <t>TX-26</t>
  </si>
  <si>
    <t>Burgess, Michael</t>
  </si>
  <si>
    <t>TX-27</t>
  </si>
  <si>
    <t>Farenthold, Blake</t>
  </si>
  <si>
    <t>TX-28</t>
  </si>
  <si>
    <t>Cuellar, Henry</t>
  </si>
  <si>
    <t>TX-29</t>
  </si>
  <si>
    <t>Green, Gene</t>
  </si>
  <si>
    <t>TX-30</t>
  </si>
  <si>
    <t>Johnson, E.B.</t>
  </si>
  <si>
    <t>TX-31</t>
  </si>
  <si>
    <t>Carter, John</t>
  </si>
  <si>
    <t>TX-32</t>
  </si>
  <si>
    <t>Sessions, Pete</t>
  </si>
  <si>
    <t>TX-33</t>
  </si>
  <si>
    <t>Veasey, Mark</t>
  </si>
  <si>
    <t>TX-34</t>
  </si>
  <si>
    <t>Vela, Filemon</t>
  </si>
  <si>
    <t>TX-35</t>
  </si>
  <si>
    <t>Doggett, Lloyd</t>
  </si>
  <si>
    <t>TX-36</t>
  </si>
  <si>
    <t>Babin, Brian</t>
  </si>
  <si>
    <t>UT-01</t>
  </si>
  <si>
    <t>Bishop, Rob</t>
  </si>
  <si>
    <t>UT-02</t>
  </si>
  <si>
    <t>Stewart, Chris</t>
  </si>
  <si>
    <t>UT-03</t>
  </si>
  <si>
    <t>Chaffetz, Jason</t>
  </si>
  <si>
    <t>UT-04</t>
  </si>
  <si>
    <t>Love, Mia</t>
  </si>
  <si>
    <t>VA-01</t>
  </si>
  <si>
    <t>Wittman, Rob</t>
  </si>
  <si>
    <t>VA-02</t>
  </si>
  <si>
    <t>Rigell, Scott</t>
  </si>
  <si>
    <t>VA-03</t>
  </si>
  <si>
    <t>Scott, Bobby</t>
  </si>
  <si>
    <t>VA-04</t>
  </si>
  <si>
    <t>Forbes, Randy</t>
  </si>
  <si>
    <t>VA-05</t>
  </si>
  <si>
    <t>Hurt, Robert</t>
  </si>
  <si>
    <t>VA-06</t>
  </si>
  <si>
    <t>Goodlatte, Bob</t>
  </si>
  <si>
    <t>VA-07</t>
  </si>
  <si>
    <t>Brat, Dave</t>
  </si>
  <si>
    <t>VA-08</t>
  </si>
  <si>
    <t>Beyer, Don</t>
  </si>
  <si>
    <t>VA-09</t>
  </si>
  <si>
    <t>Griffith, Morgan</t>
  </si>
  <si>
    <t>VA-10</t>
  </si>
  <si>
    <t>Comstock, Barbara</t>
  </si>
  <si>
    <t>VA-11</t>
  </si>
  <si>
    <t>Connolly, Gerry</t>
  </si>
  <si>
    <t>VT-AL</t>
  </si>
  <si>
    <t>Welch, Peter</t>
  </si>
  <si>
    <t>WA-01</t>
  </si>
  <si>
    <t>DelBene, Suzan</t>
  </si>
  <si>
    <t>WA-02</t>
  </si>
  <si>
    <t>Larsen, Rick</t>
  </si>
  <si>
    <t>WA-03</t>
  </si>
  <si>
    <t>Herrera Beutler, Jaime</t>
  </si>
  <si>
    <t>WA-04</t>
  </si>
  <si>
    <t>Newhouse, Dan</t>
  </si>
  <si>
    <t>WA-05</t>
  </si>
  <si>
    <t>McMorris Rodgers, Cathy</t>
  </si>
  <si>
    <t>WA-06</t>
  </si>
  <si>
    <t>Kilmer, Derek</t>
  </si>
  <si>
    <t>WA-07</t>
  </si>
  <si>
    <t>McDermott, Jim</t>
  </si>
  <si>
    <t>WA-08</t>
  </si>
  <si>
    <t>Reichert, David</t>
  </si>
  <si>
    <t>WA-09</t>
  </si>
  <si>
    <t>Smith, Adam</t>
  </si>
  <si>
    <t>WA-10</t>
  </si>
  <si>
    <t>Heck, Denny</t>
  </si>
  <si>
    <t>WI-01</t>
  </si>
  <si>
    <t>Ryan, Paul</t>
  </si>
  <si>
    <t>WI-02</t>
  </si>
  <si>
    <t>Pocan, Mark</t>
  </si>
  <si>
    <t>WI-03</t>
  </si>
  <si>
    <t>Kind, Ron</t>
  </si>
  <si>
    <t>WI-04</t>
  </si>
  <si>
    <t>Moore, Gwen</t>
  </si>
  <si>
    <t>WI-05</t>
  </si>
  <si>
    <t>Sensenbrenner, Jim</t>
  </si>
  <si>
    <t>WI-06</t>
  </si>
  <si>
    <t>Grothman, Glenn</t>
  </si>
  <si>
    <t>WI-07</t>
  </si>
  <si>
    <t>Duffy, Sean</t>
  </si>
  <si>
    <t>WI-08</t>
  </si>
  <si>
    <t>Ribble, Reid</t>
  </si>
  <si>
    <t>WV-01</t>
  </si>
  <si>
    <t>McKinley, David</t>
  </si>
  <si>
    <t>WV-02</t>
  </si>
  <si>
    <t>Mooney, Alex</t>
  </si>
  <si>
    <t>WV-03</t>
  </si>
  <si>
    <t>Jenkins, Evan</t>
  </si>
  <si>
    <t>WY-AL</t>
  </si>
  <si>
    <t>Lummis, Cynthia</t>
  </si>
  <si>
    <t>State</t>
  </si>
  <si>
    <t>Calculations</t>
  </si>
  <si>
    <t>AK</t>
  </si>
  <si>
    <t>At-large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</si>
  <si>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</si>
  <si>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</si>
  <si>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</si>
  <si>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</si>
  <si>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</si>
  <si>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</si>
  <si>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</si>
  <si>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</si>
  <si>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</si>
  <si>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</si>
  <si>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</si>
  <si>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</si>
  <si>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</si>
  <si>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</si>
  <si>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</si>
  <si>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</si>
  <si>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</si>
  <si>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</si>
  <si>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</si>
  <si>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</si>
  <si>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</si>
  <si>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</si>
  <si>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</si>
  <si>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</si>
  <si>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</si>
  <si>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</si>
  <si>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</si>
  <si>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</si>
  <si>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</si>
  <si>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</si>
  <si>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</si>
  <si>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</si>
  <si>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</si>
  <si>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</si>
  <si>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</si>
  <si>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</si>
  <si>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</si>
  <si>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</si>
  <si>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</si>
  <si>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</si>
  <si>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</si>
  <si>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</si>
  <si>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</si>
  <si>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</si>
  <si>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</si>
  <si>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</si>
  <si>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</si>
  <si>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</si>
  <si>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</si>
  <si>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Jurisdiction</t>
  </si>
  <si>
    <t>Official Source</t>
  </si>
  <si>
    <t>Link</t>
  </si>
  <si>
    <t>Statewide</t>
  </si>
  <si>
    <t>--</t>
  </si>
  <si>
    <t>In progress</t>
  </si>
  <si>
    <t>http://www.dailykos.com/i/user/303419/2012_Election_Results_for_Pres-by-CD_-_AR.zip</t>
  </si>
  <si>
    <t>http://www.dailykos.com/i/user/303419/2012_Election_Results_for_Pres-by-CD_-_AZ.zip</t>
  </si>
  <si>
    <t>Will be uploaded (1/18)</t>
  </si>
  <si>
    <t>http://www.dailykos.com/i/user/303419/2012_Election_Results_for_Pres-by-CD_-_CO.zip</t>
  </si>
  <si>
    <t>http://www.dailykos.com/i/user/303419/2012_Election_Results_for_Pres-by-CD_-_FL.zip</t>
  </si>
  <si>
    <t>Alachua</t>
  </si>
  <si>
    <t>Broward</t>
  </si>
  <si>
    <t>Clay</t>
  </si>
  <si>
    <t>Collier</t>
  </si>
  <si>
    <t>Duval</t>
  </si>
  <si>
    <t>Hendry</t>
  </si>
  <si>
    <t>Hillsborough</t>
  </si>
  <si>
    <t>Holmes</t>
  </si>
  <si>
    <t>Lake</t>
  </si>
  <si>
    <t>Lee</t>
  </si>
  <si>
    <t>Madison</t>
  </si>
  <si>
    <t>Manatee</t>
  </si>
  <si>
    <t>Marion</t>
  </si>
  <si>
    <t>Miami-Dade</t>
  </si>
  <si>
    <t>Orange</t>
  </si>
  <si>
    <t>Palm Beach</t>
  </si>
  <si>
    <t>Pinellas</t>
  </si>
  <si>
    <t>Polk</t>
  </si>
  <si>
    <t>Putnam</t>
  </si>
  <si>
    <t>Seminole</t>
  </si>
  <si>
    <t>Volusia</t>
  </si>
  <si>
    <t>http://www.dailykos.com/i/user/303419/2012_Election_Results_for_Pres-by-CD_-_GA.zip</t>
  </si>
  <si>
    <t>http://www.dailykos.com/i/user/303419/2012_Election_Results_by_Precinct_-_HI_Statewide.txt</t>
  </si>
  <si>
    <t>http://www.dailykos.com/i/user/303419/2012_Election_Results_by_County_-_IA_Statewide.xls</t>
  </si>
  <si>
    <t>http://www.dailykos.com/i/user/303419/2012_Election_Results_by_Precinct_-_ID_Statewide.xls</t>
  </si>
  <si>
    <t>Bond</t>
  </si>
  <si>
    <t>Bond Co. Clerk</t>
  </si>
  <si>
    <t>Champaign</t>
  </si>
  <si>
    <t>Champaign Co. Clerk</t>
  </si>
  <si>
    <t>Cook</t>
  </si>
  <si>
    <t>Cook Co. Clerk</t>
  </si>
  <si>
    <t>DeKalb</t>
  </si>
  <si>
    <t>DeKalb Co. Clerk</t>
  </si>
  <si>
    <t>DuPage</t>
  </si>
  <si>
    <t>DuPage Co. Election Commission</t>
  </si>
  <si>
    <t>Ford</t>
  </si>
  <si>
    <t>Ford Co. Clerk</t>
  </si>
  <si>
    <t>Kane</t>
  </si>
  <si>
    <t>Kane Co. Clerk</t>
  </si>
  <si>
    <t>Kendall</t>
  </si>
  <si>
    <t>Kendall Co. Clerk</t>
  </si>
  <si>
    <t>Lake Co. Clerk</t>
  </si>
  <si>
    <t>Madison Co. Clerk</t>
  </si>
  <si>
    <t>McHenry</t>
  </si>
  <si>
    <t>McHenry Co. Clerk</t>
  </si>
  <si>
    <t>McLean</t>
  </si>
  <si>
    <t>McLean Co. Clerk</t>
  </si>
  <si>
    <t>Peoria</t>
  </si>
  <si>
    <t>Peoria Co. Clerk</t>
  </si>
  <si>
    <t>Sangamon</t>
  </si>
  <si>
    <t>Sangamon Co. Clerk</t>
  </si>
  <si>
    <t>Stark</t>
  </si>
  <si>
    <t>Stark Co. Clerk/Recorder</t>
  </si>
  <si>
    <t>Tazewell</t>
  </si>
  <si>
    <t>Tazewell Co. Clerk</t>
  </si>
  <si>
    <t>Will</t>
  </si>
  <si>
    <t>Will Co. Clerk</t>
  </si>
  <si>
    <t>Winnebago</t>
  </si>
  <si>
    <t>Winnebago Co. Clerk</t>
  </si>
  <si>
    <t>City of Aurora</t>
  </si>
  <si>
    <t>Aurora Election Commission</t>
  </si>
  <si>
    <t>City of Bloomington</t>
  </si>
  <si>
    <t>Bloomington Election Commission</t>
  </si>
  <si>
    <t>City of Chicago</t>
  </si>
  <si>
    <t>Chicago Bd. of Election Commissioners</t>
  </si>
  <si>
    <t>City of Peoria</t>
  </si>
  <si>
    <t>Peoria Election Commission</t>
  </si>
  <si>
    <t>City of Rockford</t>
  </si>
  <si>
    <t>Rockford Bd. of Elections</t>
  </si>
  <si>
    <t>Will be uploaded (1/12)</t>
  </si>
  <si>
    <t>http://www.dailykos.com/i/user/303419/2012_Election_Results_for_Pres-by-CD_-_KS.zip</t>
  </si>
  <si>
    <t>Marshall</t>
  </si>
  <si>
    <t>Miami</t>
  </si>
  <si>
    <t>Pawnee</t>
  </si>
  <si>
    <t>http://www.dailykos.com/i/user/303419/2012_Election_Results_for_Pres-by-CD_-_KY.zip</t>
  </si>
  <si>
    <t>http://www.dailykos.com/i/user/303419/2012_Election_Results_for_Pres-by-CD_-_LA.zip</t>
  </si>
  <si>
    <t>http://www.dailykos.com/i/user/303419/2012_Election_Results_for_Pres-by-CD_-_MD.zip</t>
  </si>
  <si>
    <t>http://www.dailykos.com/i/user/303419/2012_Election_Results_by_Precinct_-_MN_Statewide.zip</t>
  </si>
  <si>
    <t>http://www.dailykos.com/i/user/303419/2012_Election_Results_for_Pres-by-CD_-_MS.zip</t>
  </si>
  <si>
    <t>http://www.dailykos.com/i/user/303419/2012_Election_Results_for_Pres-by-CD_-_NC.zip</t>
  </si>
  <si>
    <t>http://www.dailykos.com/i/user/303419/2012_Election_Results_by_Precinct_-_NH_Statewide.pdf</t>
  </si>
  <si>
    <t>http://www.dailykos.com/i/user/303419/2012_Election_Results_for_Pres-by-CD_-_NV.zip</t>
  </si>
  <si>
    <t>Clark</t>
  </si>
  <si>
    <t>Lyon</t>
  </si>
  <si>
    <t>http://www.dailykos.com/i/user/303419/2012_Election_Results_by_Precinct_-_OK_Statewide.zip</t>
  </si>
  <si>
    <t>http://www.dailykos.com/i/user/303419/2012_Election_Results_for_Pres-by-CD_-_OR.zip</t>
  </si>
  <si>
    <t>Benton</t>
  </si>
  <si>
    <t>Clackamas</t>
  </si>
  <si>
    <t>Josephine</t>
  </si>
  <si>
    <t>Multnomah</t>
  </si>
  <si>
    <t>http://www.dailykos.com/i/user/303419/2012_Election_Results_by_Precinct_-_RI_Statewide.zip</t>
  </si>
  <si>
    <t>http://www.dailykos.com/i/user/303419/2012_Election_Results_for_Pres-by-CD_-_SC.zip</t>
  </si>
  <si>
    <t>http://www.dailykos.com/i/user/303419/2012_Election_Results_by_Precinct_-_TN_Statewide.zip</t>
  </si>
  <si>
    <t>http://www.dailykos.com/i/user/303419/2012_Election_Results_for_Pres-by-CD_-_UT.zip</t>
  </si>
  <si>
    <t>Davis</t>
  </si>
  <si>
    <t>Juab</t>
  </si>
  <si>
    <t>Salt Lake</t>
  </si>
  <si>
    <t>Sanpete</t>
  </si>
  <si>
    <t>Utah</t>
  </si>
  <si>
    <t>http://www.dailykos.com/i/user/303419/2012_Election_Results_by_Precinct_-_WI_Statewide.zip</t>
  </si>
  <si>
    <t>Cert Date</t>
  </si>
  <si>
    <t>CDs</t>
  </si>
  <si>
    <t>Data Type</t>
  </si>
  <si>
    <t>Date Completed</t>
  </si>
  <si>
    <t>Data Source</t>
  </si>
  <si>
    <t>Notes</t>
  </si>
  <si>
    <t>Fully Complete</t>
  </si>
  <si>
    <t>Delaware</t>
  </si>
  <si>
    <t>SoS - Certification</t>
  </si>
  <si>
    <t>http://elections.delaware.gov/archive/elect12/elect12_general/html/election.shtml</t>
  </si>
  <si>
    <t>Oklahoma</t>
  </si>
  <si>
    <t>Precincts</t>
  </si>
  <si>
    <t>SoS - Statewide Precinct File</t>
  </si>
  <si>
    <t>http://www.ok.gov/elections/Candidates_&amp;_Elections/General_Election_-_November_6,_2012.html</t>
  </si>
  <si>
    <t>South Dakota</t>
  </si>
  <si>
    <t>http://sdsos.gov/content/html/elections/electvoterpdfs/2012/OfficialGeneralElectionStateCanvass.pdf</t>
  </si>
  <si>
    <t>Vermont</t>
  </si>
  <si>
    <t>http://vermont-elections.org/elections1/2012ElectionResults/2012GeneralElectionResults/2012GEStatewideCanvass.pdf</t>
  </si>
  <si>
    <t>Wyoming</t>
  </si>
  <si>
    <t>http://soswy.state.wy.us/Elections/Docs/2012/Results/General/2012_Statewide_Candidates_Summary.pdf</t>
  </si>
  <si>
    <t>Georgia</t>
  </si>
  <si>
    <t>SoS - Statewide Counties; SoS - Precincts</t>
  </si>
  <si>
    <t>http://results.enr.clarityelections.com/GA/42277/112424/en/summary.html</t>
  </si>
  <si>
    <t>South Carolina</t>
  </si>
  <si>
    <t>http://www.enr-scvotes.org/SC/42513/113010/en/summary.html</t>
  </si>
  <si>
    <t>Idaho</t>
  </si>
  <si>
    <t>Precincts/CDs</t>
  </si>
  <si>
    <t>http://www.sos.idaho.gov/elect/Results.htm</t>
  </si>
  <si>
    <t>CD calculation confirmed</t>
  </si>
  <si>
    <t>Arkansas</t>
  </si>
  <si>
    <t>http://results.enr.clarityelections.com/AR/42843/113050/en/summary.html</t>
  </si>
  <si>
    <t>North Dakota</t>
  </si>
  <si>
    <t>http://results.sos.nd.gov/resultsSW.aspx?text=Race&amp;type=SW&amp;map=CTY</t>
  </si>
  <si>
    <t>Louisiana</t>
  </si>
  <si>
    <t>http://electionresults.sos.la.gov/graphical/</t>
  </si>
  <si>
    <t>New Hampshire</t>
  </si>
  <si>
    <t>Towns</t>
  </si>
  <si>
    <t>SoS - Statewide Precinct Files</t>
  </si>
  <si>
    <t>http://sos.nh.gov/2012GenElectResults.aspx</t>
  </si>
  <si>
    <t>Hawaii</t>
  </si>
  <si>
    <t>http://hawaii.gov/elections/results/2012/general/</t>
  </si>
  <si>
    <t>Minnesota</t>
  </si>
  <si>
    <t>http://electionresults.sos.state.mn.us/enr/enr/home/1</t>
  </si>
  <si>
    <t>Statewide Reporting</t>
  </si>
  <si>
    <t>Rhode Island</t>
  </si>
  <si>
    <t>http://www.ri.gov/election/results/2012/general_election/</t>
  </si>
  <si>
    <t>Montana</t>
  </si>
  <si>
    <t>http://sos.mt.gov/elections/2012/2012_General_Canvass.pdf</t>
  </si>
  <si>
    <t>At-Large</t>
  </si>
  <si>
    <t>Alaska</t>
  </si>
  <si>
    <t>http://www.elections.alaska.gov/results/12GENR/data/results.htm</t>
  </si>
  <si>
    <t>Wisconsin</t>
  </si>
  <si>
    <t>SoS - Statewide Precinct FIle</t>
  </si>
  <si>
    <t>http://gab.wi.gov/elections-voting/results/2012/fall-general</t>
  </si>
  <si>
    <t>Kentucky</t>
  </si>
  <si>
    <t>http://elect.ky.gov/results/2010-2019/Pages/2012primaryandgeneralelectionresults.aspx</t>
  </si>
  <si>
    <t>Iowa</t>
  </si>
  <si>
    <t>Counties</t>
  </si>
  <si>
    <t>SoS - Statewide Counties</t>
  </si>
  <si>
    <t>http://electionresults.sos.iowa.gov/resultsSW.aspx?type=FED&amp;map=CTY</t>
  </si>
  <si>
    <t>Counties Only</t>
  </si>
  <si>
    <t>Nevada</t>
  </si>
  <si>
    <t>SoS - Statewide Counties; County BOEs - Precincts</t>
  </si>
  <si>
    <t>http://www.silverstateelection.com/</t>
  </si>
  <si>
    <t>Arizona</t>
  </si>
  <si>
    <t>http://results.enr.clarityelections.com/AZ/42050/113544/Web01/en/summary.html</t>
  </si>
  <si>
    <t>Mississippi</t>
  </si>
  <si>
    <t>http://www.sos.ms.gov/elections_results_2012_county.aspx</t>
  </si>
  <si>
    <t>Florida</t>
  </si>
  <si>
    <t>http://enight.elections.myflorida.com/CountyReportingStatus/</t>
  </si>
  <si>
    <t>Colorado</t>
  </si>
  <si>
    <t>http://www.sos.state.co.us/pubs/elections/main.html</t>
  </si>
  <si>
    <t>North Carolina</t>
  </si>
  <si>
    <t>http://results.enr.clarityelections.com/NC/42923/113873/Web01/en/summary.html</t>
  </si>
  <si>
    <t>Oregon</t>
  </si>
  <si>
    <t>http://oregonvotes.org/</t>
  </si>
  <si>
    <t>http://elections.utah.gov/election-resources/election-results</t>
  </si>
  <si>
    <t>Illinois</t>
  </si>
  <si>
    <t>http://elections.il.gov/electioninformation/DownloadVoteTotals.aspx</t>
  </si>
  <si>
    <t>Maryland</t>
  </si>
  <si>
    <t>http://www.elections.state.md.us/elections/2012/election_data/index.html</t>
  </si>
  <si>
    <t>Tennessee</t>
  </si>
  <si>
    <t>http://www.tn.gov/sos/election/results/2012-11/index.htm</t>
  </si>
  <si>
    <t>California</t>
  </si>
  <si>
    <t>Precincts/Partial CDs</t>
  </si>
  <si>
    <t>County BOEs - Partial CDs/Precincts</t>
  </si>
  <si>
    <t>http://www.sos.ca.gov/elections/sov/2012-general/</t>
  </si>
  <si>
    <t>New Mexico</t>
  </si>
  <si>
    <t>http://www.electionpeople.com/nmger2012/County/GroupByCountyTable.aspx</t>
  </si>
  <si>
    <t>Virginia</t>
  </si>
  <si>
    <t>https://www.voterinfo.sbe.virginia.gov/election/DATA/2012/68C30477-AAF2-46DD-994E-5D3BE8A89C9B/Official/1_s.shtml</t>
  </si>
  <si>
    <t>Washington</t>
  </si>
  <si>
    <t>SoS - Partial CDs</t>
  </si>
  <si>
    <t>https://wei.sos.wa.gov/agency/osos/en/press_and_research/PreviousElections/2012/General-Election/Pages/Results.aspx</t>
  </si>
  <si>
    <t>West Virginia</t>
  </si>
  <si>
    <t>http://apps.sos.wv.gov/elections/results/index.aspx?year=2012&amp;eid=13</t>
  </si>
  <si>
    <t>Kansas</t>
  </si>
  <si>
    <t>http://www.kssos.org/elections/elections_statistics.html</t>
  </si>
  <si>
    <t>Michigan</t>
  </si>
  <si>
    <t>http://miboecfr.nictusa.com/election/results/12GEN/</t>
  </si>
  <si>
    <t>Indiana</t>
  </si>
  <si>
    <t>http://www.in.gov/apps/sos/election/general/general2012</t>
  </si>
  <si>
    <t>Missouri</t>
  </si>
  <si>
    <t>http://enr.sos.mo.gov/ENR/Views/TabularData.aspx?TabView=StateRaces^%20%C2%A0%20%C2%A0%20Federal%20/%20Statewide%20Races%20%C2%A0%20%C2%A0^011656688155</t>
  </si>
  <si>
    <t>Ohio</t>
  </si>
  <si>
    <t>Partially Complete</t>
  </si>
  <si>
    <t>Alabama</t>
  </si>
  <si>
    <t>http://www.alabamaelectionresults.com/</t>
  </si>
  <si>
    <t>4 of 7 districts (1/3/2013)</t>
  </si>
  <si>
    <t>Pennsylvania</t>
  </si>
  <si>
    <t>http://www.electionreturns.state.pa.us/</t>
  </si>
  <si>
    <t>9 of 18 districts (1/13/2013)</t>
  </si>
  <si>
    <t>Texas</t>
  </si>
  <si>
    <t>http://elections.sos.state.tx.us/elchist.exe</t>
  </si>
  <si>
    <t>28 of 36 districts (1/9/2013)</t>
  </si>
  <si>
    <t>New York</t>
  </si>
  <si>
    <t>http://www.elections.ny.gov/2012ElectionResults.html</t>
  </si>
  <si>
    <t>22 of 27 districts (1/10/2013)</t>
  </si>
  <si>
    <t>To Be Started</t>
  </si>
  <si>
    <t>Maine</t>
  </si>
  <si>
    <t>http://www.maine.gov/sos/cec/elec/prior12-13.htm#nov</t>
  </si>
  <si>
    <t>New Jersey</t>
  </si>
  <si>
    <t>Towns + precincts</t>
  </si>
  <si>
    <t>http://nj.gov/state/elections/election-information.html</t>
  </si>
  <si>
    <t>Town Only Statewide Reporting</t>
  </si>
  <si>
    <t>Nebraska</t>
  </si>
  <si>
    <t>SoS - CDs</t>
  </si>
  <si>
    <t>Connecticut</t>
  </si>
  <si>
    <t>Massachusetts</t>
  </si>
  <si>
    <t>Rely on Boston Globe in interim; may be issues: http://www.dailykos.com/comments/1163009/48487700#c36</t>
  </si>
  <si>
    <t>AK-01</t>
  </si>
  <si>
    <t>DE-01</t>
  </si>
  <si>
    <t>MT-01</t>
  </si>
  <si>
    <t>ND-01</t>
  </si>
  <si>
    <t>SD-01</t>
  </si>
  <si>
    <t>VT-01</t>
  </si>
  <si>
    <t>WY-01</t>
  </si>
  <si>
    <t>…To be used for 2014</t>
  </si>
  <si>
    <t>DEM_PRCT_2012</t>
  </si>
  <si>
    <t>REP_PRCT_2012</t>
  </si>
  <si>
    <t>DEM_ADJ_2012</t>
  </si>
  <si>
    <t>REP_ADJ_2012</t>
  </si>
  <si>
    <t>LEAN_2012</t>
  </si>
  <si>
    <t>DEM_PRCT_2008</t>
  </si>
  <si>
    <t>REP_PRCT_2008</t>
  </si>
  <si>
    <t>DEM_ADJ_2008</t>
  </si>
  <si>
    <t>REP_ADJ_2008</t>
  </si>
  <si>
    <t>LEAN_2008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</si>
</sst>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m/d/yyyy\ h:mm:ss"/>
    <numFmt numFmtId="166" formatCode="mmmm\ d"/>
  </numFmts>
  <fonts count="25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Arial"/>
      <family val="2"/>
    </font>
    <font>
      <b/>
      <sz val="10"/>
      <color rgb="FF4A86E8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164" fontId="2" fillId="3" borderId="0" xfId="0" applyNumberFormat="1" applyFont="1" applyFill="1"/>
    <xf numFmtId="0" fontId="4" fillId="0" borderId="0" xfId="0" applyFont="1" applyAlignment="1">
      <alignment horizontal="center"/>
    </xf>
    <xf numFmtId="3" fontId="5" fillId="3" borderId="0" xfId="0" applyNumberFormat="1" applyFont="1" applyFill="1"/>
    <xf numFmtId="0" fontId="2" fillId="3" borderId="0" xfId="0" applyFont="1" applyFill="1"/>
    <xf numFmtId="164" fontId="5" fillId="3" borderId="0" xfId="0" applyNumberFormat="1" applyFont="1" applyFill="1"/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6" fillId="3" borderId="0" xfId="0" applyFont="1" applyFill="1" applyAlignment="1">
      <alignment wrapText="1"/>
    </xf>
    <xf numFmtId="3" fontId="7" fillId="3" borderId="0" xfId="0" applyNumberFormat="1" applyFont="1" applyFill="1"/>
    <xf numFmtId="164" fontId="8" fillId="3" borderId="0" xfId="0" applyNumberFormat="1" applyFont="1" applyFill="1"/>
    <xf numFmtId="164" fontId="2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9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2" fillId="4" borderId="2" xfId="0" applyFont="1" applyFill="1" applyBorder="1"/>
    <xf numFmtId="0" fontId="6" fillId="4" borderId="2" xfId="0" applyFont="1" applyFill="1" applyBorder="1" applyAlignment="1">
      <alignment wrapText="1"/>
    </xf>
    <xf numFmtId="0" fontId="14" fillId="4" borderId="2" xfId="0" applyFont="1" applyFill="1" applyBorder="1" applyAlignment="1">
      <alignment wrapText="1"/>
    </xf>
    <xf numFmtId="0" fontId="2" fillId="5" borderId="0" xfId="0" applyFont="1" applyFill="1"/>
    <xf numFmtId="0" fontId="15" fillId="5" borderId="0" xfId="0" applyFont="1" applyFill="1" applyAlignment="1">
      <alignment wrapText="1"/>
    </xf>
    <xf numFmtId="0" fontId="2" fillId="4" borderId="0" xfId="0" applyFont="1" applyFill="1"/>
    <xf numFmtId="0" fontId="6" fillId="4" borderId="0" xfId="0" applyFont="1" applyFill="1" applyAlignment="1">
      <alignment wrapText="1"/>
    </xf>
    <xf numFmtId="0" fontId="16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2" fillId="6" borderId="0" xfId="0" applyFont="1" applyFill="1"/>
    <xf numFmtId="0" fontId="6" fillId="6" borderId="0" xfId="0" applyFont="1" applyFill="1" applyAlignment="1">
      <alignment wrapText="1"/>
    </xf>
    <xf numFmtId="0" fontId="18" fillId="6" borderId="0" xfId="0" applyFont="1" applyFill="1" applyAlignment="1">
      <alignment wrapText="1"/>
    </xf>
    <xf numFmtId="0" fontId="19" fillId="6" borderId="0" xfId="0" applyFont="1" applyFill="1" applyAlignment="1">
      <alignment wrapText="1"/>
    </xf>
    <xf numFmtId="0" fontId="2" fillId="7" borderId="0" xfId="0" applyFont="1" applyFill="1"/>
    <xf numFmtId="0" fontId="6" fillId="7" borderId="0" xfId="0" applyFont="1" applyFill="1" applyAlignment="1">
      <alignment wrapText="1"/>
    </xf>
    <xf numFmtId="0" fontId="20" fillId="7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21" fillId="4" borderId="0" xfId="0" applyFont="1" applyFill="1"/>
    <xf numFmtId="0" fontId="13" fillId="0" borderId="0" xfId="0" applyFont="1" applyAlignment="1">
      <alignment horizontal="center" wrapText="1"/>
    </xf>
    <xf numFmtId="165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165" fontId="6" fillId="0" borderId="0" xfId="0" applyNumberFormat="1" applyFont="1" applyAlignment="1">
      <alignment wrapText="1"/>
    </xf>
    <xf numFmtId="0" fontId="6" fillId="0" borderId="0" xfId="0" applyFont="1"/>
    <xf numFmtId="166" fontId="6" fillId="0" borderId="0" xfId="0" applyNumberFormat="1" applyFont="1" applyAlignment="1">
      <alignment horizontal="left" wrapText="1"/>
    </xf>
    <xf numFmtId="14" fontId="6" fillId="0" borderId="0" xfId="0" applyNumberFormat="1" applyFont="1" applyAlignment="1">
      <alignment wrapText="1"/>
    </xf>
    <xf numFmtId="0" fontId="22" fillId="0" borderId="0" xfId="0" applyFont="1"/>
    <xf numFmtId="0" fontId="6" fillId="8" borderId="0" xfId="0" applyFont="1" applyFill="1" applyAlignment="1">
      <alignment wrapText="1"/>
    </xf>
    <xf numFmtId="14" fontId="2" fillId="3" borderId="0" xfId="0" applyNumberFormat="1" applyFont="1" applyFill="1" applyAlignment="1">
      <alignment wrapText="1"/>
    </xf>
    <xf numFmtId="14" fontId="6" fillId="3" borderId="0" xfId="0" applyNumberFormat="1" applyFont="1" applyFill="1" applyAlignment="1">
      <alignment wrapText="1"/>
    </xf>
    <xf numFmtId="0" fontId="13" fillId="0" borderId="0" xfId="0" applyFont="1"/>
    <xf numFmtId="0" fontId="6" fillId="9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165" fontId="6" fillId="0" borderId="0" xfId="0" applyNumberFormat="1" applyFont="1" applyAlignment="1">
      <alignment horizontal="left" wrapText="1"/>
    </xf>
    <xf numFmtId="14" fontId="2" fillId="5" borderId="0" xfId="0" applyNumberFormat="1" applyFont="1" applyFill="1" applyAlignment="1">
      <alignment wrapText="1"/>
    </xf>
    <xf numFmtId="14" fontId="6" fillId="5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6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3" fillId="0" borderId="0" xfId="0" applyFont="1" applyAlignment="1">
      <alignment horizontal="left" wrapText="1"/>
    </xf>
    <xf numFmtId="0" fontId="24" fillId="0" borderId="0" xfId="0" applyFont="1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ailykos.com/i/user/303419/2012_Election_Results_by_Precinct_-_ID_Statewide.xls" TargetMode="External"/><Relationship Id="rId13" Type="http://schemas.openxmlformats.org/officeDocument/2006/relationships/hyperlink" Target="http://www.dailykos.com/i/user/303419/2012_Election_Results_by_Precinct_-_MN_Statewide.zip" TargetMode="External"/><Relationship Id="rId18" Type="http://schemas.openxmlformats.org/officeDocument/2006/relationships/hyperlink" Target="http://www.dailykos.com/i/user/303419/2012_Election_Results_by_Precinct_-_OK_Statewide.zip" TargetMode="External"/><Relationship Id="rId3" Type="http://schemas.openxmlformats.org/officeDocument/2006/relationships/hyperlink" Target="http://www.dailykos.com/i/user/303419/2012_Election_Results_for_Pres-by-CD_-_CO.zip" TargetMode="External"/><Relationship Id="rId21" Type="http://schemas.openxmlformats.org/officeDocument/2006/relationships/hyperlink" Target="http://www.dailykos.com/i/user/303419/2012_Election_Results_for_Pres-by-CD_-_SC.zip" TargetMode="External"/><Relationship Id="rId7" Type="http://schemas.openxmlformats.org/officeDocument/2006/relationships/hyperlink" Target="http://www.dailykos.com/i/user/303419/2012_Election_Results_by_County_-_IA_Statewide.xls" TargetMode="External"/><Relationship Id="rId12" Type="http://schemas.openxmlformats.org/officeDocument/2006/relationships/hyperlink" Target="http://www.dailykos.com/i/user/303419/2012_Election_Results_for_Pres-by-CD_-_MD.zip" TargetMode="External"/><Relationship Id="rId17" Type="http://schemas.openxmlformats.org/officeDocument/2006/relationships/hyperlink" Target="http://www.dailykos.com/i/user/303419/2012_Election_Results_for_Pres-by-CD_-_NV.zip" TargetMode="External"/><Relationship Id="rId2" Type="http://schemas.openxmlformats.org/officeDocument/2006/relationships/hyperlink" Target="http://www.dailykos.com/i/user/303419/2012_Election_Results_for_Pres-by-CD_-_AZ.zip" TargetMode="External"/><Relationship Id="rId16" Type="http://schemas.openxmlformats.org/officeDocument/2006/relationships/hyperlink" Target="http://www.dailykos.com/i/user/303419/2012_Election_Results_by_Precinct_-_NH_Statewide.pdf" TargetMode="External"/><Relationship Id="rId20" Type="http://schemas.openxmlformats.org/officeDocument/2006/relationships/hyperlink" Target="http://www.dailykos.com/i/user/303419/2012_Election_Results_by_Precinct_-_RI_Statewide.zip" TargetMode="External"/><Relationship Id="rId1" Type="http://schemas.openxmlformats.org/officeDocument/2006/relationships/hyperlink" Target="http://www.dailykos.com/i/user/303419/2012_Election_Results_for_Pres-by-CD_-_AR.zip" TargetMode="External"/><Relationship Id="rId6" Type="http://schemas.openxmlformats.org/officeDocument/2006/relationships/hyperlink" Target="http://www.dailykos.com/i/user/303419/2012_Election_Results_by_Precinct_-_HI_Statewide.txt" TargetMode="External"/><Relationship Id="rId11" Type="http://schemas.openxmlformats.org/officeDocument/2006/relationships/hyperlink" Target="http://www.dailykos.com/i/user/303419/2012_Election_Results_for_Pres-by-CD_-_LA.zip" TargetMode="External"/><Relationship Id="rId24" Type="http://schemas.openxmlformats.org/officeDocument/2006/relationships/hyperlink" Target="http://www.dailykos.com/i/user/303419/2012_Election_Results_by_Precinct_-_WI_Statewide.zip" TargetMode="External"/><Relationship Id="rId5" Type="http://schemas.openxmlformats.org/officeDocument/2006/relationships/hyperlink" Target="http://www.dailykos.com/i/user/303419/2012_Election_Results_for_Pres-by-CD_-_GA.zip" TargetMode="External"/><Relationship Id="rId15" Type="http://schemas.openxmlformats.org/officeDocument/2006/relationships/hyperlink" Target="http://www.dailykos.com/i/user/303419/2012_Election_Results_for_Pres-by-CD_-_NC.zip" TargetMode="External"/><Relationship Id="rId23" Type="http://schemas.openxmlformats.org/officeDocument/2006/relationships/hyperlink" Target="http://www.dailykos.com/i/user/303419/2012_Election_Results_for_Pres-by-CD_-_UT.zip" TargetMode="External"/><Relationship Id="rId10" Type="http://schemas.openxmlformats.org/officeDocument/2006/relationships/hyperlink" Target="http://www.dailykos.com/i/user/303419/2012_Election_Results_for_Pres-by-CD_-_KY.zip" TargetMode="External"/><Relationship Id="rId19" Type="http://schemas.openxmlformats.org/officeDocument/2006/relationships/hyperlink" Target="http://www.dailykos.com/i/user/303419/2012_Election_Results_for_Pres-by-CD_-_OR.zip" TargetMode="External"/><Relationship Id="rId4" Type="http://schemas.openxmlformats.org/officeDocument/2006/relationships/hyperlink" Target="http://www.dailykos.com/i/user/303419/2012_Election_Results_for_Pres-by-CD_-_FL.zip" TargetMode="External"/><Relationship Id="rId9" Type="http://schemas.openxmlformats.org/officeDocument/2006/relationships/hyperlink" Target="http://www.dailykos.com/i/user/303419/2012_Election_Results_for_Pres-by-CD_-_KS.zip" TargetMode="External"/><Relationship Id="rId14" Type="http://schemas.openxmlformats.org/officeDocument/2006/relationships/hyperlink" Target="http://www.dailykos.com/i/user/303419/2012_Election_Results_for_Pres-by-CD_-_MS.zip" TargetMode="External"/><Relationship Id="rId22" Type="http://schemas.openxmlformats.org/officeDocument/2006/relationships/hyperlink" Target="http://www.dailykos.com/i/user/303419/2012_Election_Results_by_Precinct_-_TN_Statewide.zip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hawaii.gov/elections/results/2012/general/" TargetMode="External"/><Relationship Id="rId18" Type="http://schemas.openxmlformats.org/officeDocument/2006/relationships/hyperlink" Target="http://gab.wi.gov/elections-voting/results/2012/fall-general" TargetMode="External"/><Relationship Id="rId26" Type="http://schemas.openxmlformats.org/officeDocument/2006/relationships/hyperlink" Target="http://results.enr.clarityelections.com/NC/42923/113873/Web01/en/summary.html" TargetMode="External"/><Relationship Id="rId39" Type="http://schemas.openxmlformats.org/officeDocument/2006/relationships/hyperlink" Target="http://www.in.gov/apps/sos/election/general/general2012" TargetMode="External"/><Relationship Id="rId21" Type="http://schemas.openxmlformats.org/officeDocument/2006/relationships/hyperlink" Target="http://www.silverstateelection.com/" TargetMode="External"/><Relationship Id="rId34" Type="http://schemas.openxmlformats.org/officeDocument/2006/relationships/hyperlink" Target="https://www.voterinfo.sbe.virginia.gov/election/DATA/2012/68C30477-AAF2-46DD-994E-5D3BE8A89C9B/Official/1_s.shtml" TargetMode="External"/><Relationship Id="rId42" Type="http://schemas.openxmlformats.org/officeDocument/2006/relationships/hyperlink" Target="http://www.electionreturns.state.pa.us/" TargetMode="External"/><Relationship Id="rId7" Type="http://schemas.openxmlformats.org/officeDocument/2006/relationships/hyperlink" Target="http://www.enr-scvotes.org/SC/42513/113010/en/summary.html" TargetMode="External"/><Relationship Id="rId2" Type="http://schemas.openxmlformats.org/officeDocument/2006/relationships/hyperlink" Target="http://www.ok.gov/elections/Candidates_&amp;_Elections/General_Election_-_November_6,_2012.html" TargetMode="External"/><Relationship Id="rId16" Type="http://schemas.openxmlformats.org/officeDocument/2006/relationships/hyperlink" Target="http://sos.mt.gov/elections/2012/2012_General_Canvass.pdf" TargetMode="External"/><Relationship Id="rId29" Type="http://schemas.openxmlformats.org/officeDocument/2006/relationships/hyperlink" Target="http://elections.il.gov/electioninformation/DownloadVoteTotals.aspx" TargetMode="External"/><Relationship Id="rId1" Type="http://schemas.openxmlformats.org/officeDocument/2006/relationships/hyperlink" Target="http://elections.delaware.gov/archive/elect12/elect12_general/html/election.shtml" TargetMode="External"/><Relationship Id="rId6" Type="http://schemas.openxmlformats.org/officeDocument/2006/relationships/hyperlink" Target="http://results.enr.clarityelections.com/GA/42277/112424/en/summary.html" TargetMode="External"/><Relationship Id="rId11" Type="http://schemas.openxmlformats.org/officeDocument/2006/relationships/hyperlink" Target="http://electionresults.sos.la.gov/graphical/" TargetMode="External"/><Relationship Id="rId24" Type="http://schemas.openxmlformats.org/officeDocument/2006/relationships/hyperlink" Target="http://enight.elections.myflorida.com/CountyReportingStatus/" TargetMode="External"/><Relationship Id="rId32" Type="http://schemas.openxmlformats.org/officeDocument/2006/relationships/hyperlink" Target="http://www.sos.ca.gov/elections/sov/2012-general/" TargetMode="External"/><Relationship Id="rId37" Type="http://schemas.openxmlformats.org/officeDocument/2006/relationships/hyperlink" Target="http://www.kssos.org/elections/elections_statistics.html" TargetMode="External"/><Relationship Id="rId40" Type="http://schemas.openxmlformats.org/officeDocument/2006/relationships/hyperlink" Target="http://enr.sos.mo.gov/ENR/Views/TabularData.aspx?TabView=StateRaces%5E%20%C2%A0%20%C2%A0%20Federal%20/%20Statewide%20Races%20%C2%A0%20%C2%A0%5E011656688155" TargetMode="External"/><Relationship Id="rId45" Type="http://schemas.openxmlformats.org/officeDocument/2006/relationships/hyperlink" Target="http://www.maine.gov/sos/cec/elec/prior12-13.htm" TargetMode="External"/><Relationship Id="rId5" Type="http://schemas.openxmlformats.org/officeDocument/2006/relationships/hyperlink" Target="http://soswy.state.wy.us/Elections/Docs/2012/Results/General/2012_Statewide_Candidates_Summary.pdf" TargetMode="External"/><Relationship Id="rId15" Type="http://schemas.openxmlformats.org/officeDocument/2006/relationships/hyperlink" Target="http://www.ri.gov/election/results/2012/general_election/" TargetMode="External"/><Relationship Id="rId23" Type="http://schemas.openxmlformats.org/officeDocument/2006/relationships/hyperlink" Target="http://www.sos.ms.gov/elections_results_2012_county.aspx" TargetMode="External"/><Relationship Id="rId28" Type="http://schemas.openxmlformats.org/officeDocument/2006/relationships/hyperlink" Target="http://elections.utah.gov/election-resources/election-results" TargetMode="External"/><Relationship Id="rId36" Type="http://schemas.openxmlformats.org/officeDocument/2006/relationships/hyperlink" Target="http://apps.sos.wv.gov/elections/results/index.aspx?year=2012&amp;eid=13" TargetMode="External"/><Relationship Id="rId10" Type="http://schemas.openxmlformats.org/officeDocument/2006/relationships/hyperlink" Target="http://results.sos.nd.gov/resultsSW.aspx?text=Race&amp;type=SW&amp;map=CTY" TargetMode="External"/><Relationship Id="rId19" Type="http://schemas.openxmlformats.org/officeDocument/2006/relationships/hyperlink" Target="http://elect.ky.gov/results/2010-2019/Pages/2012primaryandgeneralelectionresults.aspx" TargetMode="External"/><Relationship Id="rId31" Type="http://schemas.openxmlformats.org/officeDocument/2006/relationships/hyperlink" Target="http://www.tn.gov/sos/election/results/2012-11/index.htm" TargetMode="External"/><Relationship Id="rId44" Type="http://schemas.openxmlformats.org/officeDocument/2006/relationships/hyperlink" Target="http://www.elections.ny.gov/2012ElectionResults.html" TargetMode="External"/><Relationship Id="rId4" Type="http://schemas.openxmlformats.org/officeDocument/2006/relationships/hyperlink" Target="http://vermont-elections.org/elections1/2012ElectionResults/2012GeneralElectionResults/2012GEStatewideCanvass.pdf" TargetMode="External"/><Relationship Id="rId9" Type="http://schemas.openxmlformats.org/officeDocument/2006/relationships/hyperlink" Target="http://results.enr.clarityelections.com/AR/42843/113050/en/summary.html" TargetMode="External"/><Relationship Id="rId14" Type="http://schemas.openxmlformats.org/officeDocument/2006/relationships/hyperlink" Target="http://electionresults.sos.state.mn.us/enr/enr/home/1" TargetMode="External"/><Relationship Id="rId22" Type="http://schemas.openxmlformats.org/officeDocument/2006/relationships/hyperlink" Target="http://results.enr.clarityelections.com/AZ/42050/113544/Web01/en/summary.html" TargetMode="External"/><Relationship Id="rId27" Type="http://schemas.openxmlformats.org/officeDocument/2006/relationships/hyperlink" Target="http://oregonvotes.org/" TargetMode="External"/><Relationship Id="rId30" Type="http://schemas.openxmlformats.org/officeDocument/2006/relationships/hyperlink" Target="http://www.elections.state.md.us/elections/2012/election_data/index.html" TargetMode="External"/><Relationship Id="rId35" Type="http://schemas.openxmlformats.org/officeDocument/2006/relationships/hyperlink" Target="https://wei.sos.wa.gov/agency/osos/en/press_and_research/PreviousElections/2012/General-Election/Pages/Results.aspx" TargetMode="External"/><Relationship Id="rId43" Type="http://schemas.openxmlformats.org/officeDocument/2006/relationships/hyperlink" Target="http://elections.sos.state.tx.us/elchist.exe" TargetMode="External"/><Relationship Id="rId8" Type="http://schemas.openxmlformats.org/officeDocument/2006/relationships/hyperlink" Target="http://www.sos.idaho.gov/elect/Results.htm" TargetMode="External"/><Relationship Id="rId3" Type="http://schemas.openxmlformats.org/officeDocument/2006/relationships/hyperlink" Target="http://sdsos.gov/content/html/elections/electvoterpdfs/2012/OfficialGeneralElectionStateCanvass.pdf" TargetMode="External"/><Relationship Id="rId12" Type="http://schemas.openxmlformats.org/officeDocument/2006/relationships/hyperlink" Target="http://sos.nh.gov/2012GenElectResults.aspx" TargetMode="External"/><Relationship Id="rId17" Type="http://schemas.openxmlformats.org/officeDocument/2006/relationships/hyperlink" Target="http://www.elections.alaska.gov/results/12GENR/data/results.htm" TargetMode="External"/><Relationship Id="rId25" Type="http://schemas.openxmlformats.org/officeDocument/2006/relationships/hyperlink" Target="http://www.sos.state.co.us/pubs/elections/main.html" TargetMode="External"/><Relationship Id="rId33" Type="http://schemas.openxmlformats.org/officeDocument/2006/relationships/hyperlink" Target="http://www.electionpeople.com/nmger2012/County/GroupByCountyTable.aspx" TargetMode="External"/><Relationship Id="rId38" Type="http://schemas.openxmlformats.org/officeDocument/2006/relationships/hyperlink" Target="http://miboecfr.nictusa.com/election/results/12GEN/" TargetMode="External"/><Relationship Id="rId46" Type="http://schemas.openxmlformats.org/officeDocument/2006/relationships/hyperlink" Target="http://nj.gov/state/elections/election-information.html" TargetMode="External"/><Relationship Id="rId20" Type="http://schemas.openxmlformats.org/officeDocument/2006/relationships/hyperlink" Target="http://electionresults.sos.iowa.gov/resultsSW.aspx?type=FED&amp;map=CTY" TargetMode="External"/><Relationship Id="rId41" Type="http://schemas.openxmlformats.org/officeDocument/2006/relationships/hyperlink" Target="http://www.alabamaelectionresul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36"/>
  <sheetViews>
    <sheetView workbookViewId="0">
      <pane ySplit="1" topLeftCell="A2" activePane="bottomLeft" state="frozen"/>
      <selection pane="bottomLeft" activeCell="D2" sqref="D2"/>
    </sheetView>
  </sheetViews>
  <sheetFormatPr defaultColWidth="12.6328125" defaultRowHeight="12.75" customHeight="1" x14ac:dyDescent="0.25"/>
  <cols>
    <col min="1" max="1" width="6.08984375" customWidth="1"/>
    <col min="2" max="2" width="22" customWidth="1"/>
    <col min="3" max="3" width="5.08984375" customWidth="1"/>
    <col min="4" max="4" width="6.6328125" customWidth="1"/>
    <col min="5" max="5" width="7.6328125" customWidth="1"/>
    <col min="6" max="6" width="6.6328125" customWidth="1"/>
    <col min="7" max="7" width="6.90625" customWidth="1"/>
  </cols>
  <sheetData>
    <row r="1" spans="1:7" ht="12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2" customHeight="1" x14ac:dyDescent="0.25">
      <c r="A2" s="3" t="s">
        <v>7</v>
      </c>
      <c r="B2" s="3" t="s">
        <v>8</v>
      </c>
      <c r="C2" s="4" t="s">
        <v>9</v>
      </c>
      <c r="D2" s="5">
        <v>41.2</v>
      </c>
      <c r="E2" s="5">
        <v>55.3</v>
      </c>
      <c r="F2" s="6">
        <v>38.1</v>
      </c>
      <c r="G2" s="6">
        <v>59.7</v>
      </c>
    </row>
    <row r="3" spans="1:7" ht="12" customHeight="1" x14ac:dyDescent="0.25">
      <c r="A3" s="3" t="s">
        <v>10</v>
      </c>
      <c r="B3" s="3" t="s">
        <v>11</v>
      </c>
      <c r="C3" s="4" t="s">
        <v>9</v>
      </c>
      <c r="D3" s="5">
        <v>37.39</v>
      </c>
      <c r="E3" s="5">
        <v>61.8</v>
      </c>
      <c r="F3" s="6">
        <v>38.5</v>
      </c>
      <c r="G3" s="6">
        <v>60.9</v>
      </c>
    </row>
    <row r="4" spans="1:7" ht="12" customHeight="1" x14ac:dyDescent="0.25">
      <c r="A4" s="3" t="s">
        <v>12</v>
      </c>
      <c r="B4" s="3" t="s">
        <v>13</v>
      </c>
      <c r="C4" s="4" t="s">
        <v>9</v>
      </c>
      <c r="D4" s="6">
        <v>36.4</v>
      </c>
      <c r="E4" s="6">
        <v>62.9</v>
      </c>
      <c r="F4" s="6">
        <v>35</v>
      </c>
      <c r="G4" s="6">
        <v>64.5</v>
      </c>
    </row>
    <row r="5" spans="1:7" ht="12" customHeight="1" x14ac:dyDescent="0.25">
      <c r="A5" s="3" t="s">
        <v>14</v>
      </c>
      <c r="B5" s="3" t="s">
        <v>15</v>
      </c>
      <c r="C5" s="4" t="s">
        <v>9</v>
      </c>
      <c r="D5" s="6">
        <v>36.799999999999997</v>
      </c>
      <c r="E5" s="6">
        <v>62.3</v>
      </c>
      <c r="F5" s="6">
        <v>36.6</v>
      </c>
      <c r="G5" s="6">
        <v>62.6</v>
      </c>
    </row>
    <row r="6" spans="1:7" ht="12" customHeight="1" x14ac:dyDescent="0.25">
      <c r="A6" s="3" t="s">
        <v>16</v>
      </c>
      <c r="B6" s="3" t="s">
        <v>17</v>
      </c>
      <c r="C6" s="4" t="s">
        <v>9</v>
      </c>
      <c r="D6" s="6">
        <v>24</v>
      </c>
      <c r="E6" s="6">
        <v>74.8</v>
      </c>
      <c r="F6" s="6">
        <v>25.5</v>
      </c>
      <c r="G6" s="6">
        <v>73.3</v>
      </c>
    </row>
    <row r="7" spans="1:7" ht="12" customHeight="1" x14ac:dyDescent="0.25">
      <c r="A7" s="3" t="s">
        <v>18</v>
      </c>
      <c r="B7" s="3" t="s">
        <v>19</v>
      </c>
      <c r="C7" s="4" t="s">
        <v>9</v>
      </c>
      <c r="D7" s="6">
        <v>34.9</v>
      </c>
      <c r="E7" s="6">
        <v>63.9</v>
      </c>
      <c r="F7" s="6">
        <v>36.299999999999997</v>
      </c>
      <c r="G7" s="6">
        <v>62.6</v>
      </c>
    </row>
    <row r="8" spans="1:7" ht="12" customHeight="1" x14ac:dyDescent="0.25">
      <c r="A8" s="3" t="s">
        <v>20</v>
      </c>
      <c r="B8" s="3" t="s">
        <v>21</v>
      </c>
      <c r="C8" s="4" t="s">
        <v>9</v>
      </c>
      <c r="D8" s="6">
        <v>24.7</v>
      </c>
      <c r="E8" s="6">
        <v>74.3</v>
      </c>
      <c r="F8" s="6">
        <v>25</v>
      </c>
      <c r="G8" s="6">
        <v>74.099999999999994</v>
      </c>
    </row>
    <row r="9" spans="1:7" ht="12" customHeight="1" x14ac:dyDescent="0.25">
      <c r="A9" s="3" t="s">
        <v>22</v>
      </c>
      <c r="B9" s="3" t="s">
        <v>23</v>
      </c>
      <c r="C9" s="7" t="s">
        <v>24</v>
      </c>
      <c r="D9" s="6">
        <v>72.400000000000006</v>
      </c>
      <c r="E9" s="6">
        <v>27.1</v>
      </c>
      <c r="F9" s="6">
        <v>71.5</v>
      </c>
      <c r="G9" s="6">
        <v>28.1</v>
      </c>
    </row>
    <row r="10" spans="1:7" ht="12" customHeight="1" x14ac:dyDescent="0.25">
      <c r="A10" s="3" t="s">
        <v>25</v>
      </c>
      <c r="B10" s="3" t="s">
        <v>26</v>
      </c>
      <c r="C10" s="4" t="s">
        <v>9</v>
      </c>
      <c r="D10" s="5">
        <v>36.299999999999997</v>
      </c>
      <c r="E10" s="5">
        <v>61</v>
      </c>
      <c r="F10" s="6">
        <v>39.200000000000003</v>
      </c>
      <c r="G10" s="6">
        <v>58</v>
      </c>
    </row>
    <row r="11" spans="1:7" ht="12" customHeight="1" x14ac:dyDescent="0.25">
      <c r="A11" s="3" t="s">
        <v>27</v>
      </c>
      <c r="B11" s="3" t="s">
        <v>28</v>
      </c>
      <c r="C11" s="4" t="s">
        <v>9</v>
      </c>
      <c r="D11" s="5">
        <v>42.9</v>
      </c>
      <c r="E11" s="5">
        <v>54.7</v>
      </c>
      <c r="F11" s="6">
        <v>44.3</v>
      </c>
      <c r="G11" s="6">
        <v>53.8</v>
      </c>
    </row>
    <row r="12" spans="1:7" ht="12" customHeight="1" x14ac:dyDescent="0.25">
      <c r="A12" s="3" t="s">
        <v>29</v>
      </c>
      <c r="B12" s="3" t="s">
        <v>30</v>
      </c>
      <c r="C12" s="4" t="s">
        <v>9</v>
      </c>
      <c r="D12" s="5">
        <v>31.6</v>
      </c>
      <c r="E12" s="5">
        <v>65.5</v>
      </c>
      <c r="F12" s="6">
        <v>33.9</v>
      </c>
      <c r="G12" s="6">
        <v>63.7</v>
      </c>
    </row>
    <row r="13" spans="1:7" ht="12" customHeight="1" x14ac:dyDescent="0.25">
      <c r="A13" s="3" t="s">
        <v>31</v>
      </c>
      <c r="B13" s="3" t="s">
        <v>32</v>
      </c>
      <c r="C13" s="4" t="s">
        <v>9</v>
      </c>
      <c r="D13" s="5">
        <v>35.9</v>
      </c>
      <c r="E13" s="5">
        <v>61.8</v>
      </c>
      <c r="F13" s="6">
        <v>37.4</v>
      </c>
      <c r="G13" s="6">
        <v>59.9</v>
      </c>
    </row>
    <row r="14" spans="1:7" ht="12" customHeight="1" x14ac:dyDescent="0.25">
      <c r="A14" s="3" t="s">
        <v>33</v>
      </c>
      <c r="B14" s="3" t="s">
        <v>34</v>
      </c>
      <c r="C14" s="7" t="s">
        <v>24</v>
      </c>
      <c r="D14" s="5">
        <v>47.9</v>
      </c>
      <c r="E14" s="5">
        <v>50.4</v>
      </c>
      <c r="F14" s="6">
        <v>47.8</v>
      </c>
      <c r="G14" s="6">
        <v>51</v>
      </c>
    </row>
    <row r="15" spans="1:7" ht="12" customHeight="1" x14ac:dyDescent="0.25">
      <c r="A15" s="3" t="s">
        <v>35</v>
      </c>
      <c r="B15" s="3" t="s">
        <v>36</v>
      </c>
      <c r="C15" s="4" t="s">
        <v>9</v>
      </c>
      <c r="D15" s="5">
        <v>48.4</v>
      </c>
      <c r="E15" s="5">
        <v>49.9</v>
      </c>
      <c r="F15" s="6">
        <v>48.9</v>
      </c>
      <c r="G15" s="6">
        <v>49.8</v>
      </c>
    </row>
    <row r="16" spans="1:7" ht="12" customHeight="1" x14ac:dyDescent="0.25">
      <c r="A16" s="3" t="s">
        <v>37</v>
      </c>
      <c r="B16" s="3" t="s">
        <v>38</v>
      </c>
      <c r="C16" s="7" t="s">
        <v>24</v>
      </c>
      <c r="D16" s="5">
        <v>61.4</v>
      </c>
      <c r="E16" s="5">
        <v>36.9</v>
      </c>
      <c r="F16" s="6">
        <v>58.2</v>
      </c>
      <c r="G16" s="6">
        <v>40.700000000000003</v>
      </c>
    </row>
    <row r="17" spans="1:7" ht="12" customHeight="1" x14ac:dyDescent="0.25">
      <c r="A17" s="3" t="s">
        <v>39</v>
      </c>
      <c r="B17" s="3" t="s">
        <v>40</v>
      </c>
      <c r="C17" s="4" t="s">
        <v>9</v>
      </c>
      <c r="D17" s="5">
        <v>31</v>
      </c>
      <c r="E17" s="5">
        <v>67.2</v>
      </c>
      <c r="F17" s="6">
        <v>34.4</v>
      </c>
      <c r="G17" s="6">
        <v>64.2</v>
      </c>
    </row>
    <row r="18" spans="1:7" ht="12" customHeight="1" x14ac:dyDescent="0.25">
      <c r="A18" s="3" t="s">
        <v>41</v>
      </c>
      <c r="B18" s="3" t="s">
        <v>42</v>
      </c>
      <c r="C18" s="4" t="s">
        <v>9</v>
      </c>
      <c r="D18" s="5">
        <v>34.6</v>
      </c>
      <c r="E18" s="5">
        <v>63.8</v>
      </c>
      <c r="F18" s="6">
        <v>36.299999999999997</v>
      </c>
      <c r="G18" s="6">
        <v>62.6</v>
      </c>
    </row>
    <row r="19" spans="1:7" ht="12" customHeight="1" x14ac:dyDescent="0.25">
      <c r="A19" s="3" t="s">
        <v>43</v>
      </c>
      <c r="B19" s="3" t="s">
        <v>44</v>
      </c>
      <c r="C19" s="4" t="s">
        <v>9</v>
      </c>
      <c r="D19" s="5">
        <v>38.799999999999997</v>
      </c>
      <c r="E19" s="5">
        <v>59.5</v>
      </c>
      <c r="F19" s="6">
        <v>41.2</v>
      </c>
      <c r="G19" s="6">
        <v>57.7</v>
      </c>
    </row>
    <row r="20" spans="1:7" ht="12" customHeight="1" x14ac:dyDescent="0.25">
      <c r="A20" s="3" t="s">
        <v>45</v>
      </c>
      <c r="B20" s="3" t="s">
        <v>46</v>
      </c>
      <c r="C20" s="7" t="s">
        <v>24</v>
      </c>
      <c r="D20" s="5">
        <v>71.7</v>
      </c>
      <c r="E20" s="5">
        <v>26.5</v>
      </c>
      <c r="F20" s="6">
        <v>64.7</v>
      </c>
      <c r="G20" s="6">
        <v>34.1</v>
      </c>
    </row>
    <row r="21" spans="1:7" ht="12" customHeight="1" x14ac:dyDescent="0.25">
      <c r="A21" s="3" t="s">
        <v>47</v>
      </c>
      <c r="B21" s="3" t="s">
        <v>48</v>
      </c>
      <c r="C21" s="4" t="s">
        <v>9</v>
      </c>
      <c r="D21" s="5">
        <v>36.9</v>
      </c>
      <c r="E21" s="5">
        <v>61.7</v>
      </c>
      <c r="F21" s="6">
        <v>38.4</v>
      </c>
      <c r="G21" s="6">
        <v>60.6</v>
      </c>
    </row>
    <row r="22" spans="1:7" ht="12" customHeight="1" x14ac:dyDescent="0.25">
      <c r="A22" s="3" t="s">
        <v>49</v>
      </c>
      <c r="B22" s="3" t="s">
        <v>50</v>
      </c>
      <c r="C22" s="7" t="s">
        <v>24</v>
      </c>
      <c r="D22" s="5">
        <v>51.1</v>
      </c>
      <c r="E22" s="5">
        <v>46.6</v>
      </c>
      <c r="F22" s="6">
        <v>51.3</v>
      </c>
      <c r="G22" s="6">
        <v>47.4</v>
      </c>
    </row>
    <row r="23" spans="1:7" ht="12" customHeight="1" x14ac:dyDescent="0.3">
      <c r="A23" s="3" t="s">
        <v>51</v>
      </c>
      <c r="B23" s="3" t="s">
        <v>52</v>
      </c>
      <c r="C23" s="4" t="s">
        <v>9</v>
      </c>
      <c r="D23" s="5">
        <v>40.299999999999997</v>
      </c>
      <c r="E23" s="5">
        <v>56.6</v>
      </c>
      <c r="F23" s="8">
        <v>42</v>
      </c>
      <c r="G23" s="8">
        <v>53</v>
      </c>
    </row>
    <row r="24" spans="1:7" ht="12" customHeight="1" x14ac:dyDescent="0.3">
      <c r="A24" s="3" t="s">
        <v>53</v>
      </c>
      <c r="B24" s="3" t="s">
        <v>54</v>
      </c>
      <c r="C24" s="7" t="s">
        <v>24</v>
      </c>
      <c r="D24" s="5">
        <v>69</v>
      </c>
      <c r="E24" s="5">
        <v>27</v>
      </c>
      <c r="F24" s="8">
        <v>71</v>
      </c>
      <c r="G24" s="8">
        <v>25</v>
      </c>
    </row>
    <row r="25" spans="1:7" ht="12" customHeight="1" x14ac:dyDescent="0.3">
      <c r="A25" s="3" t="s">
        <v>55</v>
      </c>
      <c r="B25" s="3" t="s">
        <v>56</v>
      </c>
      <c r="C25" s="7" t="s">
        <v>24</v>
      </c>
      <c r="D25" s="5">
        <v>54.3</v>
      </c>
      <c r="E25" s="5">
        <v>43.1</v>
      </c>
      <c r="F25" s="8">
        <v>55</v>
      </c>
      <c r="G25" s="8">
        <v>42</v>
      </c>
    </row>
    <row r="26" spans="1:7" ht="12" customHeight="1" x14ac:dyDescent="0.3">
      <c r="A26" s="3" t="s">
        <v>57</v>
      </c>
      <c r="B26" s="3" t="s">
        <v>58</v>
      </c>
      <c r="C26" s="4" t="s">
        <v>9</v>
      </c>
      <c r="D26" s="5">
        <v>39.5</v>
      </c>
      <c r="E26" s="5">
        <v>57.9</v>
      </c>
      <c r="F26" s="8">
        <v>43</v>
      </c>
      <c r="G26" s="8">
        <v>54</v>
      </c>
    </row>
    <row r="27" spans="1:7" ht="12" customHeight="1" x14ac:dyDescent="0.3">
      <c r="A27" s="3" t="s">
        <v>59</v>
      </c>
      <c r="B27" s="3" t="s">
        <v>60</v>
      </c>
      <c r="C27" s="7" t="s">
        <v>24</v>
      </c>
      <c r="D27" s="5">
        <v>69.7</v>
      </c>
      <c r="E27" s="5">
        <v>27.5</v>
      </c>
      <c r="F27" s="8">
        <v>70</v>
      </c>
      <c r="G27" s="8">
        <v>26</v>
      </c>
    </row>
    <row r="28" spans="1:7" ht="12" customHeight="1" x14ac:dyDescent="0.3">
      <c r="A28" s="3" t="s">
        <v>61</v>
      </c>
      <c r="B28" s="3" t="s">
        <v>62</v>
      </c>
      <c r="C28" s="7" t="s">
        <v>24</v>
      </c>
      <c r="D28" s="5">
        <v>69.099999999999994</v>
      </c>
      <c r="E28" s="5">
        <v>28.3</v>
      </c>
      <c r="F28" s="8">
        <v>68</v>
      </c>
      <c r="G28" s="8">
        <v>29</v>
      </c>
    </row>
    <row r="29" spans="1:7" ht="12" customHeight="1" x14ac:dyDescent="0.3">
      <c r="A29" s="3" t="s">
        <v>63</v>
      </c>
      <c r="B29" s="3" t="s">
        <v>64</v>
      </c>
      <c r="C29" s="7" t="s">
        <v>24</v>
      </c>
      <c r="D29" s="5">
        <v>50.8</v>
      </c>
      <c r="E29" s="5">
        <v>46.8</v>
      </c>
      <c r="F29" s="8">
        <v>51</v>
      </c>
      <c r="G29" s="8">
        <v>46</v>
      </c>
    </row>
    <row r="30" spans="1:7" ht="12" customHeight="1" x14ac:dyDescent="0.3">
      <c r="A30" s="3" t="s">
        <v>65</v>
      </c>
      <c r="B30" s="3" t="s">
        <v>66</v>
      </c>
      <c r="C30" s="4" t="s">
        <v>9</v>
      </c>
      <c r="D30" s="5">
        <v>41.7</v>
      </c>
      <c r="E30" s="5">
        <v>55.6</v>
      </c>
      <c r="F30" s="8">
        <v>42</v>
      </c>
      <c r="G30" s="8">
        <v>55</v>
      </c>
    </row>
    <row r="31" spans="1:7" ht="12" customHeight="1" x14ac:dyDescent="0.3">
      <c r="A31" s="3" t="s">
        <v>67</v>
      </c>
      <c r="B31" s="3" t="s">
        <v>68</v>
      </c>
      <c r="C31" s="7" t="s">
        <v>24</v>
      </c>
      <c r="D31" s="5">
        <v>57.8</v>
      </c>
      <c r="E31" s="5">
        <v>40.1</v>
      </c>
      <c r="F31" s="8">
        <v>56</v>
      </c>
      <c r="G31" s="8">
        <v>41</v>
      </c>
    </row>
    <row r="32" spans="1:7" ht="12" customHeight="1" x14ac:dyDescent="0.3">
      <c r="A32" s="3" t="s">
        <v>69</v>
      </c>
      <c r="B32" s="3" t="s">
        <v>70</v>
      </c>
      <c r="C32" s="4" t="s">
        <v>9</v>
      </c>
      <c r="D32" s="5">
        <v>50.6</v>
      </c>
      <c r="E32" s="5">
        <v>47</v>
      </c>
      <c r="F32" s="8">
        <v>50</v>
      </c>
      <c r="G32" s="8">
        <v>47</v>
      </c>
    </row>
    <row r="33" spans="1:7" ht="12" customHeight="1" x14ac:dyDescent="0.3">
      <c r="A33" s="3" t="s">
        <v>71</v>
      </c>
      <c r="B33" s="3" t="s">
        <v>72</v>
      </c>
      <c r="C33" s="7" t="s">
        <v>24</v>
      </c>
      <c r="D33" s="5">
        <v>67.599999999999994</v>
      </c>
      <c r="E33" s="5">
        <v>30</v>
      </c>
      <c r="F33" s="8">
        <v>69</v>
      </c>
      <c r="G33" s="8">
        <v>28</v>
      </c>
    </row>
    <row r="34" spans="1:7" ht="12" customHeight="1" x14ac:dyDescent="0.3">
      <c r="A34" s="3" t="s">
        <v>73</v>
      </c>
      <c r="B34" s="3" t="s">
        <v>74</v>
      </c>
      <c r="C34" s="7" t="s">
        <v>24</v>
      </c>
      <c r="D34" s="5">
        <v>84.1</v>
      </c>
      <c r="E34" s="5">
        <v>12.5</v>
      </c>
      <c r="F34" s="8">
        <v>84</v>
      </c>
      <c r="G34" s="8">
        <v>13</v>
      </c>
    </row>
    <row r="35" spans="1:7" ht="12" customHeight="1" x14ac:dyDescent="0.3">
      <c r="A35" s="3" t="s">
        <v>75</v>
      </c>
      <c r="B35" s="3" t="s">
        <v>76</v>
      </c>
      <c r="C35" s="7" t="s">
        <v>24</v>
      </c>
      <c r="D35" s="5">
        <v>87.5</v>
      </c>
      <c r="E35" s="5">
        <v>9</v>
      </c>
      <c r="F35" s="8">
        <v>87</v>
      </c>
      <c r="G35" s="8">
        <v>10</v>
      </c>
    </row>
    <row r="36" spans="1:7" ht="12" customHeight="1" x14ac:dyDescent="0.3">
      <c r="A36" s="3" t="s">
        <v>77</v>
      </c>
      <c r="B36" s="3" t="s">
        <v>78</v>
      </c>
      <c r="C36" s="7" t="s">
        <v>24</v>
      </c>
      <c r="D36" s="5">
        <v>74.2</v>
      </c>
      <c r="E36" s="5">
        <v>23.6</v>
      </c>
      <c r="F36" s="8">
        <v>73</v>
      </c>
      <c r="G36" s="8">
        <v>24</v>
      </c>
    </row>
    <row r="37" spans="1:7" ht="12" customHeight="1" x14ac:dyDescent="0.3">
      <c r="A37" s="3" t="s">
        <v>79</v>
      </c>
      <c r="B37" s="3" t="s">
        <v>80</v>
      </c>
      <c r="C37" s="7" t="s">
        <v>24</v>
      </c>
      <c r="D37" s="5">
        <v>68</v>
      </c>
      <c r="E37" s="5">
        <v>29.8</v>
      </c>
      <c r="F37" s="8">
        <v>67</v>
      </c>
      <c r="G37" s="8">
        <v>30</v>
      </c>
    </row>
    <row r="38" spans="1:7" ht="12" customHeight="1" x14ac:dyDescent="0.3">
      <c r="A38" s="3" t="s">
        <v>81</v>
      </c>
      <c r="B38" s="3" t="s">
        <v>82</v>
      </c>
      <c r="C38" s="7" t="s">
        <v>24</v>
      </c>
      <c r="D38" s="5">
        <v>58.6</v>
      </c>
      <c r="E38" s="5">
        <v>39.4</v>
      </c>
      <c r="F38" s="8">
        <v>57</v>
      </c>
      <c r="G38" s="8">
        <v>40</v>
      </c>
    </row>
    <row r="39" spans="1:7" ht="12" customHeight="1" x14ac:dyDescent="0.3">
      <c r="A39" s="3" t="s">
        <v>83</v>
      </c>
      <c r="B39" s="3" t="s">
        <v>84</v>
      </c>
      <c r="C39" s="7" t="s">
        <v>24</v>
      </c>
      <c r="D39" s="5">
        <v>71.900000000000006</v>
      </c>
      <c r="E39" s="5">
        <v>25.5</v>
      </c>
      <c r="F39" s="8">
        <v>69</v>
      </c>
      <c r="G39" s="8">
        <v>28</v>
      </c>
    </row>
    <row r="40" spans="1:7" ht="12" customHeight="1" x14ac:dyDescent="0.3">
      <c r="A40" s="3" t="s">
        <v>85</v>
      </c>
      <c r="B40" s="3" t="s">
        <v>86</v>
      </c>
      <c r="C40" s="7" t="s">
        <v>24</v>
      </c>
      <c r="D40" s="5">
        <v>68.2</v>
      </c>
      <c r="E40" s="5">
        <v>28.9</v>
      </c>
      <c r="F40" s="8">
        <v>70</v>
      </c>
      <c r="G40" s="8">
        <v>27</v>
      </c>
    </row>
    <row r="41" spans="1:7" ht="12" customHeight="1" x14ac:dyDescent="0.3">
      <c r="A41" s="3" t="s">
        <v>87</v>
      </c>
      <c r="B41" s="3" t="s">
        <v>88</v>
      </c>
      <c r="C41" s="7" t="s">
        <v>24</v>
      </c>
      <c r="D41" s="5">
        <v>71.2</v>
      </c>
      <c r="E41" s="5">
        <v>26.5</v>
      </c>
      <c r="F41" s="8">
        <v>68</v>
      </c>
      <c r="G41" s="8">
        <v>29</v>
      </c>
    </row>
    <row r="42" spans="1:7" ht="12" customHeight="1" x14ac:dyDescent="0.3">
      <c r="A42" s="3" t="s">
        <v>89</v>
      </c>
      <c r="B42" s="3" t="s">
        <v>90</v>
      </c>
      <c r="C42" s="7" t="s">
        <v>24</v>
      </c>
      <c r="D42" s="5">
        <v>70.900000000000006</v>
      </c>
      <c r="E42" s="5">
        <v>26.2</v>
      </c>
      <c r="F42" s="8">
        <v>71</v>
      </c>
      <c r="G42" s="8">
        <v>26</v>
      </c>
    </row>
    <row r="43" spans="1:7" ht="12" customHeight="1" x14ac:dyDescent="0.3">
      <c r="A43" s="3" t="s">
        <v>91</v>
      </c>
      <c r="B43" s="3" t="s">
        <v>92</v>
      </c>
      <c r="C43" s="4" t="s">
        <v>9</v>
      </c>
      <c r="D43" s="5">
        <v>54.6</v>
      </c>
      <c r="E43" s="5">
        <v>43.5</v>
      </c>
      <c r="F43" s="8">
        <v>52</v>
      </c>
      <c r="G43" s="8">
        <v>46</v>
      </c>
    </row>
    <row r="44" spans="1:7" ht="12" customHeight="1" x14ac:dyDescent="0.3">
      <c r="A44" s="3" t="s">
        <v>93</v>
      </c>
      <c r="B44" s="3" t="s">
        <v>94</v>
      </c>
      <c r="C44" s="4" t="s">
        <v>9</v>
      </c>
      <c r="D44" s="5">
        <v>41.6</v>
      </c>
      <c r="E44" s="5">
        <v>56.6</v>
      </c>
      <c r="F44" s="8">
        <v>42</v>
      </c>
      <c r="G44" s="8">
        <v>55</v>
      </c>
    </row>
    <row r="45" spans="1:7" ht="12" customHeight="1" x14ac:dyDescent="0.3">
      <c r="A45" s="3" t="s">
        <v>95</v>
      </c>
      <c r="B45" s="3" t="s">
        <v>96</v>
      </c>
      <c r="C45" s="4" t="s">
        <v>9</v>
      </c>
      <c r="D45" s="5">
        <v>36.1</v>
      </c>
      <c r="E45" s="5">
        <v>61.5</v>
      </c>
      <c r="F45" s="8">
        <v>36</v>
      </c>
      <c r="G45" s="8">
        <v>61</v>
      </c>
    </row>
    <row r="46" spans="1:7" ht="12" customHeight="1" x14ac:dyDescent="0.3">
      <c r="A46" s="3" t="s">
        <v>97</v>
      </c>
      <c r="B46" s="3" t="s">
        <v>98</v>
      </c>
      <c r="C46" s="7" t="s">
        <v>24</v>
      </c>
      <c r="D46" s="5">
        <v>54.1</v>
      </c>
      <c r="E46" s="5">
        <v>43.1</v>
      </c>
      <c r="F46" s="8">
        <v>56</v>
      </c>
      <c r="G46" s="8">
        <v>41</v>
      </c>
    </row>
    <row r="47" spans="1:7" ht="12" customHeight="1" x14ac:dyDescent="0.3">
      <c r="A47" s="3" t="s">
        <v>99</v>
      </c>
      <c r="B47" s="3" t="s">
        <v>100</v>
      </c>
      <c r="C47" s="4" t="s">
        <v>9</v>
      </c>
      <c r="D47" s="5">
        <v>47.8</v>
      </c>
      <c r="E47" s="5">
        <v>49.7</v>
      </c>
      <c r="F47" s="8">
        <v>49</v>
      </c>
      <c r="G47" s="8">
        <v>48</v>
      </c>
    </row>
    <row r="48" spans="1:7" ht="12" customHeight="1" x14ac:dyDescent="0.3">
      <c r="A48" s="3" t="s">
        <v>101</v>
      </c>
      <c r="B48" s="3" t="s">
        <v>102</v>
      </c>
      <c r="C48" s="7" t="s">
        <v>24</v>
      </c>
      <c r="D48" s="5">
        <v>54</v>
      </c>
      <c r="E48" s="5">
        <v>43.7</v>
      </c>
      <c r="F48" s="8">
        <v>56</v>
      </c>
      <c r="G48" s="8">
        <v>41</v>
      </c>
    </row>
    <row r="49" spans="1:7" ht="12" customHeight="1" x14ac:dyDescent="0.3">
      <c r="A49" s="3" t="s">
        <v>103</v>
      </c>
      <c r="B49" s="3" t="s">
        <v>104</v>
      </c>
      <c r="C49" s="7" t="s">
        <v>24</v>
      </c>
      <c r="D49" s="5">
        <v>62.6</v>
      </c>
      <c r="E49" s="5">
        <v>35</v>
      </c>
      <c r="F49" s="8">
        <v>61</v>
      </c>
      <c r="G49" s="8">
        <v>35</v>
      </c>
    </row>
    <row r="50" spans="1:7" ht="12" customHeight="1" x14ac:dyDescent="0.3">
      <c r="A50" s="3" t="s">
        <v>105</v>
      </c>
      <c r="B50" s="3" t="s">
        <v>106</v>
      </c>
      <c r="C50" s="7" t="s">
        <v>24</v>
      </c>
      <c r="D50" s="5">
        <v>70.3</v>
      </c>
      <c r="E50" s="5">
        <v>26.5</v>
      </c>
      <c r="F50" s="8">
        <v>70</v>
      </c>
      <c r="G50" s="8">
        <v>26</v>
      </c>
    </row>
    <row r="51" spans="1:7" ht="12" customHeight="1" x14ac:dyDescent="0.3">
      <c r="A51" s="3" t="s">
        <v>107</v>
      </c>
      <c r="B51" s="3" t="s">
        <v>108</v>
      </c>
      <c r="C51" s="7" t="s">
        <v>24</v>
      </c>
      <c r="D51" s="5">
        <v>77</v>
      </c>
      <c r="E51" s="5">
        <v>20.5</v>
      </c>
      <c r="F51" s="8">
        <v>74</v>
      </c>
      <c r="G51" s="8">
        <v>23</v>
      </c>
    </row>
    <row r="52" spans="1:7" ht="12" customHeight="1" x14ac:dyDescent="0.3">
      <c r="A52" s="3" t="s">
        <v>109</v>
      </c>
      <c r="B52" s="3" t="s">
        <v>110</v>
      </c>
      <c r="C52" s="7" t="s">
        <v>24</v>
      </c>
      <c r="D52" s="5">
        <v>65.3</v>
      </c>
      <c r="E52" s="5">
        <v>32.1</v>
      </c>
      <c r="F52" s="8">
        <v>66</v>
      </c>
      <c r="G52" s="8">
        <v>31</v>
      </c>
    </row>
    <row r="53" spans="1:7" ht="12" customHeight="1" x14ac:dyDescent="0.3">
      <c r="A53" s="3" t="s">
        <v>111</v>
      </c>
      <c r="B53" s="3" t="s">
        <v>112</v>
      </c>
      <c r="C53" s="7" t="s">
        <v>24</v>
      </c>
      <c r="D53" s="5">
        <v>57.2</v>
      </c>
      <c r="E53" s="5">
        <v>40.6</v>
      </c>
      <c r="F53" s="8">
        <v>56</v>
      </c>
      <c r="G53" s="8">
        <v>41</v>
      </c>
    </row>
    <row r="54" spans="1:7" ht="12" customHeight="1" x14ac:dyDescent="0.3">
      <c r="A54" s="3" t="s">
        <v>113</v>
      </c>
      <c r="B54" s="3" t="s">
        <v>114</v>
      </c>
      <c r="C54" s="7" t="s">
        <v>24</v>
      </c>
      <c r="D54" s="5">
        <v>65.2</v>
      </c>
      <c r="E54" s="5">
        <v>32.5</v>
      </c>
      <c r="F54" s="8">
        <v>62</v>
      </c>
      <c r="G54" s="8">
        <v>35</v>
      </c>
    </row>
    <row r="55" spans="1:7" ht="12" customHeight="1" x14ac:dyDescent="0.3">
      <c r="A55" s="3" t="s">
        <v>115</v>
      </c>
      <c r="B55" s="3" t="s">
        <v>116</v>
      </c>
      <c r="C55" s="7" t="s">
        <v>24</v>
      </c>
      <c r="D55" s="5">
        <v>60.6</v>
      </c>
      <c r="E55" s="5">
        <v>36.799999999999997</v>
      </c>
      <c r="F55" s="8">
        <v>64</v>
      </c>
      <c r="G55" s="8">
        <v>33</v>
      </c>
    </row>
    <row r="56" spans="1:7" ht="12" customHeight="1" x14ac:dyDescent="0.3">
      <c r="A56" s="3" t="s">
        <v>117</v>
      </c>
      <c r="B56" s="3" t="s">
        <v>118</v>
      </c>
      <c r="C56" s="7" t="s">
        <v>24</v>
      </c>
      <c r="D56" s="5">
        <v>83</v>
      </c>
      <c r="E56" s="5">
        <v>14.1</v>
      </c>
      <c r="F56" s="8">
        <v>77</v>
      </c>
      <c r="G56" s="8">
        <v>19</v>
      </c>
    </row>
    <row r="57" spans="1:7" ht="12" customHeight="1" x14ac:dyDescent="0.3">
      <c r="A57" s="3" t="s">
        <v>119</v>
      </c>
      <c r="B57" s="3" t="s">
        <v>120</v>
      </c>
      <c r="C57" s="7" t="s">
        <v>24</v>
      </c>
      <c r="D57" s="5">
        <v>67.400000000000006</v>
      </c>
      <c r="E57" s="5">
        <v>30.6</v>
      </c>
      <c r="F57" s="8">
        <v>64</v>
      </c>
      <c r="G57" s="8">
        <v>32</v>
      </c>
    </row>
    <row r="58" spans="1:7" ht="12" customHeight="1" x14ac:dyDescent="0.3">
      <c r="A58" s="3" t="s">
        <v>121</v>
      </c>
      <c r="B58" s="3" t="s">
        <v>122</v>
      </c>
      <c r="C58" s="7" t="s">
        <v>24</v>
      </c>
      <c r="D58" s="5">
        <v>50.7</v>
      </c>
      <c r="E58" s="5">
        <v>47.5</v>
      </c>
      <c r="F58" s="8">
        <v>50</v>
      </c>
      <c r="G58" s="8">
        <v>47</v>
      </c>
    </row>
    <row r="59" spans="1:7" ht="12" customHeight="1" x14ac:dyDescent="0.3">
      <c r="A59" s="3" t="s">
        <v>123</v>
      </c>
      <c r="B59" s="3" t="s">
        <v>124</v>
      </c>
      <c r="C59" s="7" t="s">
        <v>24</v>
      </c>
      <c r="D59" s="5">
        <v>84.9</v>
      </c>
      <c r="E59" s="5">
        <v>12.7</v>
      </c>
      <c r="F59" s="8">
        <v>84</v>
      </c>
      <c r="G59" s="8">
        <v>13</v>
      </c>
    </row>
    <row r="60" spans="1:7" ht="12" customHeight="1" x14ac:dyDescent="0.3">
      <c r="A60" s="3" t="s">
        <v>125</v>
      </c>
      <c r="B60" s="3" t="s">
        <v>126</v>
      </c>
      <c r="C60" s="7" t="s">
        <v>24</v>
      </c>
      <c r="D60" s="5">
        <v>64.900000000000006</v>
      </c>
      <c r="E60" s="5">
        <v>33</v>
      </c>
      <c r="F60" s="8">
        <v>61</v>
      </c>
      <c r="G60" s="8">
        <v>35</v>
      </c>
    </row>
    <row r="61" spans="1:7" ht="12" customHeight="1" x14ac:dyDescent="0.3">
      <c r="A61" s="3" t="s">
        <v>127</v>
      </c>
      <c r="B61" s="3" t="s">
        <v>128</v>
      </c>
      <c r="C61" s="4" t="s">
        <v>9</v>
      </c>
      <c r="D61" s="5">
        <v>47.1</v>
      </c>
      <c r="E61" s="5">
        <v>50.8</v>
      </c>
      <c r="F61" s="8">
        <v>47</v>
      </c>
      <c r="G61" s="8">
        <v>49</v>
      </c>
    </row>
    <row r="62" spans="1:7" ht="12" customHeight="1" x14ac:dyDescent="0.3">
      <c r="A62" s="3" t="s">
        <v>129</v>
      </c>
      <c r="B62" s="3" t="s">
        <v>130</v>
      </c>
      <c r="C62" s="7" t="s">
        <v>24</v>
      </c>
      <c r="D62" s="5">
        <v>81.5</v>
      </c>
      <c r="E62" s="5">
        <v>16.5</v>
      </c>
      <c r="F62" s="8">
        <v>77</v>
      </c>
      <c r="G62" s="8">
        <v>19</v>
      </c>
    </row>
    <row r="63" spans="1:7" ht="12" customHeight="1" x14ac:dyDescent="0.3">
      <c r="A63" s="3" t="s">
        <v>131</v>
      </c>
      <c r="B63" s="3" t="s">
        <v>132</v>
      </c>
      <c r="C63" s="7" t="s">
        <v>24</v>
      </c>
      <c r="D63" s="5">
        <v>61.5</v>
      </c>
      <c r="E63" s="5">
        <v>36.299999999999997</v>
      </c>
      <c r="F63" s="8">
        <v>59</v>
      </c>
      <c r="G63" s="8">
        <v>38</v>
      </c>
    </row>
    <row r="64" spans="1:7" ht="12" customHeight="1" x14ac:dyDescent="0.3">
      <c r="A64" s="3" t="s">
        <v>133</v>
      </c>
      <c r="B64" s="3" t="s">
        <v>134</v>
      </c>
      <c r="C64" s="4" t="s">
        <v>9</v>
      </c>
      <c r="D64" s="5">
        <v>41.4</v>
      </c>
      <c r="E64" s="5">
        <v>56.5</v>
      </c>
      <c r="F64" s="8">
        <v>43</v>
      </c>
      <c r="G64" s="8">
        <v>54</v>
      </c>
    </row>
    <row r="65" spans="1:7" ht="12" customHeight="1" x14ac:dyDescent="0.3">
      <c r="A65" s="3" t="s">
        <v>135</v>
      </c>
      <c r="B65" s="3" t="s">
        <v>136</v>
      </c>
      <c r="C65" s="7" t="s">
        <v>24</v>
      </c>
      <c r="D65" s="5">
        <v>78</v>
      </c>
      <c r="E65" s="5">
        <v>20</v>
      </c>
      <c r="F65" s="8">
        <v>75</v>
      </c>
      <c r="G65" s="8">
        <v>22</v>
      </c>
    </row>
    <row r="66" spans="1:7" ht="12" customHeight="1" x14ac:dyDescent="0.3">
      <c r="A66" s="3" t="s">
        <v>137</v>
      </c>
      <c r="B66" s="9" t="s">
        <v>138</v>
      </c>
      <c r="C66" s="7" t="s">
        <v>24</v>
      </c>
      <c r="D66" s="5">
        <v>84.7</v>
      </c>
      <c r="E66" s="5">
        <v>13.6</v>
      </c>
      <c r="F66" s="8">
        <v>81</v>
      </c>
      <c r="G66" s="8">
        <v>16</v>
      </c>
    </row>
    <row r="67" spans="1:7" ht="12" customHeight="1" x14ac:dyDescent="0.3">
      <c r="A67" s="3" t="s">
        <v>139</v>
      </c>
      <c r="B67" s="3" t="s">
        <v>140</v>
      </c>
      <c r="C67" s="4" t="s">
        <v>9</v>
      </c>
      <c r="D67" s="5">
        <v>43</v>
      </c>
      <c r="E67" s="5">
        <v>54.8</v>
      </c>
      <c r="F67" s="8">
        <v>46</v>
      </c>
      <c r="G67" s="8">
        <v>51</v>
      </c>
    </row>
    <row r="68" spans="1:7" ht="12" customHeight="1" x14ac:dyDescent="0.3">
      <c r="A68" s="3" t="s">
        <v>141</v>
      </c>
      <c r="B68" s="3" t="s">
        <v>142</v>
      </c>
      <c r="C68" s="7" t="s">
        <v>24</v>
      </c>
      <c r="D68" s="5">
        <v>61.4</v>
      </c>
      <c r="E68" s="5">
        <v>36.200000000000003</v>
      </c>
      <c r="F68" s="8">
        <v>58</v>
      </c>
      <c r="G68" s="8">
        <v>39</v>
      </c>
    </row>
    <row r="69" spans="1:7" ht="12" customHeight="1" x14ac:dyDescent="0.3">
      <c r="A69" s="3" t="s">
        <v>143</v>
      </c>
      <c r="B69" s="3" t="s">
        <v>144</v>
      </c>
      <c r="C69" s="7" t="s">
        <v>24</v>
      </c>
      <c r="D69" s="5">
        <v>60</v>
      </c>
      <c r="E69" s="5">
        <v>37.5</v>
      </c>
      <c r="F69" s="8">
        <v>58</v>
      </c>
      <c r="G69" s="8">
        <v>39</v>
      </c>
    </row>
    <row r="70" spans="1:7" ht="12" customHeight="1" x14ac:dyDescent="0.3">
      <c r="A70" s="3" t="s">
        <v>145</v>
      </c>
      <c r="B70" s="3" t="s">
        <v>146</v>
      </c>
      <c r="C70" s="4" t="s">
        <v>9</v>
      </c>
      <c r="D70" s="5">
        <v>43</v>
      </c>
      <c r="E70" s="5">
        <v>54.7</v>
      </c>
      <c r="F70" s="8">
        <v>46</v>
      </c>
      <c r="G70" s="8">
        <v>51</v>
      </c>
    </row>
    <row r="71" spans="1:7" ht="12" customHeight="1" x14ac:dyDescent="0.3">
      <c r="A71" s="3" t="s">
        <v>147</v>
      </c>
      <c r="B71" s="3" t="s">
        <v>148</v>
      </c>
      <c r="C71" s="4" t="s">
        <v>9</v>
      </c>
      <c r="D71" s="5">
        <v>45.7</v>
      </c>
      <c r="E71" s="5">
        <v>52.4</v>
      </c>
      <c r="F71" s="8">
        <v>49</v>
      </c>
      <c r="G71" s="8">
        <v>48</v>
      </c>
    </row>
    <row r="72" spans="1:7" ht="12" customHeight="1" x14ac:dyDescent="0.3">
      <c r="A72" s="3" t="s">
        <v>149</v>
      </c>
      <c r="B72" s="3" t="s">
        <v>150</v>
      </c>
      <c r="C72" s="4" t="s">
        <v>9</v>
      </c>
      <c r="D72" s="5">
        <v>37.6</v>
      </c>
      <c r="E72" s="5">
        <v>60.4</v>
      </c>
      <c r="F72" s="8">
        <v>39</v>
      </c>
      <c r="G72" s="8">
        <v>58</v>
      </c>
    </row>
    <row r="73" spans="1:7" ht="12" customHeight="1" x14ac:dyDescent="0.3">
      <c r="A73" s="3" t="s">
        <v>151</v>
      </c>
      <c r="B73" s="3" t="s">
        <v>152</v>
      </c>
      <c r="C73" s="7" t="s">
        <v>24</v>
      </c>
      <c r="D73" s="5">
        <v>69.400000000000006</v>
      </c>
      <c r="E73" s="5">
        <v>28.9</v>
      </c>
      <c r="F73" s="8">
        <v>65</v>
      </c>
      <c r="G73" s="8">
        <v>32</v>
      </c>
    </row>
    <row r="74" spans="1:7" ht="12" customHeight="1" x14ac:dyDescent="0.3">
      <c r="A74" s="3" t="s">
        <v>153</v>
      </c>
      <c r="B74" s="3" t="s">
        <v>154</v>
      </c>
      <c r="C74" s="7" t="s">
        <v>24</v>
      </c>
      <c r="D74" s="5">
        <v>52.1</v>
      </c>
      <c r="E74" s="5">
        <v>45.7</v>
      </c>
      <c r="F74" s="8">
        <v>55</v>
      </c>
      <c r="G74" s="8">
        <v>43</v>
      </c>
    </row>
    <row r="75" spans="1:7" ht="12" customHeight="1" x14ac:dyDescent="0.3">
      <c r="A75" s="3" t="s">
        <v>155</v>
      </c>
      <c r="B75" s="3" t="s">
        <v>156</v>
      </c>
      <c r="C75" s="7" t="s">
        <v>24</v>
      </c>
      <c r="D75" s="5">
        <v>61.4</v>
      </c>
      <c r="E75" s="5">
        <v>36.4</v>
      </c>
      <c r="F75" s="8">
        <v>61</v>
      </c>
      <c r="G75" s="8">
        <v>36</v>
      </c>
    </row>
    <row r="76" spans="1:7" ht="12" customHeight="1" x14ac:dyDescent="0.25">
      <c r="A76" s="3" t="s">
        <v>157</v>
      </c>
      <c r="B76" s="3" t="s">
        <v>158</v>
      </c>
      <c r="C76" s="7" t="s">
        <v>24</v>
      </c>
      <c r="D76" s="5">
        <v>69</v>
      </c>
      <c r="E76" s="5">
        <v>28.8</v>
      </c>
      <c r="F76" s="6">
        <v>70.900000000000006</v>
      </c>
      <c r="G76" s="6">
        <v>27.6</v>
      </c>
    </row>
    <row r="77" spans="1:7" ht="12" customHeight="1" x14ac:dyDescent="0.25">
      <c r="A77" s="3" t="s">
        <v>159</v>
      </c>
      <c r="B77" s="3" t="s">
        <v>160</v>
      </c>
      <c r="C77" s="7" t="s">
        <v>24</v>
      </c>
      <c r="D77" s="5">
        <v>57.9</v>
      </c>
      <c r="E77" s="5">
        <v>39.5</v>
      </c>
      <c r="F77" s="6">
        <v>61.2</v>
      </c>
      <c r="G77" s="6">
        <v>37.200000000000003</v>
      </c>
    </row>
    <row r="78" spans="1:7" ht="12" customHeight="1" x14ac:dyDescent="0.25">
      <c r="A78" s="3" t="s">
        <v>161</v>
      </c>
      <c r="B78" s="3" t="s">
        <v>162</v>
      </c>
      <c r="C78" s="4" t="s">
        <v>9</v>
      </c>
      <c r="D78" s="5">
        <v>45.8</v>
      </c>
      <c r="E78" s="5">
        <v>51.8</v>
      </c>
      <c r="F78" s="6">
        <v>48.4</v>
      </c>
      <c r="G78" s="6">
        <v>49.9</v>
      </c>
    </row>
    <row r="79" spans="1:7" ht="12" customHeight="1" x14ac:dyDescent="0.25">
      <c r="A79" s="3" t="s">
        <v>163</v>
      </c>
      <c r="B79" s="3" t="s">
        <v>164</v>
      </c>
      <c r="C79" s="4" t="s">
        <v>9</v>
      </c>
      <c r="D79" s="5">
        <v>39.200000000000003</v>
      </c>
      <c r="E79" s="5">
        <v>58.5</v>
      </c>
      <c r="F79" s="6">
        <v>41.9</v>
      </c>
      <c r="G79" s="6">
        <v>56.4</v>
      </c>
    </row>
    <row r="80" spans="1:7" ht="12" customHeight="1" x14ac:dyDescent="0.25">
      <c r="A80" s="3" t="s">
        <v>165</v>
      </c>
      <c r="B80" s="3" t="s">
        <v>166</v>
      </c>
      <c r="C80" s="4" t="s">
        <v>9</v>
      </c>
      <c r="D80" s="5">
        <v>38.299999999999997</v>
      </c>
      <c r="E80" s="5">
        <v>59.1</v>
      </c>
      <c r="F80" s="6">
        <v>39.700000000000003</v>
      </c>
      <c r="G80" s="6">
        <v>58.8</v>
      </c>
    </row>
    <row r="81" spans="1:7" ht="12" customHeight="1" x14ac:dyDescent="0.25">
      <c r="A81" s="3" t="s">
        <v>167</v>
      </c>
      <c r="B81" s="3" t="s">
        <v>168</v>
      </c>
      <c r="C81" s="4" t="s">
        <v>9</v>
      </c>
      <c r="D81" s="5">
        <v>51.6</v>
      </c>
      <c r="E81" s="5">
        <v>46.5</v>
      </c>
      <c r="F81" s="6">
        <v>53.6</v>
      </c>
      <c r="G81" s="6">
        <v>44.9</v>
      </c>
    </row>
    <row r="82" spans="1:7" ht="12" customHeight="1" x14ac:dyDescent="0.25">
      <c r="A82" s="3" t="s">
        <v>169</v>
      </c>
      <c r="B82" s="3" t="s">
        <v>170</v>
      </c>
      <c r="C82" s="7" t="s">
        <v>24</v>
      </c>
      <c r="D82" s="5">
        <v>56.1</v>
      </c>
      <c r="E82" s="5">
        <v>41.3</v>
      </c>
      <c r="F82" s="6">
        <v>57.4</v>
      </c>
      <c r="G82" s="6">
        <v>40.700000000000003</v>
      </c>
    </row>
    <row r="83" spans="1:7" ht="12" customHeight="1" x14ac:dyDescent="0.25">
      <c r="A83" s="3" t="s">
        <v>171</v>
      </c>
      <c r="B83" s="3" t="s">
        <v>172</v>
      </c>
      <c r="C83" s="7" t="s">
        <v>24</v>
      </c>
      <c r="D83" s="5">
        <v>63.3</v>
      </c>
      <c r="E83" s="5">
        <v>35.6</v>
      </c>
      <c r="F83" s="6">
        <v>65.8</v>
      </c>
      <c r="G83" s="6">
        <v>32.9</v>
      </c>
    </row>
    <row r="84" spans="1:7" ht="12" customHeight="1" x14ac:dyDescent="0.25">
      <c r="A84" s="3" t="s">
        <v>173</v>
      </c>
      <c r="B84" s="3" t="s">
        <v>174</v>
      </c>
      <c r="C84" s="7" t="s">
        <v>24</v>
      </c>
      <c r="D84" s="5">
        <v>55.9</v>
      </c>
      <c r="E84" s="5">
        <v>42.6</v>
      </c>
      <c r="F84" s="6">
        <v>58.6</v>
      </c>
      <c r="G84" s="6">
        <v>40</v>
      </c>
    </row>
    <row r="85" spans="1:7" ht="12" customHeight="1" x14ac:dyDescent="0.25">
      <c r="A85" s="3" t="s">
        <v>175</v>
      </c>
      <c r="B85" s="3" t="s">
        <v>176</v>
      </c>
      <c r="C85" s="7" t="s">
        <v>24</v>
      </c>
      <c r="D85" s="5">
        <v>62.6</v>
      </c>
      <c r="E85" s="5">
        <v>36.299999999999997</v>
      </c>
      <c r="F85" s="6">
        <v>62.6</v>
      </c>
      <c r="G85" s="6">
        <v>36.200000000000003</v>
      </c>
    </row>
    <row r="86" spans="1:7" ht="12" customHeight="1" x14ac:dyDescent="0.25">
      <c r="A86" s="3" t="s">
        <v>177</v>
      </c>
      <c r="B86" s="3" t="s">
        <v>178</v>
      </c>
      <c r="C86" s="7" t="s">
        <v>24</v>
      </c>
      <c r="D86" s="5">
        <v>55.1</v>
      </c>
      <c r="E86" s="5">
        <v>44</v>
      </c>
      <c r="F86" s="6">
        <v>59.6</v>
      </c>
      <c r="G86" s="6">
        <v>39.700000000000003</v>
      </c>
    </row>
    <row r="87" spans="1:7" ht="12" customHeight="1" x14ac:dyDescent="0.25">
      <c r="A87" s="3" t="s">
        <v>179</v>
      </c>
      <c r="B87" s="3" t="s">
        <v>180</v>
      </c>
      <c r="C87" s="7" t="s">
        <v>24</v>
      </c>
      <c r="D87" s="5">
        <v>53.5</v>
      </c>
      <c r="E87" s="5">
        <v>45.3</v>
      </c>
      <c r="F87" s="6">
        <v>56.4</v>
      </c>
      <c r="G87" s="6">
        <v>42.4</v>
      </c>
    </row>
    <row r="88" spans="1:7" ht="12" customHeight="1" x14ac:dyDescent="0.25">
      <c r="A88" s="3" t="s">
        <v>181</v>
      </c>
      <c r="B88" s="3" t="s">
        <v>182</v>
      </c>
      <c r="C88" s="7" t="s">
        <v>24</v>
      </c>
      <c r="D88" s="5">
        <v>58.6</v>
      </c>
      <c r="E88" s="5">
        <v>40</v>
      </c>
      <c r="F88" s="6">
        <v>61.9</v>
      </c>
      <c r="G88" s="6">
        <v>36.9</v>
      </c>
    </row>
    <row r="89" spans="1:7" ht="12" customHeight="1" x14ac:dyDescent="0.3">
      <c r="A89" s="3" t="s">
        <v>183</v>
      </c>
      <c r="B89" s="3" t="s">
        <v>184</v>
      </c>
      <c r="C89" s="4" t="s">
        <v>9</v>
      </c>
      <c r="D89" s="5">
        <v>30.2</v>
      </c>
      <c r="E89" s="5">
        <v>68.7</v>
      </c>
      <c r="F89" s="10">
        <v>32.1</v>
      </c>
      <c r="G89" s="10">
        <v>67</v>
      </c>
    </row>
    <row r="90" spans="1:7" ht="12" customHeight="1" x14ac:dyDescent="0.3">
      <c r="A90" s="3" t="s">
        <v>185</v>
      </c>
      <c r="B90" s="3" t="s">
        <v>186</v>
      </c>
      <c r="C90" s="7" t="s">
        <v>24</v>
      </c>
      <c r="D90" s="5">
        <v>46.5</v>
      </c>
      <c r="E90" s="5">
        <v>52.3</v>
      </c>
      <c r="F90" s="10">
        <v>47.1</v>
      </c>
      <c r="G90" s="10">
        <v>52</v>
      </c>
    </row>
    <row r="91" spans="1:7" ht="12" customHeight="1" x14ac:dyDescent="0.3">
      <c r="A91" s="3" t="s">
        <v>187</v>
      </c>
      <c r="B91" s="3" t="s">
        <v>188</v>
      </c>
      <c r="C91" s="4" t="s">
        <v>9</v>
      </c>
      <c r="D91" s="5">
        <v>37.4</v>
      </c>
      <c r="E91" s="5">
        <v>61.5</v>
      </c>
      <c r="F91" s="10">
        <v>39.6</v>
      </c>
      <c r="G91" s="10">
        <v>59.3</v>
      </c>
    </row>
    <row r="92" spans="1:7" ht="12" customHeight="1" x14ac:dyDescent="0.3">
      <c r="A92" s="3" t="s">
        <v>189</v>
      </c>
      <c r="B92" s="3" t="s">
        <v>190</v>
      </c>
      <c r="C92" s="4" t="s">
        <v>9</v>
      </c>
      <c r="D92" s="5">
        <v>35.4</v>
      </c>
      <c r="E92" s="5">
        <v>63.7</v>
      </c>
      <c r="F92" s="10">
        <v>36.6</v>
      </c>
      <c r="G92" s="10">
        <v>62.7</v>
      </c>
    </row>
    <row r="93" spans="1:7" ht="12" customHeight="1" x14ac:dyDescent="0.3">
      <c r="A93" s="3" t="s">
        <v>191</v>
      </c>
      <c r="B93" s="3" t="s">
        <v>192</v>
      </c>
      <c r="C93" s="7" t="s">
        <v>24</v>
      </c>
      <c r="D93" s="5">
        <v>71.2</v>
      </c>
      <c r="E93" s="5">
        <v>28.1</v>
      </c>
      <c r="F93" s="10">
        <v>70.599999999999994</v>
      </c>
      <c r="G93" s="10">
        <v>28.8</v>
      </c>
    </row>
    <row r="94" spans="1:7" ht="12" customHeight="1" x14ac:dyDescent="0.3">
      <c r="A94" s="3" t="s">
        <v>193</v>
      </c>
      <c r="B94" s="3" t="s">
        <v>194</v>
      </c>
      <c r="C94" s="4" t="s">
        <v>9</v>
      </c>
      <c r="D94" s="5">
        <v>41.4</v>
      </c>
      <c r="E94" s="5">
        <v>57.7</v>
      </c>
      <c r="F94" s="10">
        <v>45.6</v>
      </c>
      <c r="G94" s="10">
        <v>53.6</v>
      </c>
    </row>
    <row r="95" spans="1:7" ht="12" customHeight="1" x14ac:dyDescent="0.3">
      <c r="A95" s="3" t="s">
        <v>195</v>
      </c>
      <c r="B95" s="3" t="s">
        <v>196</v>
      </c>
      <c r="C95" s="4" t="s">
        <v>9</v>
      </c>
      <c r="D95" s="5">
        <v>47.1</v>
      </c>
      <c r="E95" s="5">
        <v>51.8</v>
      </c>
      <c r="F95" s="10">
        <v>49.2</v>
      </c>
      <c r="G95" s="10">
        <v>50</v>
      </c>
    </row>
    <row r="96" spans="1:7" ht="12" customHeight="1" x14ac:dyDescent="0.3">
      <c r="A96" s="3" t="s">
        <v>197</v>
      </c>
      <c r="B96" s="3" t="s">
        <v>198</v>
      </c>
      <c r="C96" s="4" t="s">
        <v>9</v>
      </c>
      <c r="D96" s="5">
        <v>42.2</v>
      </c>
      <c r="E96" s="5">
        <v>56.8</v>
      </c>
      <c r="F96" s="10">
        <v>44</v>
      </c>
      <c r="G96" s="10">
        <v>55.1</v>
      </c>
    </row>
    <row r="97" spans="1:7" ht="12" customHeight="1" x14ac:dyDescent="0.3">
      <c r="A97" s="3" t="s">
        <v>199</v>
      </c>
      <c r="B97" s="3" t="s">
        <v>200</v>
      </c>
      <c r="C97" s="7" t="s">
        <v>24</v>
      </c>
      <c r="D97" s="5">
        <v>61.9</v>
      </c>
      <c r="E97" s="5">
        <v>37.200000000000003</v>
      </c>
      <c r="F97" s="10">
        <v>60.3</v>
      </c>
      <c r="G97" s="10">
        <v>39.1</v>
      </c>
    </row>
    <row r="98" spans="1:7" ht="12" customHeight="1" x14ac:dyDescent="0.3">
      <c r="A98" s="3" t="s">
        <v>201</v>
      </c>
      <c r="B98" s="3" t="s">
        <v>202</v>
      </c>
      <c r="C98" s="4" t="s">
        <v>9</v>
      </c>
      <c r="D98" s="5">
        <v>45.7</v>
      </c>
      <c r="E98" s="5">
        <v>53.4</v>
      </c>
      <c r="F98" s="10">
        <v>47.2</v>
      </c>
      <c r="G98" s="10">
        <v>52</v>
      </c>
    </row>
    <row r="99" spans="1:7" ht="12" customHeight="1" x14ac:dyDescent="0.3">
      <c r="A99" s="3" t="s">
        <v>203</v>
      </c>
      <c r="B99" s="3" t="s">
        <v>204</v>
      </c>
      <c r="C99" s="4" t="s">
        <v>9</v>
      </c>
      <c r="D99" s="5">
        <v>40.200000000000003</v>
      </c>
      <c r="E99" s="5">
        <v>58.8</v>
      </c>
      <c r="F99" s="10">
        <v>43.1</v>
      </c>
      <c r="G99" s="10">
        <v>55.9</v>
      </c>
    </row>
    <row r="100" spans="1:7" ht="12" customHeight="1" x14ac:dyDescent="0.3">
      <c r="A100" s="3" t="s">
        <v>205</v>
      </c>
      <c r="B100" s="3" t="s">
        <v>206</v>
      </c>
      <c r="C100" s="4" t="s">
        <v>9</v>
      </c>
      <c r="D100" s="5">
        <v>44.8</v>
      </c>
      <c r="E100" s="5">
        <v>54</v>
      </c>
      <c r="F100" s="10">
        <v>46.8</v>
      </c>
      <c r="G100" s="10">
        <v>52.2</v>
      </c>
    </row>
    <row r="101" spans="1:7" ht="12" customHeight="1" x14ac:dyDescent="0.3">
      <c r="A101" s="3" t="s">
        <v>207</v>
      </c>
      <c r="B101" s="3" t="s">
        <v>208</v>
      </c>
      <c r="C101" s="4" t="s">
        <v>9</v>
      </c>
      <c r="D101" s="5">
        <v>50.1</v>
      </c>
      <c r="E101" s="5">
        <v>48.6</v>
      </c>
      <c r="F101" s="10">
        <v>51.3</v>
      </c>
      <c r="G101" s="10">
        <v>47.5</v>
      </c>
    </row>
    <row r="102" spans="1:7" ht="12" customHeight="1" x14ac:dyDescent="0.3">
      <c r="A102" s="3" t="s">
        <v>209</v>
      </c>
      <c r="B102" s="3" t="s">
        <v>210</v>
      </c>
      <c r="C102" s="7" t="s">
        <v>24</v>
      </c>
      <c r="D102" s="5">
        <v>65.099999999999994</v>
      </c>
      <c r="E102" s="5">
        <v>34</v>
      </c>
      <c r="F102" s="10">
        <v>65.2</v>
      </c>
      <c r="G102" s="10">
        <v>34</v>
      </c>
    </row>
    <row r="103" spans="1:7" ht="12" customHeight="1" x14ac:dyDescent="0.3">
      <c r="A103" s="3" t="s">
        <v>211</v>
      </c>
      <c r="B103" s="3" t="s">
        <v>212</v>
      </c>
      <c r="C103" s="4" t="s">
        <v>9</v>
      </c>
      <c r="D103" s="5">
        <v>45.6</v>
      </c>
      <c r="E103" s="5">
        <v>53.3</v>
      </c>
      <c r="F103" s="10">
        <v>46.1</v>
      </c>
      <c r="G103" s="10">
        <v>53.1</v>
      </c>
    </row>
    <row r="104" spans="1:7" ht="12" customHeight="1" x14ac:dyDescent="0.3">
      <c r="A104" s="3" t="s">
        <v>213</v>
      </c>
      <c r="B104" s="3" t="s">
        <v>214</v>
      </c>
      <c r="C104" s="4" t="s">
        <v>9</v>
      </c>
      <c r="D104" s="5">
        <v>44.9</v>
      </c>
      <c r="E104" s="5">
        <v>54.2</v>
      </c>
      <c r="F104" s="10">
        <v>48.2</v>
      </c>
      <c r="G104" s="10">
        <v>50.9</v>
      </c>
    </row>
    <row r="105" spans="1:7" ht="12" customHeight="1" x14ac:dyDescent="0.3">
      <c r="A105" s="3" t="s">
        <v>215</v>
      </c>
      <c r="B105" s="3" t="s">
        <v>216</v>
      </c>
      <c r="C105" s="4" t="s">
        <v>9</v>
      </c>
      <c r="D105" s="5">
        <v>41.2</v>
      </c>
      <c r="E105" s="5">
        <v>57.9</v>
      </c>
      <c r="F105" s="10">
        <v>43.2</v>
      </c>
      <c r="G105" s="10">
        <v>55.9</v>
      </c>
    </row>
    <row r="106" spans="1:7" ht="12" customHeight="1" x14ac:dyDescent="0.3">
      <c r="A106" s="3" t="s">
        <v>217</v>
      </c>
      <c r="B106" s="9" t="s">
        <v>218</v>
      </c>
      <c r="C106" s="11" t="s">
        <v>24</v>
      </c>
      <c r="D106" s="5">
        <v>47.6</v>
      </c>
      <c r="E106" s="5">
        <v>51.7</v>
      </c>
      <c r="F106" s="10">
        <v>51.2</v>
      </c>
      <c r="G106" s="10">
        <v>48.1</v>
      </c>
    </row>
    <row r="107" spans="1:7" ht="12" customHeight="1" x14ac:dyDescent="0.3">
      <c r="A107" s="3" t="s">
        <v>219</v>
      </c>
      <c r="B107" s="3" t="s">
        <v>220</v>
      </c>
      <c r="C107" s="4" t="s">
        <v>9</v>
      </c>
      <c r="D107" s="5">
        <v>38.799999999999997</v>
      </c>
      <c r="E107" s="5">
        <v>60.6</v>
      </c>
      <c r="F107" s="10">
        <v>42.4</v>
      </c>
      <c r="G107" s="10">
        <v>56.9</v>
      </c>
    </row>
    <row r="108" spans="1:7" ht="12" customHeight="1" x14ac:dyDescent="0.3">
      <c r="A108" s="3" t="s">
        <v>221</v>
      </c>
      <c r="B108" s="3" t="s">
        <v>222</v>
      </c>
      <c r="C108" s="7" t="s">
        <v>24</v>
      </c>
      <c r="D108" s="5">
        <v>82.6</v>
      </c>
      <c r="E108" s="5">
        <v>17</v>
      </c>
      <c r="F108" s="10">
        <v>80.5</v>
      </c>
      <c r="G108" s="10">
        <v>19.100000000000001</v>
      </c>
    </row>
    <row r="109" spans="1:7" ht="12" customHeight="1" x14ac:dyDescent="0.3">
      <c r="A109" s="3" t="s">
        <v>223</v>
      </c>
      <c r="B109" s="3" t="s">
        <v>224</v>
      </c>
      <c r="C109" s="7" t="s">
        <v>24</v>
      </c>
      <c r="D109" s="5">
        <v>60.6</v>
      </c>
      <c r="E109" s="5">
        <v>38.9</v>
      </c>
      <c r="F109" s="10">
        <v>63.6</v>
      </c>
      <c r="G109" s="10">
        <v>35.9</v>
      </c>
    </row>
    <row r="110" spans="1:7" ht="12" customHeight="1" x14ac:dyDescent="0.3">
      <c r="A110" s="3" t="s">
        <v>225</v>
      </c>
      <c r="B110" s="3" t="s">
        <v>226</v>
      </c>
      <c r="C110" s="7" t="s">
        <v>24</v>
      </c>
      <c r="D110" s="5">
        <v>54.4</v>
      </c>
      <c r="E110" s="5">
        <v>44.9</v>
      </c>
      <c r="F110" s="10">
        <v>56.8</v>
      </c>
      <c r="G110" s="10">
        <v>42.6</v>
      </c>
    </row>
    <row r="111" spans="1:7" ht="12" customHeight="1" x14ac:dyDescent="0.3">
      <c r="A111" s="3" t="s">
        <v>227</v>
      </c>
      <c r="B111" s="3" t="s">
        <v>228</v>
      </c>
      <c r="C111" s="7" t="s">
        <v>24</v>
      </c>
      <c r="D111" s="5">
        <v>61.5</v>
      </c>
      <c r="E111" s="5">
        <v>37.9</v>
      </c>
      <c r="F111" s="10">
        <v>61.9</v>
      </c>
      <c r="G111" s="10">
        <v>37.6</v>
      </c>
    </row>
    <row r="112" spans="1:7" ht="12" customHeight="1" x14ac:dyDescent="0.3">
      <c r="A112" s="3" t="s">
        <v>229</v>
      </c>
      <c r="B112" s="3" t="s">
        <v>230</v>
      </c>
      <c r="C112" s="7" t="s">
        <v>24</v>
      </c>
      <c r="D112" s="5">
        <v>87.5</v>
      </c>
      <c r="E112" s="5">
        <v>12.1</v>
      </c>
      <c r="F112" s="10">
        <v>86.2</v>
      </c>
      <c r="G112" s="10">
        <v>13.5</v>
      </c>
    </row>
    <row r="113" spans="1:7" ht="12" customHeight="1" x14ac:dyDescent="0.3">
      <c r="A113" s="3" t="s">
        <v>231</v>
      </c>
      <c r="B113" s="3" t="s">
        <v>232</v>
      </c>
      <c r="C113" s="4" t="s">
        <v>9</v>
      </c>
      <c r="D113" s="5">
        <v>48.7</v>
      </c>
      <c r="E113" s="5">
        <v>50.8</v>
      </c>
      <c r="F113" s="10">
        <v>45.6</v>
      </c>
      <c r="G113" s="10">
        <v>54</v>
      </c>
    </row>
    <row r="114" spans="1:7" ht="12" customHeight="1" x14ac:dyDescent="0.3">
      <c r="A114" s="3" t="s">
        <v>233</v>
      </c>
      <c r="B114" s="3" t="s">
        <v>234</v>
      </c>
      <c r="C114" s="4" t="s">
        <v>9</v>
      </c>
      <c r="D114" s="5">
        <v>53.1</v>
      </c>
      <c r="E114" s="5">
        <v>46.4</v>
      </c>
      <c r="F114" s="10">
        <v>49.6</v>
      </c>
      <c r="G114" s="10">
        <v>50</v>
      </c>
    </row>
    <row r="115" spans="1:7" ht="12" customHeight="1" x14ac:dyDescent="0.3">
      <c r="A115" s="3" t="s">
        <v>235</v>
      </c>
      <c r="B115" s="3" t="s">
        <v>236</v>
      </c>
      <c r="C115" s="4" t="s">
        <v>9</v>
      </c>
      <c r="D115" s="5">
        <v>53.1</v>
      </c>
      <c r="E115" s="5">
        <v>46.4</v>
      </c>
      <c r="F115" s="10">
        <v>48.6</v>
      </c>
      <c r="G115" s="10">
        <v>51</v>
      </c>
    </row>
    <row r="116" spans="1:7" ht="12" customHeight="1" x14ac:dyDescent="0.25">
      <c r="A116" s="3" t="s">
        <v>237</v>
      </c>
      <c r="B116" s="3" t="s">
        <v>238</v>
      </c>
      <c r="C116" s="4" t="s">
        <v>9</v>
      </c>
      <c r="D116" s="5">
        <v>43</v>
      </c>
      <c r="E116" s="5">
        <v>55.9</v>
      </c>
      <c r="F116" s="6">
        <v>44.4</v>
      </c>
      <c r="G116" s="6">
        <v>55</v>
      </c>
    </row>
    <row r="117" spans="1:7" ht="12" customHeight="1" x14ac:dyDescent="0.25">
      <c r="A117" s="3" t="s">
        <v>239</v>
      </c>
      <c r="B117" s="3" t="s">
        <v>240</v>
      </c>
      <c r="C117" s="7" t="s">
        <v>24</v>
      </c>
      <c r="D117" s="5">
        <v>58.6</v>
      </c>
      <c r="E117" s="5">
        <v>40.799999999999997</v>
      </c>
      <c r="F117" s="6">
        <v>57.9</v>
      </c>
      <c r="G117" s="6">
        <v>41.6</v>
      </c>
    </row>
    <row r="118" spans="1:7" ht="12" customHeight="1" x14ac:dyDescent="0.25">
      <c r="A118" s="3" t="s">
        <v>241</v>
      </c>
      <c r="B118" s="3" t="s">
        <v>242</v>
      </c>
      <c r="C118" s="4" t="s">
        <v>9</v>
      </c>
      <c r="D118" s="5">
        <v>33</v>
      </c>
      <c r="E118" s="5">
        <v>65.900000000000006</v>
      </c>
      <c r="F118" s="6">
        <v>34</v>
      </c>
      <c r="G118" s="6">
        <v>65.3</v>
      </c>
    </row>
    <row r="119" spans="1:7" ht="12" customHeight="1" x14ac:dyDescent="0.25">
      <c r="A119" s="3" t="s">
        <v>243</v>
      </c>
      <c r="B119" s="3" t="s">
        <v>244</v>
      </c>
      <c r="C119" s="7" t="s">
        <v>24</v>
      </c>
      <c r="D119" s="5">
        <v>73.599999999999994</v>
      </c>
      <c r="E119" s="5">
        <v>25.6</v>
      </c>
      <c r="F119" s="6">
        <v>73.2</v>
      </c>
      <c r="G119" s="6">
        <v>26.3</v>
      </c>
    </row>
    <row r="120" spans="1:7" ht="12" customHeight="1" x14ac:dyDescent="0.25">
      <c r="A120" s="3" t="s">
        <v>245</v>
      </c>
      <c r="B120" s="3" t="s">
        <v>246</v>
      </c>
      <c r="C120" s="7" t="s">
        <v>24</v>
      </c>
      <c r="D120" s="5">
        <v>83.1</v>
      </c>
      <c r="E120" s="5">
        <v>15.8</v>
      </c>
      <c r="F120" s="6">
        <v>84.4</v>
      </c>
      <c r="G120" s="6">
        <v>15</v>
      </c>
    </row>
    <row r="121" spans="1:7" ht="12" customHeight="1" x14ac:dyDescent="0.25">
      <c r="A121" s="3" t="s">
        <v>247</v>
      </c>
      <c r="B121" s="3" t="s">
        <v>248</v>
      </c>
      <c r="C121" s="4" t="s">
        <v>9</v>
      </c>
      <c r="D121" s="5">
        <v>37.5</v>
      </c>
      <c r="E121" s="5">
        <v>60.8</v>
      </c>
      <c r="F121" s="6">
        <v>40.1</v>
      </c>
      <c r="G121" s="6">
        <v>59</v>
      </c>
    </row>
    <row r="122" spans="1:7" ht="12" customHeight="1" x14ac:dyDescent="0.25">
      <c r="A122" s="3" t="s">
        <v>249</v>
      </c>
      <c r="B122" s="3" t="s">
        <v>250</v>
      </c>
      <c r="C122" s="4" t="s">
        <v>9</v>
      </c>
      <c r="D122" s="5">
        <v>38.299999999999997</v>
      </c>
      <c r="E122" s="5">
        <v>60.2</v>
      </c>
      <c r="F122" s="6">
        <v>39.1</v>
      </c>
      <c r="G122" s="6">
        <v>60.1</v>
      </c>
    </row>
    <row r="123" spans="1:7" ht="12" customHeight="1" x14ac:dyDescent="0.25">
      <c r="A123" s="3" t="s">
        <v>251</v>
      </c>
      <c r="B123" s="3" t="s">
        <v>252</v>
      </c>
      <c r="C123" s="4" t="s">
        <v>9</v>
      </c>
      <c r="D123" s="5">
        <v>37.5</v>
      </c>
      <c r="E123" s="5">
        <v>61.6</v>
      </c>
      <c r="F123" s="6">
        <v>37.799999999999997</v>
      </c>
      <c r="G123" s="6">
        <v>61.6</v>
      </c>
    </row>
    <row r="124" spans="1:7" ht="12" customHeight="1" x14ac:dyDescent="0.25">
      <c r="A124" s="3" t="s">
        <v>253</v>
      </c>
      <c r="B124" s="3" t="s">
        <v>254</v>
      </c>
      <c r="C124" s="4" t="s">
        <v>9</v>
      </c>
      <c r="D124" s="5">
        <v>20.5</v>
      </c>
      <c r="E124" s="5">
        <v>78.099999999999994</v>
      </c>
      <c r="F124" s="6">
        <v>24.3</v>
      </c>
      <c r="G124" s="6">
        <v>74.7</v>
      </c>
    </row>
    <row r="125" spans="1:7" ht="12" customHeight="1" x14ac:dyDescent="0.25">
      <c r="A125" s="3" t="s">
        <v>255</v>
      </c>
      <c r="B125" s="3" t="s">
        <v>256</v>
      </c>
      <c r="C125" s="4" t="s">
        <v>9</v>
      </c>
      <c r="D125" s="5">
        <v>36.299999999999997</v>
      </c>
      <c r="E125" s="5">
        <v>62.5</v>
      </c>
      <c r="F125" s="6">
        <v>38.799999999999997</v>
      </c>
      <c r="G125" s="6">
        <v>60.4</v>
      </c>
    </row>
    <row r="126" spans="1:7" ht="12" customHeight="1" x14ac:dyDescent="0.25">
      <c r="A126" s="3" t="s">
        <v>257</v>
      </c>
      <c r="B126" s="3" t="s">
        <v>258</v>
      </c>
      <c r="C126" s="4" t="s">
        <v>9</v>
      </c>
      <c r="D126" s="5">
        <v>31.5</v>
      </c>
      <c r="E126" s="5">
        <v>66.900000000000006</v>
      </c>
      <c r="F126" s="6">
        <v>34.700000000000003</v>
      </c>
      <c r="G126" s="6">
        <v>64.3</v>
      </c>
    </row>
    <row r="127" spans="1:7" ht="12" customHeight="1" x14ac:dyDescent="0.25">
      <c r="A127" s="3" t="s">
        <v>259</v>
      </c>
      <c r="B127" s="3" t="s">
        <v>260</v>
      </c>
      <c r="C127" s="4" t="s">
        <v>9</v>
      </c>
      <c r="D127" s="5">
        <v>43.6</v>
      </c>
      <c r="E127" s="5">
        <v>55.4</v>
      </c>
      <c r="F127" s="6">
        <v>43.9</v>
      </c>
      <c r="G127" s="6">
        <v>55.6</v>
      </c>
    </row>
    <row r="128" spans="1:7" ht="12" customHeight="1" x14ac:dyDescent="0.25">
      <c r="A128" s="3" t="s">
        <v>261</v>
      </c>
      <c r="B128" s="3" t="s">
        <v>262</v>
      </c>
      <c r="C128" s="7" t="s">
        <v>24</v>
      </c>
      <c r="D128" s="5">
        <v>69.2</v>
      </c>
      <c r="E128" s="5">
        <v>30</v>
      </c>
      <c r="F128" s="6">
        <v>67.099999999999994</v>
      </c>
      <c r="G128" s="6">
        <v>32.299999999999997</v>
      </c>
    </row>
    <row r="129" spans="1:7" ht="12" customHeight="1" x14ac:dyDescent="0.25">
      <c r="A129" s="3" t="s">
        <v>263</v>
      </c>
      <c r="B129" s="3" t="s">
        <v>264</v>
      </c>
      <c r="C129" s="4" t="s">
        <v>9</v>
      </c>
      <c r="D129" s="5">
        <v>25.3</v>
      </c>
      <c r="E129" s="5">
        <v>73.2</v>
      </c>
      <c r="F129" s="6">
        <v>27.8</v>
      </c>
      <c r="G129" s="6">
        <v>71</v>
      </c>
    </row>
    <row r="130" spans="1:7" ht="12" customHeight="1" x14ac:dyDescent="0.25">
      <c r="A130" s="3" t="s">
        <v>265</v>
      </c>
      <c r="B130" s="3" t="s">
        <v>266</v>
      </c>
      <c r="C130" s="7" t="s">
        <v>24</v>
      </c>
      <c r="D130" s="5">
        <v>69.7</v>
      </c>
      <c r="E130" s="5">
        <v>29</v>
      </c>
      <c r="F130" s="6">
        <v>70.3</v>
      </c>
      <c r="G130" s="6">
        <v>28.3</v>
      </c>
    </row>
    <row r="131" spans="1:7" ht="12" customHeight="1" x14ac:dyDescent="0.25">
      <c r="A131" s="3" t="s">
        <v>267</v>
      </c>
      <c r="B131" s="3" t="s">
        <v>268</v>
      </c>
      <c r="C131" s="7" t="s">
        <v>24</v>
      </c>
      <c r="D131" s="5">
        <v>71.400000000000006</v>
      </c>
      <c r="E131" s="5">
        <v>26.7</v>
      </c>
      <c r="F131" s="6">
        <v>73.400000000000006</v>
      </c>
      <c r="G131" s="6">
        <v>24.9</v>
      </c>
    </row>
    <row r="132" spans="1:7" ht="12" customHeight="1" x14ac:dyDescent="0.25">
      <c r="A132" s="3" t="s">
        <v>269</v>
      </c>
      <c r="B132" s="3" t="s">
        <v>270</v>
      </c>
      <c r="C132" s="4" t="s">
        <v>9</v>
      </c>
      <c r="D132" s="5">
        <v>56.2</v>
      </c>
      <c r="E132" s="5">
        <v>42.5</v>
      </c>
      <c r="F132" s="6">
        <v>58.5</v>
      </c>
      <c r="G132" s="6">
        <v>40.4</v>
      </c>
    </row>
    <row r="133" spans="1:7" ht="12" customHeight="1" x14ac:dyDescent="0.25">
      <c r="A133" s="3" t="s">
        <v>271</v>
      </c>
      <c r="B133" s="3" t="s">
        <v>272</v>
      </c>
      <c r="C133" s="7" t="s">
        <v>24</v>
      </c>
      <c r="D133" s="5">
        <v>55.8</v>
      </c>
      <c r="E133" s="5">
        <v>42.7</v>
      </c>
      <c r="F133" s="6">
        <v>57.1</v>
      </c>
      <c r="G133" s="6">
        <v>41.6</v>
      </c>
    </row>
    <row r="134" spans="1:7" ht="12" customHeight="1" x14ac:dyDescent="0.25">
      <c r="A134" s="3" t="s">
        <v>273</v>
      </c>
      <c r="B134" s="3" t="s">
        <v>274</v>
      </c>
      <c r="C134" s="4" t="s">
        <v>9</v>
      </c>
      <c r="D134" s="5">
        <v>51.4</v>
      </c>
      <c r="E134" s="5">
        <v>47.2</v>
      </c>
      <c r="F134" s="6">
        <v>52.4</v>
      </c>
      <c r="G134" s="6">
        <v>46.3</v>
      </c>
    </row>
    <row r="135" spans="1:7" ht="12" customHeight="1" x14ac:dyDescent="0.25">
      <c r="A135" s="3" t="s">
        <v>275</v>
      </c>
      <c r="B135" s="3" t="s">
        <v>276</v>
      </c>
      <c r="C135" s="4" t="s">
        <v>9</v>
      </c>
      <c r="D135" s="5">
        <v>45.3</v>
      </c>
      <c r="E135" s="5">
        <v>53.4</v>
      </c>
      <c r="F135" s="6">
        <v>48.5</v>
      </c>
      <c r="G135" s="6">
        <v>50.2</v>
      </c>
    </row>
    <row r="136" spans="1:7" ht="12" customHeight="1" x14ac:dyDescent="0.25">
      <c r="A136" s="3" t="s">
        <v>277</v>
      </c>
      <c r="B136" s="3" t="s">
        <v>278</v>
      </c>
      <c r="C136" s="4" t="s">
        <v>9</v>
      </c>
      <c r="D136" s="5">
        <v>32.200000000000003</v>
      </c>
      <c r="E136" s="5">
        <v>64.900000000000006</v>
      </c>
      <c r="F136" s="6">
        <v>35.1</v>
      </c>
      <c r="G136" s="6">
        <v>62.5</v>
      </c>
    </row>
    <row r="137" spans="1:7" ht="12" customHeight="1" x14ac:dyDescent="0.25">
      <c r="A137" s="3" t="s">
        <v>279</v>
      </c>
      <c r="B137" s="3" t="s">
        <v>280</v>
      </c>
      <c r="C137" s="4" t="s">
        <v>9</v>
      </c>
      <c r="D137" s="5">
        <v>33.1</v>
      </c>
      <c r="E137" s="5">
        <v>64.099999999999994</v>
      </c>
      <c r="F137" s="6">
        <v>37.1</v>
      </c>
      <c r="G137" s="6">
        <v>60.5</v>
      </c>
    </row>
    <row r="138" spans="1:7" ht="12" customHeight="1" x14ac:dyDescent="0.25">
      <c r="A138" s="3" t="s">
        <v>281</v>
      </c>
      <c r="B138" s="3" t="s">
        <v>282</v>
      </c>
      <c r="C138" s="7" t="s">
        <v>24</v>
      </c>
      <c r="D138" s="5">
        <v>79</v>
      </c>
      <c r="E138" s="5">
        <v>20.2</v>
      </c>
      <c r="F138" s="6">
        <v>80.8</v>
      </c>
      <c r="G138" s="6">
        <v>18.5</v>
      </c>
    </row>
    <row r="139" spans="1:7" ht="12" customHeight="1" x14ac:dyDescent="0.25">
      <c r="A139" s="3" t="s">
        <v>283</v>
      </c>
      <c r="B139" s="3" t="s">
        <v>284</v>
      </c>
      <c r="C139" s="7" t="s">
        <v>24</v>
      </c>
      <c r="D139" s="5">
        <v>80.7</v>
      </c>
      <c r="E139" s="5">
        <v>18.5</v>
      </c>
      <c r="F139" s="6">
        <v>81.099999999999994</v>
      </c>
      <c r="G139" s="6">
        <v>18.2</v>
      </c>
    </row>
    <row r="140" spans="1:7" ht="12" customHeight="1" x14ac:dyDescent="0.25">
      <c r="A140" s="3" t="s">
        <v>285</v>
      </c>
      <c r="B140" s="3" t="s">
        <v>286</v>
      </c>
      <c r="C140" s="7" t="s">
        <v>24</v>
      </c>
      <c r="D140" s="5">
        <v>55.9</v>
      </c>
      <c r="E140" s="5">
        <v>42.6</v>
      </c>
      <c r="F140" s="6">
        <v>58.3</v>
      </c>
      <c r="G140" s="6">
        <v>40.4</v>
      </c>
    </row>
    <row r="141" spans="1:7" ht="12" customHeight="1" x14ac:dyDescent="0.25">
      <c r="A141" s="3" t="s">
        <v>287</v>
      </c>
      <c r="B141" s="3" t="s">
        <v>288</v>
      </c>
      <c r="C141" s="7" t="s">
        <v>24</v>
      </c>
      <c r="D141" s="5">
        <v>80.900000000000006</v>
      </c>
      <c r="E141" s="5">
        <v>17.100000000000001</v>
      </c>
      <c r="F141" s="6">
        <v>80.5</v>
      </c>
      <c r="G141" s="6">
        <v>18.2</v>
      </c>
    </row>
    <row r="142" spans="1:7" ht="12" customHeight="1" x14ac:dyDescent="0.25">
      <c r="A142" s="3" t="s">
        <v>289</v>
      </c>
      <c r="B142" s="3" t="s">
        <v>290</v>
      </c>
      <c r="C142" s="7" t="s">
        <v>24</v>
      </c>
      <c r="D142" s="5">
        <v>66</v>
      </c>
      <c r="E142" s="5">
        <v>31.8</v>
      </c>
      <c r="F142" s="6">
        <v>69.900000000000006</v>
      </c>
      <c r="G142" s="6">
        <v>28.8</v>
      </c>
    </row>
    <row r="143" spans="1:7" ht="12" customHeight="1" x14ac:dyDescent="0.25">
      <c r="A143" s="3" t="s">
        <v>291</v>
      </c>
      <c r="B143" s="3" t="s">
        <v>292</v>
      </c>
      <c r="C143" s="4" t="s">
        <v>9</v>
      </c>
      <c r="D143" s="5">
        <v>45.1</v>
      </c>
      <c r="E143" s="5">
        <v>53.3</v>
      </c>
      <c r="F143" s="6">
        <v>51.3</v>
      </c>
      <c r="G143" s="6">
        <v>47.3</v>
      </c>
    </row>
    <row r="144" spans="1:7" ht="12" customHeight="1" x14ac:dyDescent="0.25">
      <c r="A144" s="3" t="s">
        <v>293</v>
      </c>
      <c r="B144" s="3" t="s">
        <v>294</v>
      </c>
      <c r="C144" s="7" t="s">
        <v>24</v>
      </c>
      <c r="D144" s="5">
        <v>87.2</v>
      </c>
      <c r="E144" s="5">
        <v>11.8</v>
      </c>
      <c r="F144" s="6">
        <v>89.4</v>
      </c>
      <c r="G144" s="6">
        <v>9.9</v>
      </c>
    </row>
    <row r="145" spans="1:7" ht="12" customHeight="1" x14ac:dyDescent="0.25">
      <c r="A145" s="3" t="s">
        <v>295</v>
      </c>
      <c r="B145" s="3" t="s">
        <v>296</v>
      </c>
      <c r="C145" s="7" t="s">
        <v>24</v>
      </c>
      <c r="D145" s="5">
        <v>57.4</v>
      </c>
      <c r="E145" s="5">
        <v>40.9</v>
      </c>
      <c r="F145" s="6">
        <v>61.5</v>
      </c>
      <c r="G145" s="6">
        <v>37.1</v>
      </c>
    </row>
    <row r="146" spans="1:7" ht="12" customHeight="1" x14ac:dyDescent="0.25">
      <c r="A146" s="3" t="s">
        <v>297</v>
      </c>
      <c r="B146" s="3" t="s">
        <v>298</v>
      </c>
      <c r="C146" s="7" t="s">
        <v>24</v>
      </c>
      <c r="D146" s="5">
        <v>65</v>
      </c>
      <c r="E146" s="5">
        <v>33.299999999999997</v>
      </c>
      <c r="F146" s="6">
        <v>68.599999999999994</v>
      </c>
      <c r="G146" s="6">
        <v>30.3</v>
      </c>
    </row>
    <row r="147" spans="1:7" ht="12" customHeight="1" x14ac:dyDescent="0.25">
      <c r="A147" s="3" t="s">
        <v>299</v>
      </c>
      <c r="B147" s="3" t="s">
        <v>300</v>
      </c>
      <c r="C147" s="4" t="s">
        <v>9</v>
      </c>
      <c r="D147" s="5">
        <v>57.5</v>
      </c>
      <c r="E147" s="5">
        <v>41.1</v>
      </c>
      <c r="F147" s="6">
        <v>63</v>
      </c>
      <c r="G147" s="6">
        <v>35.9</v>
      </c>
    </row>
    <row r="148" spans="1:7" ht="12" customHeight="1" x14ac:dyDescent="0.25">
      <c r="A148" s="3" t="s">
        <v>301</v>
      </c>
      <c r="B148" s="3" t="s">
        <v>302</v>
      </c>
      <c r="C148" s="7" t="s">
        <v>24</v>
      </c>
      <c r="D148" s="5">
        <v>57.8</v>
      </c>
      <c r="E148" s="5">
        <v>40.6</v>
      </c>
      <c r="F148" s="6">
        <v>61.3</v>
      </c>
      <c r="G148" s="6">
        <v>37.5</v>
      </c>
    </row>
    <row r="149" spans="1:7" ht="12" customHeight="1" x14ac:dyDescent="0.25">
      <c r="A149" s="3" t="s">
        <v>303</v>
      </c>
      <c r="B149" s="3" t="s">
        <v>304</v>
      </c>
      <c r="C149" s="4" t="s">
        <v>9</v>
      </c>
      <c r="D149" s="5">
        <v>49.7</v>
      </c>
      <c r="E149" s="5">
        <v>48.2</v>
      </c>
      <c r="F149" s="6">
        <v>54.7</v>
      </c>
      <c r="G149" s="6">
        <v>43.6</v>
      </c>
    </row>
    <row r="150" spans="1:7" ht="12" customHeight="1" x14ac:dyDescent="0.25">
      <c r="A150" s="3" t="s">
        <v>305</v>
      </c>
      <c r="B150" s="3" t="s">
        <v>306</v>
      </c>
      <c r="C150" s="4" t="s">
        <v>9</v>
      </c>
      <c r="D150" s="5">
        <v>48.6</v>
      </c>
      <c r="E150" s="5">
        <v>48.9</v>
      </c>
      <c r="F150" s="6">
        <v>54.6</v>
      </c>
      <c r="G150" s="6">
        <v>43.6</v>
      </c>
    </row>
    <row r="151" spans="1:7" ht="12" customHeight="1" x14ac:dyDescent="0.25">
      <c r="A151" s="3" t="s">
        <v>307</v>
      </c>
      <c r="B151" s="3" t="s">
        <v>308</v>
      </c>
      <c r="C151" s="4" t="s">
        <v>9</v>
      </c>
      <c r="D151" s="5">
        <v>44.2</v>
      </c>
      <c r="E151" s="5">
        <v>54.2</v>
      </c>
      <c r="F151" s="6">
        <v>50.7</v>
      </c>
      <c r="G151" s="6">
        <v>48</v>
      </c>
    </row>
    <row r="152" spans="1:7" ht="12" customHeight="1" x14ac:dyDescent="0.25">
      <c r="A152" s="3" t="s">
        <v>309</v>
      </c>
      <c r="B152" s="3" t="s">
        <v>310</v>
      </c>
      <c r="C152" s="4" t="s">
        <v>9</v>
      </c>
      <c r="D152" s="5">
        <v>34.1</v>
      </c>
      <c r="E152" s="5">
        <v>63.9</v>
      </c>
      <c r="F152" s="6">
        <v>42.8</v>
      </c>
      <c r="G152" s="6">
        <v>55.4</v>
      </c>
    </row>
    <row r="153" spans="1:7" ht="12" customHeight="1" x14ac:dyDescent="0.25">
      <c r="A153" s="3" t="s">
        <v>311</v>
      </c>
      <c r="B153" s="3" t="s">
        <v>312</v>
      </c>
      <c r="C153" s="4" t="s">
        <v>9</v>
      </c>
      <c r="D153" s="5">
        <v>45.2</v>
      </c>
      <c r="E153" s="5">
        <v>52.9</v>
      </c>
      <c r="F153" s="6">
        <v>50</v>
      </c>
      <c r="G153" s="6">
        <v>48.2</v>
      </c>
    </row>
    <row r="154" spans="1:7" ht="12" customHeight="1" x14ac:dyDescent="0.25">
      <c r="A154" s="3" t="s">
        <v>313</v>
      </c>
      <c r="B154" s="3" t="s">
        <v>314</v>
      </c>
      <c r="C154" s="7" t="s">
        <v>24</v>
      </c>
      <c r="D154" s="5">
        <v>57.6</v>
      </c>
      <c r="E154" s="5">
        <v>40.6</v>
      </c>
      <c r="F154" s="6">
        <v>60</v>
      </c>
      <c r="G154" s="6">
        <v>38.5</v>
      </c>
    </row>
    <row r="155" spans="1:7" ht="12" customHeight="1" x14ac:dyDescent="0.25">
      <c r="A155" s="3" t="s">
        <v>315</v>
      </c>
      <c r="B155" s="3" t="s">
        <v>316</v>
      </c>
      <c r="C155" s="4" t="s">
        <v>9</v>
      </c>
      <c r="D155" s="5">
        <v>37.4</v>
      </c>
      <c r="E155" s="5">
        <v>60.7</v>
      </c>
      <c r="F155" s="6">
        <v>44.1</v>
      </c>
      <c r="G155" s="6">
        <v>54.4</v>
      </c>
    </row>
    <row r="156" spans="1:7" ht="12" customHeight="1" x14ac:dyDescent="0.25">
      <c r="A156" s="3" t="s">
        <v>317</v>
      </c>
      <c r="B156" s="3" t="s">
        <v>318</v>
      </c>
      <c r="C156" s="7" t="s">
        <v>24</v>
      </c>
      <c r="D156" s="5">
        <v>61.2</v>
      </c>
      <c r="E156" s="5">
        <v>37.4</v>
      </c>
      <c r="F156" s="6">
        <v>63.3</v>
      </c>
      <c r="G156" s="6">
        <v>35.799999999999997</v>
      </c>
    </row>
    <row r="157" spans="1:7" ht="12" customHeight="1" x14ac:dyDescent="0.25">
      <c r="A157" s="3" t="s">
        <v>319</v>
      </c>
      <c r="B157" s="3" t="s">
        <v>320</v>
      </c>
      <c r="C157" s="4" t="s">
        <v>9</v>
      </c>
      <c r="D157" s="5">
        <v>42.1</v>
      </c>
      <c r="E157" s="5">
        <v>56.1</v>
      </c>
      <c r="F157" s="6">
        <v>49.6</v>
      </c>
      <c r="G157" s="6">
        <v>49.3</v>
      </c>
    </row>
    <row r="158" spans="1:7" ht="12" customHeight="1" x14ac:dyDescent="0.25">
      <c r="A158" s="3" t="s">
        <v>321</v>
      </c>
      <c r="B158" s="3" t="s">
        <v>322</v>
      </c>
      <c r="C158" s="4" t="s">
        <v>9</v>
      </c>
      <c r="D158" s="5">
        <v>35.700000000000003</v>
      </c>
      <c r="E158" s="5">
        <v>62.5</v>
      </c>
      <c r="F158" s="6">
        <v>43</v>
      </c>
      <c r="G158" s="6">
        <v>56</v>
      </c>
    </row>
    <row r="159" spans="1:7" ht="12" customHeight="1" x14ac:dyDescent="0.25">
      <c r="A159" s="3" t="s">
        <v>323</v>
      </c>
      <c r="B159" s="3" t="s">
        <v>324</v>
      </c>
      <c r="C159" s="4" t="s">
        <v>9</v>
      </c>
      <c r="D159" s="5">
        <v>36.9</v>
      </c>
      <c r="E159" s="5">
        <v>60.9</v>
      </c>
      <c r="F159" s="6">
        <v>44.6</v>
      </c>
      <c r="G159" s="6">
        <v>54.2</v>
      </c>
    </row>
    <row r="160" spans="1:7" ht="12" customHeight="1" x14ac:dyDescent="0.25">
      <c r="A160" s="3" t="s">
        <v>325</v>
      </c>
      <c r="B160" s="3" t="s">
        <v>326</v>
      </c>
      <c r="C160" s="4" t="s">
        <v>9</v>
      </c>
      <c r="D160" s="5">
        <v>40.700000000000003</v>
      </c>
      <c r="E160" s="5">
        <v>57.5</v>
      </c>
      <c r="F160" s="6">
        <v>46.6</v>
      </c>
      <c r="G160" s="6">
        <v>52.6</v>
      </c>
    </row>
    <row r="161" spans="1:7" ht="12" customHeight="1" x14ac:dyDescent="0.25">
      <c r="A161" s="3" t="s">
        <v>327</v>
      </c>
      <c r="B161" s="3" t="s">
        <v>328</v>
      </c>
      <c r="C161" s="4" t="s">
        <v>9</v>
      </c>
      <c r="D161" s="5">
        <v>37.299999999999997</v>
      </c>
      <c r="E161" s="5">
        <v>60.4</v>
      </c>
      <c r="F161" s="6">
        <v>43.6</v>
      </c>
      <c r="G161" s="6">
        <v>55</v>
      </c>
    </row>
    <row r="162" spans="1:7" ht="12" customHeight="1" x14ac:dyDescent="0.25">
      <c r="A162" s="3" t="s">
        <v>329</v>
      </c>
      <c r="B162" s="3" t="s">
        <v>330</v>
      </c>
      <c r="C162" s="7" t="s">
        <v>24</v>
      </c>
      <c r="D162" s="5">
        <v>62.9</v>
      </c>
      <c r="E162" s="5">
        <v>35.4</v>
      </c>
      <c r="F162" s="6">
        <v>66.3</v>
      </c>
      <c r="G162" s="6">
        <v>32.799999999999997</v>
      </c>
    </row>
    <row r="163" spans="1:7" ht="12" customHeight="1" x14ac:dyDescent="0.25">
      <c r="A163" s="3" t="s">
        <v>331</v>
      </c>
      <c r="B163" s="3" t="s">
        <v>332</v>
      </c>
      <c r="C163" s="4" t="s">
        <v>9</v>
      </c>
      <c r="D163" s="5">
        <v>39.6</v>
      </c>
      <c r="E163" s="5">
        <v>58.4</v>
      </c>
      <c r="F163" s="6">
        <v>48.1</v>
      </c>
      <c r="G163" s="6">
        <v>50.6</v>
      </c>
    </row>
    <row r="164" spans="1:7" ht="12" customHeight="1" x14ac:dyDescent="0.25">
      <c r="A164" s="3" t="s">
        <v>333</v>
      </c>
      <c r="B164" s="3" t="s">
        <v>334</v>
      </c>
      <c r="C164" s="4" t="s">
        <v>9</v>
      </c>
      <c r="D164" s="5">
        <v>40.700000000000003</v>
      </c>
      <c r="E164" s="5">
        <v>57.2</v>
      </c>
      <c r="F164" s="6">
        <v>46.2</v>
      </c>
      <c r="G164" s="6">
        <v>52.7</v>
      </c>
    </row>
    <row r="165" spans="1:7" ht="12" customHeight="1" x14ac:dyDescent="0.25">
      <c r="A165" s="3" t="s">
        <v>335</v>
      </c>
      <c r="B165" s="3" t="s">
        <v>336</v>
      </c>
      <c r="C165" s="4" t="s">
        <v>9</v>
      </c>
      <c r="D165" s="5">
        <v>27.6</v>
      </c>
      <c r="E165" s="5">
        <v>70.099999999999994</v>
      </c>
      <c r="F165" s="6">
        <v>31</v>
      </c>
      <c r="G165" s="6">
        <v>67.2</v>
      </c>
    </row>
    <row r="166" spans="1:7" ht="12" customHeight="1" x14ac:dyDescent="0.25">
      <c r="A166" s="3" t="s">
        <v>337</v>
      </c>
      <c r="B166" s="3" t="s">
        <v>338</v>
      </c>
      <c r="C166" s="4" t="s">
        <v>9</v>
      </c>
      <c r="D166" s="5">
        <v>42</v>
      </c>
      <c r="E166" s="5">
        <v>55.6</v>
      </c>
      <c r="F166" s="6">
        <v>45.3</v>
      </c>
      <c r="G166" s="6">
        <v>52.8</v>
      </c>
    </row>
    <row r="167" spans="1:7" ht="12" customHeight="1" x14ac:dyDescent="0.25">
      <c r="A167" s="3" t="s">
        <v>339</v>
      </c>
      <c r="B167" s="3" t="s">
        <v>340</v>
      </c>
      <c r="C167" s="4" t="s">
        <v>9</v>
      </c>
      <c r="D167" s="5">
        <v>44.3</v>
      </c>
      <c r="E167" s="5">
        <v>53.8</v>
      </c>
      <c r="F167" s="6">
        <v>48.8</v>
      </c>
      <c r="G167" s="6">
        <v>49.9</v>
      </c>
    </row>
    <row r="168" spans="1:7" ht="12" customHeight="1" x14ac:dyDescent="0.25">
      <c r="A168" s="3" t="s">
        <v>341</v>
      </c>
      <c r="B168" s="3" t="s">
        <v>342</v>
      </c>
      <c r="C168" s="4" t="s">
        <v>9</v>
      </c>
      <c r="D168" s="5">
        <v>36.1</v>
      </c>
      <c r="E168" s="5">
        <v>61.6</v>
      </c>
      <c r="F168" s="6">
        <v>39.5</v>
      </c>
      <c r="G168" s="6">
        <v>58.6</v>
      </c>
    </row>
    <row r="169" spans="1:7" ht="12" customHeight="1" x14ac:dyDescent="0.25">
      <c r="A169" s="3" t="s">
        <v>343</v>
      </c>
      <c r="B169" s="3" t="s">
        <v>344</v>
      </c>
      <c r="C169" s="4" t="s">
        <v>9</v>
      </c>
      <c r="D169" s="5">
        <v>32.1</v>
      </c>
      <c r="E169" s="5">
        <v>66.400000000000006</v>
      </c>
      <c r="F169" s="6">
        <v>36.9</v>
      </c>
      <c r="G169" s="6">
        <v>61.6</v>
      </c>
    </row>
    <row r="170" spans="1:7" ht="12" customHeight="1" x14ac:dyDescent="0.25">
      <c r="A170" s="3" t="s">
        <v>345</v>
      </c>
      <c r="B170" s="3" t="s">
        <v>346</v>
      </c>
      <c r="C170" s="4" t="s">
        <v>9</v>
      </c>
      <c r="D170" s="5">
        <v>35.1</v>
      </c>
      <c r="E170" s="5">
        <v>63.3</v>
      </c>
      <c r="F170" s="6">
        <v>37.200000000000003</v>
      </c>
      <c r="G170" s="6">
        <v>61.5</v>
      </c>
    </row>
    <row r="171" spans="1:7" ht="12" customHeight="1" x14ac:dyDescent="0.25">
      <c r="A171" s="3" t="s">
        <v>347</v>
      </c>
      <c r="B171" s="3" t="s">
        <v>348</v>
      </c>
      <c r="C171" s="7" t="s">
        <v>24</v>
      </c>
      <c r="D171" s="5">
        <v>55.7</v>
      </c>
      <c r="E171" s="5">
        <v>42.8</v>
      </c>
      <c r="F171" s="6">
        <v>56.2</v>
      </c>
      <c r="G171" s="6">
        <v>42.8</v>
      </c>
    </row>
    <row r="172" spans="1:7" ht="12" customHeight="1" x14ac:dyDescent="0.25">
      <c r="A172" s="3" t="s">
        <v>349</v>
      </c>
      <c r="B172" s="3" t="s">
        <v>350</v>
      </c>
      <c r="C172" s="4" t="s">
        <v>9</v>
      </c>
      <c r="D172" s="5">
        <v>34.799999999999997</v>
      </c>
      <c r="E172" s="5">
        <v>63.4</v>
      </c>
      <c r="F172" s="6">
        <v>37</v>
      </c>
      <c r="G172" s="6">
        <v>61.5</v>
      </c>
    </row>
    <row r="173" spans="1:7" ht="12" customHeight="1" x14ac:dyDescent="0.25">
      <c r="A173" s="3" t="s">
        <v>351</v>
      </c>
      <c r="B173" s="3" t="s">
        <v>352</v>
      </c>
      <c r="C173" s="4" t="s">
        <v>9</v>
      </c>
      <c r="D173" s="5">
        <v>23.2</v>
      </c>
      <c r="E173" s="5">
        <v>75</v>
      </c>
      <c r="F173" s="6">
        <v>31.6</v>
      </c>
      <c r="G173" s="6">
        <v>66.599999999999994</v>
      </c>
    </row>
    <row r="174" spans="1:7" ht="12" customHeight="1" x14ac:dyDescent="0.25">
      <c r="A174" s="3" t="s">
        <v>353</v>
      </c>
      <c r="B174" s="3" t="s">
        <v>354</v>
      </c>
      <c r="C174" s="4" t="s">
        <v>9</v>
      </c>
      <c r="D174" s="5">
        <v>42.2</v>
      </c>
      <c r="E174" s="5">
        <v>55.8</v>
      </c>
      <c r="F174" s="6">
        <v>44.8</v>
      </c>
      <c r="G174" s="6">
        <v>53.7</v>
      </c>
    </row>
    <row r="175" spans="1:7" ht="12" customHeight="1" x14ac:dyDescent="0.25">
      <c r="A175" s="3" t="s">
        <v>355</v>
      </c>
      <c r="B175" s="3" t="s">
        <v>356</v>
      </c>
      <c r="C175" s="4" t="s">
        <v>9</v>
      </c>
      <c r="D175" s="5">
        <v>26.9</v>
      </c>
      <c r="E175" s="5">
        <v>70.900000000000006</v>
      </c>
      <c r="F175" s="6">
        <v>25.3</v>
      </c>
      <c r="G175" s="6">
        <v>72.7</v>
      </c>
    </row>
    <row r="176" spans="1:7" ht="12" customHeight="1" x14ac:dyDescent="0.25">
      <c r="A176" s="3" t="s">
        <v>357</v>
      </c>
      <c r="B176" s="3" t="s">
        <v>358</v>
      </c>
      <c r="C176" s="7" t="s">
        <v>24</v>
      </c>
      <c r="D176" s="5">
        <v>75.8</v>
      </c>
      <c r="E176" s="5">
        <v>22.8</v>
      </c>
      <c r="F176" s="6">
        <v>73.400000000000006</v>
      </c>
      <c r="G176" s="6">
        <v>25.4</v>
      </c>
    </row>
    <row r="177" spans="1:7" ht="12" customHeight="1" x14ac:dyDescent="0.25">
      <c r="A177" s="3" t="s">
        <v>359</v>
      </c>
      <c r="B177" s="12" t="s">
        <v>360</v>
      </c>
      <c r="C177" s="4" t="s">
        <v>9</v>
      </c>
      <c r="D177" s="5">
        <v>32.299999999999997</v>
      </c>
      <c r="E177" s="5">
        <v>66.099999999999994</v>
      </c>
      <c r="F177" s="6">
        <v>34.1</v>
      </c>
      <c r="G177" s="6">
        <v>64.2</v>
      </c>
    </row>
    <row r="178" spans="1:7" ht="12" customHeight="1" x14ac:dyDescent="0.25">
      <c r="A178" s="3" t="s">
        <v>361</v>
      </c>
      <c r="B178" s="3" t="s">
        <v>362</v>
      </c>
      <c r="C178" s="4" t="s">
        <v>9</v>
      </c>
      <c r="D178" s="5">
        <v>39.700000000000003</v>
      </c>
      <c r="E178" s="5">
        <v>59</v>
      </c>
      <c r="F178" s="6">
        <v>39.9</v>
      </c>
      <c r="G178" s="6">
        <v>58.9</v>
      </c>
    </row>
    <row r="179" spans="1:7" ht="12" customHeight="1" x14ac:dyDescent="0.25">
      <c r="A179" s="3" t="s">
        <v>363</v>
      </c>
      <c r="B179" s="3" t="s">
        <v>364</v>
      </c>
      <c r="C179" s="4" t="s">
        <v>9</v>
      </c>
      <c r="D179" s="5">
        <v>37.700000000000003</v>
      </c>
      <c r="E179" s="5">
        <v>61</v>
      </c>
      <c r="F179" s="6">
        <v>36.700000000000003</v>
      </c>
      <c r="G179" s="6">
        <v>62</v>
      </c>
    </row>
    <row r="180" spans="1:7" ht="12" customHeight="1" x14ac:dyDescent="0.25">
      <c r="A180" s="3" t="s">
        <v>365</v>
      </c>
      <c r="B180" s="3" t="s">
        <v>366</v>
      </c>
      <c r="C180" s="4" t="s">
        <v>9</v>
      </c>
      <c r="D180" s="5">
        <v>32</v>
      </c>
      <c r="E180" s="5">
        <v>66.099999999999994</v>
      </c>
      <c r="F180" s="6">
        <v>30.9</v>
      </c>
      <c r="G180" s="6">
        <v>67.5</v>
      </c>
    </row>
    <row r="181" spans="1:7" ht="12" customHeight="1" x14ac:dyDescent="0.25">
      <c r="A181" s="3" t="s">
        <v>367</v>
      </c>
      <c r="B181" s="3" t="s">
        <v>368</v>
      </c>
      <c r="C181" s="7" t="s">
        <v>24</v>
      </c>
      <c r="D181" s="6">
        <v>64</v>
      </c>
      <c r="E181" s="6">
        <v>34.299999999999997</v>
      </c>
      <c r="F181" s="6">
        <v>64.099999999999994</v>
      </c>
      <c r="G181" s="6">
        <v>33.700000000000003</v>
      </c>
    </row>
    <row r="182" spans="1:7" ht="12" customHeight="1" x14ac:dyDescent="0.25">
      <c r="A182" s="3" t="s">
        <v>369</v>
      </c>
      <c r="B182" s="3" t="s">
        <v>370</v>
      </c>
      <c r="C182" s="7" t="s">
        <v>24</v>
      </c>
      <c r="D182" s="6">
        <v>58.7</v>
      </c>
      <c r="E182" s="6">
        <v>39.200000000000003</v>
      </c>
      <c r="F182" s="6">
        <v>60.4</v>
      </c>
      <c r="G182" s="6">
        <v>37.5</v>
      </c>
    </row>
    <row r="183" spans="1:7" ht="12" customHeight="1" x14ac:dyDescent="0.25">
      <c r="A183" s="3" t="s">
        <v>371</v>
      </c>
      <c r="B183" s="3" t="s">
        <v>372</v>
      </c>
      <c r="C183" s="7" t="s">
        <v>24</v>
      </c>
      <c r="D183" s="6">
        <v>56.9</v>
      </c>
      <c r="E183" s="6">
        <v>41.4</v>
      </c>
      <c r="F183" s="6">
        <v>58.8</v>
      </c>
      <c r="G183" s="6">
        <v>39.4</v>
      </c>
    </row>
    <row r="184" spans="1:7" ht="12" customHeight="1" x14ac:dyDescent="0.25">
      <c r="A184" s="3" t="s">
        <v>373</v>
      </c>
      <c r="B184" s="3" t="s">
        <v>374</v>
      </c>
      <c r="C184" s="7" t="s">
        <v>24</v>
      </c>
      <c r="D184" s="6">
        <v>57.1</v>
      </c>
      <c r="E184" s="6">
        <v>41.3</v>
      </c>
      <c r="F184" s="6">
        <v>60.4</v>
      </c>
      <c r="G184" s="6">
        <v>37.9</v>
      </c>
    </row>
    <row r="185" spans="1:7" ht="12" customHeight="1" x14ac:dyDescent="0.25">
      <c r="A185" s="3" t="s">
        <v>375</v>
      </c>
      <c r="B185" s="3" t="s">
        <v>376</v>
      </c>
      <c r="C185" s="7" t="s">
        <v>24</v>
      </c>
      <c r="D185" s="6">
        <v>65.2</v>
      </c>
      <c r="E185" s="6">
        <v>33.1</v>
      </c>
      <c r="F185" s="6">
        <v>66.2</v>
      </c>
      <c r="G185" s="6">
        <v>32.1</v>
      </c>
    </row>
    <row r="186" spans="1:7" ht="12" customHeight="1" x14ac:dyDescent="0.25">
      <c r="A186" s="3" t="s">
        <v>377</v>
      </c>
      <c r="B186" s="3" t="s">
        <v>378</v>
      </c>
      <c r="C186" s="7" t="s">
        <v>24</v>
      </c>
      <c r="D186" s="6">
        <v>54.7</v>
      </c>
      <c r="E186" s="6">
        <v>43.9</v>
      </c>
      <c r="F186" s="6">
        <v>56.9</v>
      </c>
      <c r="G186" s="6">
        <v>41.4</v>
      </c>
    </row>
    <row r="187" spans="1:7" ht="12" customHeight="1" x14ac:dyDescent="0.25">
      <c r="A187" s="3" t="s">
        <v>379</v>
      </c>
      <c r="B187" s="3" t="s">
        <v>380</v>
      </c>
      <c r="C187" s="7" t="s">
        <v>24</v>
      </c>
      <c r="D187" s="6">
        <v>82.5</v>
      </c>
      <c r="E187" s="6">
        <v>15.6</v>
      </c>
      <c r="F187" s="6">
        <v>81.900000000000006</v>
      </c>
      <c r="G187" s="6">
        <v>16.7</v>
      </c>
    </row>
    <row r="188" spans="1:7" ht="12" customHeight="1" x14ac:dyDescent="0.25">
      <c r="A188" s="3" t="s">
        <v>381</v>
      </c>
      <c r="B188" s="3" t="s">
        <v>382</v>
      </c>
      <c r="C188" s="7" t="s">
        <v>24</v>
      </c>
      <c r="D188" s="6">
        <v>57.8</v>
      </c>
      <c r="E188" s="6">
        <v>40.799999999999997</v>
      </c>
      <c r="F188" s="6">
        <v>57.9</v>
      </c>
      <c r="G188" s="6">
        <v>40.5</v>
      </c>
    </row>
    <row r="189" spans="1:7" ht="12" customHeight="1" x14ac:dyDescent="0.25">
      <c r="A189" s="3" t="s">
        <v>383</v>
      </c>
      <c r="B189" s="3" t="s">
        <v>384</v>
      </c>
      <c r="C189" s="7" t="s">
        <v>24</v>
      </c>
      <c r="D189" s="6">
        <v>55.5</v>
      </c>
      <c r="E189" s="6">
        <v>43.1</v>
      </c>
      <c r="F189" s="6">
        <v>57.8</v>
      </c>
      <c r="G189" s="6">
        <v>40.6</v>
      </c>
    </row>
    <row r="190" spans="1:7" ht="12" customHeight="1" x14ac:dyDescent="0.25">
      <c r="A190" s="3" t="s">
        <v>385</v>
      </c>
      <c r="B190" s="3" t="s">
        <v>386</v>
      </c>
      <c r="C190" s="4" t="s">
        <v>9</v>
      </c>
      <c r="D190" s="5">
        <v>37.700000000000003</v>
      </c>
      <c r="E190" s="5">
        <v>60.4</v>
      </c>
      <c r="F190" s="6">
        <v>38.4</v>
      </c>
      <c r="G190" s="6">
        <v>59.6</v>
      </c>
    </row>
    <row r="191" spans="1:7" ht="12" customHeight="1" x14ac:dyDescent="0.25">
      <c r="A191" s="3" t="s">
        <v>387</v>
      </c>
      <c r="B191" s="3" t="s">
        <v>388</v>
      </c>
      <c r="C191" s="7" t="s">
        <v>24</v>
      </c>
      <c r="D191" s="5">
        <v>63.1</v>
      </c>
      <c r="E191" s="5">
        <v>35</v>
      </c>
      <c r="F191" s="6">
        <v>60.6</v>
      </c>
      <c r="G191" s="6">
        <v>37.5</v>
      </c>
    </row>
    <row r="192" spans="1:7" ht="12" customHeight="1" x14ac:dyDescent="0.25">
      <c r="A192" s="3" t="s">
        <v>389</v>
      </c>
      <c r="B192" s="3" t="s">
        <v>390</v>
      </c>
      <c r="C192" s="7" t="s">
        <v>24</v>
      </c>
      <c r="D192" s="5">
        <v>60.7</v>
      </c>
      <c r="E192" s="5">
        <v>37.1</v>
      </c>
      <c r="F192" s="6">
        <v>60.1</v>
      </c>
      <c r="G192" s="6">
        <v>38</v>
      </c>
    </row>
    <row r="193" spans="1:7" ht="12" customHeight="1" x14ac:dyDescent="0.25">
      <c r="A193" s="3" t="s">
        <v>391</v>
      </c>
      <c r="B193" s="3" t="s">
        <v>392</v>
      </c>
      <c r="C193" s="7" t="s">
        <v>24</v>
      </c>
      <c r="D193" s="5">
        <v>78.099999999999994</v>
      </c>
      <c r="E193" s="5">
        <v>20.8</v>
      </c>
      <c r="F193" s="6">
        <v>77.3</v>
      </c>
      <c r="G193" s="6">
        <v>21.8</v>
      </c>
    </row>
    <row r="194" spans="1:7" ht="12" customHeight="1" x14ac:dyDescent="0.25">
      <c r="A194" s="3" t="s">
        <v>393</v>
      </c>
      <c r="B194" s="3" t="s">
        <v>394</v>
      </c>
      <c r="C194" s="7" t="s">
        <v>24</v>
      </c>
      <c r="D194" s="5">
        <v>66.099999999999994</v>
      </c>
      <c r="E194" s="5">
        <v>32.4</v>
      </c>
      <c r="F194" s="6">
        <v>65.099999999999994</v>
      </c>
      <c r="G194" s="6">
        <v>33.6</v>
      </c>
    </row>
    <row r="195" spans="1:7" ht="12" customHeight="1" x14ac:dyDescent="0.25">
      <c r="A195" s="3" t="s">
        <v>395</v>
      </c>
      <c r="B195" s="3" t="s">
        <v>396</v>
      </c>
      <c r="C195" s="7" t="s">
        <v>24</v>
      </c>
      <c r="D195" s="5">
        <v>55.2</v>
      </c>
      <c r="E195" s="5">
        <v>42.8</v>
      </c>
      <c r="F195" s="6">
        <v>56.3</v>
      </c>
      <c r="G195" s="6">
        <v>42</v>
      </c>
    </row>
    <row r="196" spans="1:7" ht="12" customHeight="1" x14ac:dyDescent="0.25">
      <c r="A196" s="3" t="s">
        <v>397</v>
      </c>
      <c r="B196" s="3" t="s">
        <v>398</v>
      </c>
      <c r="C196" s="7" t="s">
        <v>24</v>
      </c>
      <c r="D196" s="5">
        <v>76.2</v>
      </c>
      <c r="E196" s="5">
        <v>22.3</v>
      </c>
      <c r="F196" s="6">
        <v>76.2</v>
      </c>
      <c r="G196" s="6">
        <v>22.4</v>
      </c>
    </row>
    <row r="197" spans="1:7" ht="12" customHeight="1" x14ac:dyDescent="0.25">
      <c r="A197" s="3" t="s">
        <v>399</v>
      </c>
      <c r="B197" s="3" t="s">
        <v>400</v>
      </c>
      <c r="C197" s="7" t="s">
        <v>24</v>
      </c>
      <c r="D197" s="5">
        <v>62</v>
      </c>
      <c r="E197" s="5">
        <v>36</v>
      </c>
      <c r="F197" s="6">
        <v>62.8</v>
      </c>
      <c r="G197" s="6">
        <v>35.6</v>
      </c>
    </row>
    <row r="198" spans="1:7" ht="12" customHeight="1" x14ac:dyDescent="0.25">
      <c r="A198" s="3" t="s">
        <v>401</v>
      </c>
      <c r="B198" s="3" t="s">
        <v>402</v>
      </c>
      <c r="C198" s="7" t="s">
        <v>24</v>
      </c>
      <c r="D198" s="5">
        <v>59.6</v>
      </c>
      <c r="E198" s="5">
        <v>38.200000000000003</v>
      </c>
      <c r="F198" s="6">
        <v>60.7</v>
      </c>
      <c r="G198" s="6">
        <v>37.5</v>
      </c>
    </row>
    <row r="199" spans="1:7" ht="12" customHeight="1" x14ac:dyDescent="0.25">
      <c r="A199" s="3" t="s">
        <v>403</v>
      </c>
      <c r="B199" s="3" t="s">
        <v>404</v>
      </c>
      <c r="C199" s="4" t="s">
        <v>9</v>
      </c>
      <c r="D199" s="5">
        <v>52.9</v>
      </c>
      <c r="E199" s="5">
        <v>44.4</v>
      </c>
      <c r="F199" s="6">
        <v>54.6</v>
      </c>
      <c r="G199" s="6">
        <v>43.4</v>
      </c>
    </row>
    <row r="200" spans="1:7" ht="12" customHeight="1" x14ac:dyDescent="0.25">
      <c r="A200" s="3" t="s">
        <v>405</v>
      </c>
      <c r="B200" s="3" t="s">
        <v>406</v>
      </c>
      <c r="C200" s="4" t="s">
        <v>9</v>
      </c>
      <c r="D200" s="13">
        <v>45.3</v>
      </c>
      <c r="E200" s="13">
        <v>53.6</v>
      </c>
      <c r="F200" s="6">
        <v>49.7</v>
      </c>
      <c r="G200" s="6">
        <v>48.4</v>
      </c>
    </row>
    <row r="201" spans="1:7" ht="12" customHeight="1" x14ac:dyDescent="0.25">
      <c r="A201" s="3" t="s">
        <v>407</v>
      </c>
      <c r="B201" s="3" t="s">
        <v>408</v>
      </c>
      <c r="C201" s="4" t="s">
        <v>9</v>
      </c>
      <c r="D201" s="13">
        <v>43.1</v>
      </c>
      <c r="E201" s="13">
        <v>56</v>
      </c>
      <c r="F201" s="6">
        <v>48</v>
      </c>
      <c r="G201" s="6">
        <v>50.3</v>
      </c>
    </row>
    <row r="202" spans="1:7" ht="12" customHeight="1" x14ac:dyDescent="0.25">
      <c r="A202" s="3" t="s">
        <v>409</v>
      </c>
      <c r="B202" s="3" t="s">
        <v>410</v>
      </c>
      <c r="C202" s="4" t="s">
        <v>9</v>
      </c>
      <c r="D202" s="13">
        <v>45.8</v>
      </c>
      <c r="E202" s="13">
        <v>53.1</v>
      </c>
      <c r="F202" s="6">
        <v>49.7</v>
      </c>
      <c r="G202" s="6">
        <v>48.6</v>
      </c>
    </row>
    <row r="203" spans="1:7" ht="12" customHeight="1" x14ac:dyDescent="0.25">
      <c r="A203" s="3" t="s">
        <v>411</v>
      </c>
      <c r="B203" s="3" t="s">
        <v>412</v>
      </c>
      <c r="C203" s="4" t="s">
        <v>9</v>
      </c>
      <c r="D203" s="13">
        <v>45.5</v>
      </c>
      <c r="E203" s="13">
        <v>53.5</v>
      </c>
      <c r="F203" s="6">
        <v>49.6</v>
      </c>
      <c r="G203" s="6">
        <v>48.6</v>
      </c>
    </row>
    <row r="204" spans="1:7" ht="12" customHeight="1" x14ac:dyDescent="0.25">
      <c r="A204" s="3" t="s">
        <v>413</v>
      </c>
      <c r="B204" s="3" t="s">
        <v>414</v>
      </c>
      <c r="C204" s="7" t="s">
        <v>24</v>
      </c>
      <c r="D204" s="13">
        <v>60.7</v>
      </c>
      <c r="E204" s="13">
        <v>38.299999999999997</v>
      </c>
      <c r="F204" s="6">
        <v>63</v>
      </c>
      <c r="G204" s="6">
        <v>35.299999999999997</v>
      </c>
    </row>
    <row r="205" spans="1:7" ht="12" customHeight="1" x14ac:dyDescent="0.25">
      <c r="A205" s="3" t="s">
        <v>415</v>
      </c>
      <c r="B205" s="3" t="s">
        <v>416</v>
      </c>
      <c r="C205" s="4" t="s">
        <v>9</v>
      </c>
      <c r="D205" s="13">
        <v>48.8</v>
      </c>
      <c r="E205" s="13">
        <v>50.2</v>
      </c>
      <c r="F205" s="6">
        <v>53.1</v>
      </c>
      <c r="G205" s="6">
        <v>45.2</v>
      </c>
    </row>
    <row r="206" spans="1:7" ht="12" customHeight="1" x14ac:dyDescent="0.25">
      <c r="A206" s="3" t="s">
        <v>417</v>
      </c>
      <c r="B206" s="3" t="s">
        <v>418</v>
      </c>
      <c r="C206" s="4" t="s">
        <v>9</v>
      </c>
      <c r="D206" s="13">
        <v>47.9</v>
      </c>
      <c r="E206" s="13">
        <v>51</v>
      </c>
      <c r="F206" s="6">
        <v>50.8</v>
      </c>
      <c r="G206" s="6">
        <v>47.4</v>
      </c>
    </row>
    <row r="207" spans="1:7" ht="12" customHeight="1" x14ac:dyDescent="0.25">
      <c r="A207" s="3" t="s">
        <v>419</v>
      </c>
      <c r="B207" s="3" t="s">
        <v>420</v>
      </c>
      <c r="C207" s="4" t="s">
        <v>9</v>
      </c>
      <c r="D207" s="13">
        <v>48</v>
      </c>
      <c r="E207" s="13">
        <v>51.1</v>
      </c>
      <c r="F207" s="6">
        <v>52</v>
      </c>
      <c r="G207" s="6">
        <v>46.4</v>
      </c>
    </row>
    <row r="208" spans="1:7" ht="12" customHeight="1" x14ac:dyDescent="0.25">
      <c r="A208" s="3" t="s">
        <v>421</v>
      </c>
      <c r="B208" s="3" t="s">
        <v>422</v>
      </c>
      <c r="C208" s="7" t="s">
        <v>24</v>
      </c>
      <c r="D208" s="13">
        <v>57.2</v>
      </c>
      <c r="E208" s="13">
        <v>41.9</v>
      </c>
      <c r="F208" s="6">
        <v>58.1</v>
      </c>
      <c r="G208" s="6">
        <v>40.1</v>
      </c>
    </row>
    <row r="209" spans="1:7" ht="12" customHeight="1" x14ac:dyDescent="0.25">
      <c r="A209" s="3" t="s">
        <v>423</v>
      </c>
      <c r="B209" s="3" t="s">
        <v>424</v>
      </c>
      <c r="C209" s="4" t="s">
        <v>9</v>
      </c>
      <c r="D209" s="13">
        <v>43.7</v>
      </c>
      <c r="E209" s="13">
        <v>55.3</v>
      </c>
      <c r="F209" s="6">
        <v>48</v>
      </c>
      <c r="G209" s="6">
        <v>50</v>
      </c>
    </row>
    <row r="210" spans="1:7" ht="12" customHeight="1" x14ac:dyDescent="0.25">
      <c r="A210" s="3" t="s">
        <v>425</v>
      </c>
      <c r="B210" s="3" t="s">
        <v>426</v>
      </c>
      <c r="C210" s="4" t="s">
        <v>9</v>
      </c>
      <c r="D210" s="13">
        <v>46.9</v>
      </c>
      <c r="E210" s="13">
        <v>52.3</v>
      </c>
      <c r="F210" s="6">
        <v>50.2</v>
      </c>
      <c r="G210" s="6">
        <v>48.3</v>
      </c>
    </row>
    <row r="211" spans="1:7" ht="12" customHeight="1" x14ac:dyDescent="0.25">
      <c r="A211" s="3" t="s">
        <v>427</v>
      </c>
      <c r="B211" s="3" t="s">
        <v>428</v>
      </c>
      <c r="C211" s="7" t="s">
        <v>24</v>
      </c>
      <c r="D211" s="13">
        <v>66.2</v>
      </c>
      <c r="E211" s="13">
        <v>32.799999999999997</v>
      </c>
      <c r="F211" s="6">
        <v>66.900000000000006</v>
      </c>
      <c r="G211" s="6">
        <v>31.4</v>
      </c>
    </row>
    <row r="212" spans="1:7" ht="12" customHeight="1" x14ac:dyDescent="0.25">
      <c r="A212" s="3" t="s">
        <v>429</v>
      </c>
      <c r="B212" s="3" t="s">
        <v>430</v>
      </c>
      <c r="C212" s="7" t="s">
        <v>24</v>
      </c>
      <c r="D212" s="13">
        <v>85.2</v>
      </c>
      <c r="E212" s="13">
        <v>14.3</v>
      </c>
      <c r="F212" s="6">
        <v>84.8</v>
      </c>
      <c r="G212" s="6">
        <v>14.2</v>
      </c>
    </row>
    <row r="213" spans="1:7" ht="12" customHeight="1" x14ac:dyDescent="0.25">
      <c r="A213" s="3" t="s">
        <v>431</v>
      </c>
      <c r="B213" s="3" t="s">
        <v>432</v>
      </c>
      <c r="C213" s="7" t="s">
        <v>24</v>
      </c>
      <c r="D213" s="13">
        <v>81</v>
      </c>
      <c r="E213" s="13">
        <v>18.600000000000001</v>
      </c>
      <c r="F213" s="6">
        <v>82.2</v>
      </c>
      <c r="G213" s="6">
        <v>17.100000000000001</v>
      </c>
    </row>
    <row r="214" spans="1:7" ht="12" customHeight="1" x14ac:dyDescent="0.25">
      <c r="A214" s="3" t="s">
        <v>433</v>
      </c>
      <c r="B214" s="3" t="s">
        <v>434</v>
      </c>
      <c r="C214" s="7" t="s">
        <v>24</v>
      </c>
      <c r="D214" s="5">
        <v>49.6</v>
      </c>
      <c r="E214" s="5">
        <v>48.2</v>
      </c>
      <c r="F214" s="6">
        <v>50.8</v>
      </c>
      <c r="G214" s="6">
        <v>46.7</v>
      </c>
    </row>
    <row r="215" spans="1:7" ht="12" customHeight="1" x14ac:dyDescent="0.25">
      <c r="A215" s="3" t="s">
        <v>435</v>
      </c>
      <c r="B215" s="3" t="s">
        <v>436</v>
      </c>
      <c r="C215" s="4" t="s">
        <v>9</v>
      </c>
      <c r="D215" s="5">
        <v>49.1</v>
      </c>
      <c r="E215" s="5">
        <v>49</v>
      </c>
      <c r="F215" s="6">
        <v>50.5</v>
      </c>
      <c r="G215" s="6">
        <v>47.6</v>
      </c>
    </row>
    <row r="216" spans="1:7" ht="12" customHeight="1" x14ac:dyDescent="0.25">
      <c r="A216" s="3" t="s">
        <v>437</v>
      </c>
      <c r="B216" s="3" t="s">
        <v>438</v>
      </c>
      <c r="C216" s="4" t="s">
        <v>9</v>
      </c>
      <c r="D216" s="5">
        <v>49.6</v>
      </c>
      <c r="E216" s="5">
        <v>48.8</v>
      </c>
      <c r="F216" s="6">
        <v>51</v>
      </c>
      <c r="G216" s="6">
        <v>47.4</v>
      </c>
    </row>
    <row r="217" spans="1:7" ht="12" customHeight="1" x14ac:dyDescent="0.25">
      <c r="A217" s="3" t="s">
        <v>439</v>
      </c>
      <c r="B217" s="3" t="s">
        <v>440</v>
      </c>
      <c r="C217" s="7" t="s">
        <v>24</v>
      </c>
      <c r="D217" s="5">
        <v>62.5</v>
      </c>
      <c r="E217" s="5">
        <v>35.5</v>
      </c>
      <c r="F217" s="6">
        <v>62.6</v>
      </c>
      <c r="G217" s="6">
        <v>35.5</v>
      </c>
    </row>
    <row r="218" spans="1:7" ht="12" customHeight="1" x14ac:dyDescent="0.25">
      <c r="A218" s="3" t="s">
        <v>441</v>
      </c>
      <c r="B218" s="3" t="s">
        <v>442</v>
      </c>
      <c r="C218" s="7" t="s">
        <v>24</v>
      </c>
      <c r="D218" s="5">
        <v>73.5</v>
      </c>
      <c r="E218" s="5">
        <v>24</v>
      </c>
      <c r="F218" s="6">
        <v>73.400000000000006</v>
      </c>
      <c r="G218" s="6">
        <v>24.5</v>
      </c>
    </row>
    <row r="219" spans="1:7" ht="12" customHeight="1" x14ac:dyDescent="0.25">
      <c r="A219" s="3" t="s">
        <v>443</v>
      </c>
      <c r="B219" s="3" t="s">
        <v>444</v>
      </c>
      <c r="C219" s="4" t="s">
        <v>9</v>
      </c>
      <c r="D219" s="5">
        <v>41.5</v>
      </c>
      <c r="E219" s="5">
        <v>56.5</v>
      </c>
      <c r="F219" s="6">
        <v>43.2</v>
      </c>
      <c r="G219" s="6">
        <v>54.7</v>
      </c>
    </row>
    <row r="220" spans="1:7" ht="12" customHeight="1" x14ac:dyDescent="0.25">
      <c r="A220" s="3" t="s">
        <v>445</v>
      </c>
      <c r="B220" s="3" t="s">
        <v>446</v>
      </c>
      <c r="C220" s="7" t="s">
        <v>24</v>
      </c>
      <c r="D220" s="14">
        <v>44.1</v>
      </c>
      <c r="E220" s="5">
        <v>53.9</v>
      </c>
      <c r="F220" s="6">
        <v>47.1</v>
      </c>
      <c r="G220" s="6">
        <v>50.4</v>
      </c>
    </row>
    <row r="221" spans="1:7" ht="12" customHeight="1" x14ac:dyDescent="0.25">
      <c r="A221" s="3" t="s">
        <v>447</v>
      </c>
      <c r="B221" s="3" t="s">
        <v>448</v>
      </c>
      <c r="C221" s="7" t="s">
        <v>24</v>
      </c>
      <c r="D221" s="5">
        <v>51.7</v>
      </c>
      <c r="E221" s="5">
        <v>46.2</v>
      </c>
      <c r="F221" s="6">
        <v>53.1</v>
      </c>
      <c r="G221" s="6">
        <v>44.5</v>
      </c>
    </row>
    <row r="222" spans="1:7" ht="12" customHeight="1" x14ac:dyDescent="0.25">
      <c r="A222" s="3" t="s">
        <v>449</v>
      </c>
      <c r="B222" s="3" t="s">
        <v>450</v>
      </c>
      <c r="C222" s="7" t="s">
        <v>24</v>
      </c>
      <c r="D222" s="5">
        <v>79.900000000000006</v>
      </c>
      <c r="E222" s="5">
        <v>18.899999999999999</v>
      </c>
      <c r="F222" s="6">
        <v>80.3</v>
      </c>
      <c r="G222" s="6">
        <v>18.600000000000001</v>
      </c>
    </row>
    <row r="223" spans="1:7" ht="12" customHeight="1" x14ac:dyDescent="0.25">
      <c r="A223" s="3" t="s">
        <v>451</v>
      </c>
      <c r="B223" s="3" t="s">
        <v>452</v>
      </c>
      <c r="C223" s="4" t="s">
        <v>9</v>
      </c>
      <c r="D223" s="5">
        <v>41.4</v>
      </c>
      <c r="E223" s="5">
        <v>57.1</v>
      </c>
      <c r="F223" s="6">
        <v>46.4</v>
      </c>
      <c r="G223" s="6">
        <v>52.6</v>
      </c>
    </row>
    <row r="224" spans="1:7" ht="12" customHeight="1" x14ac:dyDescent="0.25">
      <c r="A224" s="3" t="s">
        <v>453</v>
      </c>
      <c r="B224" s="3" t="s">
        <v>454</v>
      </c>
      <c r="C224" s="4" t="s">
        <v>9</v>
      </c>
      <c r="D224" s="5">
        <v>36.1</v>
      </c>
      <c r="E224" s="5">
        <v>62</v>
      </c>
      <c r="F224" s="6">
        <v>42.8</v>
      </c>
      <c r="G224" s="6">
        <v>55.8</v>
      </c>
    </row>
    <row r="225" spans="1:7" ht="12" customHeight="1" x14ac:dyDescent="0.25">
      <c r="A225" s="3" t="s">
        <v>455</v>
      </c>
      <c r="B225" s="3" t="s">
        <v>456</v>
      </c>
      <c r="C225" s="4" t="s">
        <v>9</v>
      </c>
      <c r="D225" s="5">
        <v>36.4</v>
      </c>
      <c r="E225" s="5">
        <v>61.2</v>
      </c>
      <c r="F225" s="6">
        <v>41.9</v>
      </c>
      <c r="G225" s="6">
        <v>56.5</v>
      </c>
    </row>
    <row r="226" spans="1:7" ht="12" customHeight="1" x14ac:dyDescent="0.25">
      <c r="A226" s="3" t="s">
        <v>457</v>
      </c>
      <c r="B226" s="3" t="s">
        <v>458</v>
      </c>
      <c r="C226" s="7" t="s">
        <v>24</v>
      </c>
      <c r="D226" s="5">
        <v>58.9</v>
      </c>
      <c r="E226" s="5">
        <v>39.4</v>
      </c>
      <c r="F226" s="6">
        <v>62</v>
      </c>
      <c r="G226" s="6">
        <v>36.799999999999997</v>
      </c>
    </row>
    <row r="227" spans="1:7" ht="12" customHeight="1" x14ac:dyDescent="0.25">
      <c r="A227" s="3" t="s">
        <v>459</v>
      </c>
      <c r="B227" s="3" t="s">
        <v>460</v>
      </c>
      <c r="C227" s="4" t="s">
        <v>9</v>
      </c>
      <c r="D227" s="14">
        <v>37.9</v>
      </c>
      <c r="E227" s="5">
        <v>60</v>
      </c>
      <c r="F227" s="15">
        <v>43.1</v>
      </c>
      <c r="G227" s="6">
        <v>55.3</v>
      </c>
    </row>
    <row r="228" spans="1:7" ht="12" customHeight="1" x14ac:dyDescent="0.25">
      <c r="A228" s="3" t="s">
        <v>461</v>
      </c>
      <c r="B228" s="3" t="s">
        <v>462</v>
      </c>
      <c r="C228" s="4" t="s">
        <v>9</v>
      </c>
      <c r="D228" s="5">
        <v>30.3</v>
      </c>
      <c r="E228" s="5">
        <v>67.599999999999994</v>
      </c>
      <c r="F228" s="6">
        <v>35.299999999999997</v>
      </c>
      <c r="G228" s="6">
        <v>63.1</v>
      </c>
    </row>
    <row r="229" spans="1:7" ht="12" customHeight="1" x14ac:dyDescent="0.25">
      <c r="A229" s="3" t="s">
        <v>463</v>
      </c>
      <c r="B229" s="3" t="s">
        <v>464</v>
      </c>
      <c r="C229" s="4" t="s">
        <v>9</v>
      </c>
      <c r="D229" s="5">
        <v>32</v>
      </c>
      <c r="E229" s="5">
        <v>65.900000000000006</v>
      </c>
      <c r="F229" s="6">
        <v>38.299999999999997</v>
      </c>
      <c r="G229" s="6">
        <v>60</v>
      </c>
    </row>
    <row r="230" spans="1:7" ht="12" customHeight="1" x14ac:dyDescent="0.25">
      <c r="A230" s="3" t="s">
        <v>465</v>
      </c>
      <c r="B230" s="3" t="s">
        <v>466</v>
      </c>
      <c r="C230" s="4" t="s">
        <v>9</v>
      </c>
      <c r="D230" s="5">
        <v>37</v>
      </c>
      <c r="E230" s="5">
        <v>61.9</v>
      </c>
      <c r="F230" s="6">
        <v>36.6</v>
      </c>
      <c r="G230" s="6">
        <v>62.4</v>
      </c>
    </row>
    <row r="231" spans="1:7" ht="12" customHeight="1" x14ac:dyDescent="0.25">
      <c r="A231" s="3" t="s">
        <v>467</v>
      </c>
      <c r="B231" s="3" t="s">
        <v>468</v>
      </c>
      <c r="C231" s="7" t="s">
        <v>24</v>
      </c>
      <c r="D231" s="5">
        <v>66.400000000000006</v>
      </c>
      <c r="E231" s="5">
        <v>33</v>
      </c>
      <c r="F231" s="6">
        <v>64.2</v>
      </c>
      <c r="G231" s="6">
        <v>35.200000000000003</v>
      </c>
    </row>
    <row r="232" spans="1:7" ht="12" customHeight="1" x14ac:dyDescent="0.25">
      <c r="A232" s="3" t="s">
        <v>469</v>
      </c>
      <c r="B232" s="3" t="s">
        <v>470</v>
      </c>
      <c r="C232" s="4" t="s">
        <v>9</v>
      </c>
      <c r="D232" s="5">
        <v>39.1</v>
      </c>
      <c r="E232" s="5">
        <v>60</v>
      </c>
      <c r="F232" s="6">
        <v>38.4</v>
      </c>
      <c r="G232" s="6">
        <v>60.8</v>
      </c>
    </row>
    <row r="233" spans="1:7" ht="12" customHeight="1" x14ac:dyDescent="0.25">
      <c r="A233" s="3" t="s">
        <v>471</v>
      </c>
      <c r="B233" s="3" t="s">
        <v>472</v>
      </c>
      <c r="C233" s="4" t="s">
        <v>9</v>
      </c>
      <c r="D233" s="5">
        <v>31.2</v>
      </c>
      <c r="E233" s="5">
        <v>67.599999999999994</v>
      </c>
      <c r="F233" s="6">
        <v>31.1</v>
      </c>
      <c r="G233" s="6">
        <v>67.900000000000006</v>
      </c>
    </row>
    <row r="234" spans="1:7" ht="12" customHeight="1" x14ac:dyDescent="0.25">
      <c r="A234" s="3" t="s">
        <v>473</v>
      </c>
      <c r="B234" s="3" t="s">
        <v>474</v>
      </c>
      <c r="C234" s="4" t="s">
        <v>9</v>
      </c>
      <c r="D234" s="5">
        <v>41.7</v>
      </c>
      <c r="E234" s="5">
        <v>55.4</v>
      </c>
      <c r="F234" s="6">
        <v>47.3</v>
      </c>
      <c r="G234" s="6">
        <v>49.5</v>
      </c>
    </row>
    <row r="235" spans="1:7" ht="12" customHeight="1" x14ac:dyDescent="0.3">
      <c r="A235" s="3" t="s">
        <v>475</v>
      </c>
      <c r="B235" s="3" t="s">
        <v>476</v>
      </c>
      <c r="C235" s="7" t="s">
        <v>24</v>
      </c>
      <c r="D235" s="6">
        <v>71.599999999999994</v>
      </c>
      <c r="E235" s="6">
        <v>27.9</v>
      </c>
      <c r="F235" s="8">
        <v>71</v>
      </c>
      <c r="G235" s="8">
        <v>29</v>
      </c>
    </row>
    <row r="236" spans="1:7" ht="12" customHeight="1" x14ac:dyDescent="0.3">
      <c r="A236" s="3" t="s">
        <v>477</v>
      </c>
      <c r="B236" s="3" t="s">
        <v>478</v>
      </c>
      <c r="C236" s="4" t="s">
        <v>9</v>
      </c>
      <c r="D236" s="6">
        <v>41.7</v>
      </c>
      <c r="E236" s="6">
        <v>57.3</v>
      </c>
      <c r="F236" s="8">
        <v>43</v>
      </c>
      <c r="G236" s="8">
        <v>56</v>
      </c>
    </row>
    <row r="237" spans="1:7" ht="12" customHeight="1" x14ac:dyDescent="0.3">
      <c r="A237" s="3" t="s">
        <v>479</v>
      </c>
      <c r="B237" s="3" t="s">
        <v>480</v>
      </c>
      <c r="C237" s="4" t="s">
        <v>9</v>
      </c>
      <c r="D237" s="6">
        <v>41</v>
      </c>
      <c r="E237" s="6">
        <v>58</v>
      </c>
      <c r="F237" s="8">
        <v>43</v>
      </c>
      <c r="G237" s="8">
        <v>56</v>
      </c>
    </row>
    <row r="238" spans="1:7" ht="12" customHeight="1" x14ac:dyDescent="0.3">
      <c r="A238" s="3" t="s">
        <v>481</v>
      </c>
      <c r="B238" s="3" t="s">
        <v>482</v>
      </c>
      <c r="C238" s="7" t="s">
        <v>24</v>
      </c>
      <c r="D238" s="6">
        <v>71.400000000000006</v>
      </c>
      <c r="E238" s="6">
        <v>27.4</v>
      </c>
      <c r="F238" s="8">
        <v>72</v>
      </c>
      <c r="G238" s="8">
        <v>27</v>
      </c>
    </row>
    <row r="239" spans="1:7" ht="12" customHeight="1" x14ac:dyDescent="0.3">
      <c r="A239" s="3" t="s">
        <v>483</v>
      </c>
      <c r="B239" s="3" t="s">
        <v>484</v>
      </c>
      <c r="C239" s="4" t="s">
        <v>9</v>
      </c>
      <c r="D239" s="6">
        <v>39.799999999999997</v>
      </c>
      <c r="E239" s="6">
        <v>59.1</v>
      </c>
      <c r="F239" s="8">
        <v>42</v>
      </c>
      <c r="G239" s="8">
        <v>57</v>
      </c>
    </row>
    <row r="240" spans="1:7" ht="12" customHeight="1" x14ac:dyDescent="0.3">
      <c r="A240" s="3" t="s">
        <v>485</v>
      </c>
      <c r="B240" s="3" t="s">
        <v>486</v>
      </c>
      <c r="C240" s="4" t="s">
        <v>9</v>
      </c>
      <c r="D240" s="6">
        <v>41.3</v>
      </c>
      <c r="E240" s="6">
        <v>57.7</v>
      </c>
      <c r="F240" s="8">
        <v>43</v>
      </c>
      <c r="G240" s="8">
        <v>56</v>
      </c>
    </row>
    <row r="241" spans="1:7" ht="12" customHeight="1" x14ac:dyDescent="0.3">
      <c r="A241" s="3" t="s">
        <v>487</v>
      </c>
      <c r="B241" s="9" t="s">
        <v>488</v>
      </c>
      <c r="C241" s="4" t="s">
        <v>9</v>
      </c>
      <c r="D241" s="6">
        <v>39.9</v>
      </c>
      <c r="E241" s="6">
        <v>59.2</v>
      </c>
      <c r="F241" s="8">
        <v>42</v>
      </c>
      <c r="G241" s="8">
        <v>58</v>
      </c>
    </row>
    <row r="242" spans="1:7" ht="12" customHeight="1" x14ac:dyDescent="0.3">
      <c r="A242" s="3" t="s">
        <v>489</v>
      </c>
      <c r="B242" s="3" t="s">
        <v>490</v>
      </c>
      <c r="C242" s="4" t="s">
        <v>9</v>
      </c>
      <c r="D242" s="6">
        <v>41</v>
      </c>
      <c r="E242" s="6">
        <v>58.1</v>
      </c>
      <c r="F242" s="8">
        <v>42</v>
      </c>
      <c r="G242" s="8">
        <v>57</v>
      </c>
    </row>
    <row r="243" spans="1:7" ht="12" customHeight="1" x14ac:dyDescent="0.3">
      <c r="A243" s="3" t="s">
        <v>491</v>
      </c>
      <c r="B243" s="3" t="s">
        <v>492</v>
      </c>
      <c r="C243" s="4" t="s">
        <v>9</v>
      </c>
      <c r="D243" s="6">
        <v>42.8</v>
      </c>
      <c r="E243" s="6">
        <v>56.2</v>
      </c>
      <c r="F243" s="8">
        <v>45</v>
      </c>
      <c r="G243" s="8">
        <v>54</v>
      </c>
    </row>
    <row r="244" spans="1:7" ht="12" customHeight="1" x14ac:dyDescent="0.3">
      <c r="A244" s="3" t="s">
        <v>493</v>
      </c>
      <c r="B244" s="3" t="s">
        <v>494</v>
      </c>
      <c r="C244" s="4" t="s">
        <v>9</v>
      </c>
      <c r="D244" s="6">
        <v>40.9</v>
      </c>
      <c r="E244" s="6">
        <v>58</v>
      </c>
      <c r="F244" s="8">
        <v>42</v>
      </c>
      <c r="G244" s="8">
        <v>57</v>
      </c>
    </row>
    <row r="245" spans="1:7" ht="12" customHeight="1" x14ac:dyDescent="0.3">
      <c r="A245" s="3" t="s">
        <v>495</v>
      </c>
      <c r="B245" s="3" t="s">
        <v>496</v>
      </c>
      <c r="C245" s="4" t="s">
        <v>9</v>
      </c>
      <c r="D245" s="6">
        <v>37.799999999999997</v>
      </c>
      <c r="E245" s="6">
        <v>60.9</v>
      </c>
      <c r="F245" s="8">
        <v>40</v>
      </c>
      <c r="G245" s="8">
        <v>58</v>
      </c>
    </row>
    <row r="246" spans="1:7" ht="12" customHeight="1" x14ac:dyDescent="0.3">
      <c r="A246" s="3" t="s">
        <v>497</v>
      </c>
      <c r="B246" s="3" t="s">
        <v>498</v>
      </c>
      <c r="C246" s="7" t="s">
        <v>24</v>
      </c>
      <c r="D246" s="6">
        <v>78.5</v>
      </c>
      <c r="E246" s="6">
        <v>20.8</v>
      </c>
      <c r="F246" s="8">
        <v>78</v>
      </c>
      <c r="G246" s="8">
        <v>21</v>
      </c>
    </row>
    <row r="247" spans="1:7" ht="12" customHeight="1" x14ac:dyDescent="0.3">
      <c r="A247" s="3" t="s">
        <v>499</v>
      </c>
      <c r="B247" s="3" t="s">
        <v>500</v>
      </c>
      <c r="C247" s="4" t="s">
        <v>9</v>
      </c>
      <c r="D247" s="6">
        <v>43.5</v>
      </c>
      <c r="E247" s="6">
        <v>55.4</v>
      </c>
      <c r="F247" s="8">
        <v>45</v>
      </c>
      <c r="G247" s="8">
        <v>54</v>
      </c>
    </row>
    <row r="248" spans="1:7" ht="12" customHeight="1" x14ac:dyDescent="0.25">
      <c r="A248" s="3" t="s">
        <v>501</v>
      </c>
      <c r="B248" s="3" t="s">
        <v>502</v>
      </c>
      <c r="C248" s="4" t="s">
        <v>9</v>
      </c>
      <c r="D248" s="5">
        <v>38.9</v>
      </c>
      <c r="E248" s="5">
        <v>58.7</v>
      </c>
      <c r="F248" s="6">
        <v>44.6</v>
      </c>
      <c r="G248" s="6">
        <v>53.3</v>
      </c>
    </row>
    <row r="249" spans="1:7" ht="12" customHeight="1" x14ac:dyDescent="0.25">
      <c r="A249" s="3" t="s">
        <v>503</v>
      </c>
      <c r="B249" s="3" t="s">
        <v>504</v>
      </c>
      <c r="C249" s="4" t="s">
        <v>9</v>
      </c>
      <c r="D249" s="5">
        <v>40.799999999999997</v>
      </c>
      <c r="E249" s="5">
        <v>57.4</v>
      </c>
      <c r="F249" s="6">
        <v>44.2</v>
      </c>
      <c r="G249" s="6">
        <v>54.3</v>
      </c>
    </row>
    <row r="250" spans="1:7" ht="12" customHeight="1" x14ac:dyDescent="0.25">
      <c r="A250" s="3" t="s">
        <v>505</v>
      </c>
      <c r="B250" s="3" t="s">
        <v>506</v>
      </c>
      <c r="C250" s="7" t="s">
        <v>24</v>
      </c>
      <c r="D250" s="5">
        <v>45.7</v>
      </c>
      <c r="E250" s="5">
        <v>52.9</v>
      </c>
      <c r="F250" s="6">
        <v>50</v>
      </c>
      <c r="G250" s="6">
        <v>48.8</v>
      </c>
    </row>
    <row r="251" spans="1:7" ht="12" customHeight="1" x14ac:dyDescent="0.25">
      <c r="A251" s="3" t="s">
        <v>507</v>
      </c>
      <c r="B251" s="3" t="s">
        <v>508</v>
      </c>
      <c r="C251" s="4" t="s">
        <v>9</v>
      </c>
      <c r="D251" s="5">
        <v>27.8</v>
      </c>
      <c r="E251" s="5">
        <v>70.2</v>
      </c>
      <c r="F251" s="6">
        <v>31.1</v>
      </c>
      <c r="G251" s="6">
        <v>67.099999999999994</v>
      </c>
    </row>
    <row r="252" spans="1:7" ht="12" customHeight="1" x14ac:dyDescent="0.25">
      <c r="A252" s="3" t="s">
        <v>509</v>
      </c>
      <c r="B252" s="3" t="s">
        <v>510</v>
      </c>
      <c r="C252" s="4" t="s">
        <v>9</v>
      </c>
      <c r="D252" s="5">
        <v>50.2</v>
      </c>
      <c r="E252" s="5">
        <v>48.6</v>
      </c>
      <c r="F252" s="6">
        <v>52.8</v>
      </c>
      <c r="G252" s="6">
        <v>46.4</v>
      </c>
    </row>
    <row r="253" spans="1:7" ht="12" customHeight="1" x14ac:dyDescent="0.25">
      <c r="A253" s="3" t="s">
        <v>511</v>
      </c>
      <c r="B253" s="3" t="s">
        <v>512</v>
      </c>
      <c r="C253" s="7" t="s">
        <v>24</v>
      </c>
      <c r="D253" s="5">
        <v>54.2</v>
      </c>
      <c r="E253" s="5">
        <v>44.5</v>
      </c>
      <c r="F253" s="6">
        <v>56</v>
      </c>
      <c r="G253" s="6">
        <v>43.1</v>
      </c>
    </row>
    <row r="254" spans="1:7" ht="12" customHeight="1" x14ac:dyDescent="0.25">
      <c r="A254" s="3" t="s">
        <v>513</v>
      </c>
      <c r="B254" s="3" t="s">
        <v>514</v>
      </c>
      <c r="C254" s="7" t="s">
        <v>24</v>
      </c>
      <c r="D254" s="6">
        <v>65.099999999999994</v>
      </c>
      <c r="E254" s="6">
        <v>33.799999999999997</v>
      </c>
      <c r="F254" s="6">
        <v>64.7</v>
      </c>
      <c r="G254" s="6">
        <v>34.200000000000003</v>
      </c>
    </row>
    <row r="255" spans="1:7" ht="12" customHeight="1" x14ac:dyDescent="0.25">
      <c r="A255" s="3" t="s">
        <v>515</v>
      </c>
      <c r="B255" s="3" t="s">
        <v>516</v>
      </c>
      <c r="C255" s="4" t="s">
        <v>9</v>
      </c>
      <c r="D255" s="6">
        <v>53.5</v>
      </c>
      <c r="E255" s="6">
        <v>45.4</v>
      </c>
      <c r="F255" s="6">
        <v>53.2</v>
      </c>
      <c r="G255" s="6">
        <v>45.5</v>
      </c>
    </row>
    <row r="256" spans="1:7" ht="12" customHeight="1" x14ac:dyDescent="0.25">
      <c r="A256" s="3" t="s">
        <v>517</v>
      </c>
      <c r="B256" s="3" t="s">
        <v>518</v>
      </c>
      <c r="C256" s="4" t="s">
        <v>9</v>
      </c>
      <c r="D256" s="6">
        <v>51.8</v>
      </c>
      <c r="E256" s="6">
        <v>47.2</v>
      </c>
      <c r="F256" s="6">
        <v>51.1</v>
      </c>
      <c r="G256" s="6">
        <v>47.7</v>
      </c>
    </row>
    <row r="257" spans="1:7" ht="12" customHeight="1" x14ac:dyDescent="0.25">
      <c r="A257" s="3" t="s">
        <v>519</v>
      </c>
      <c r="B257" s="3" t="s">
        <v>520</v>
      </c>
      <c r="C257" s="4" t="s">
        <v>9</v>
      </c>
      <c r="D257" s="6">
        <v>44.7</v>
      </c>
      <c r="E257" s="6">
        <v>54.2</v>
      </c>
      <c r="F257" s="6">
        <v>45.3</v>
      </c>
      <c r="G257" s="6">
        <v>53.6</v>
      </c>
    </row>
    <row r="258" spans="1:7" ht="12" customHeight="1" x14ac:dyDescent="0.25">
      <c r="A258" s="3" t="s">
        <v>521</v>
      </c>
      <c r="B258" s="3" t="s">
        <v>522</v>
      </c>
      <c r="C258" s="4" t="s">
        <v>9</v>
      </c>
      <c r="D258" s="6">
        <v>47.9</v>
      </c>
      <c r="E258" s="6">
        <v>51</v>
      </c>
      <c r="F258" s="6">
        <v>48.5</v>
      </c>
      <c r="G258" s="6">
        <v>50.5</v>
      </c>
    </row>
    <row r="259" spans="1:7" ht="12" customHeight="1" x14ac:dyDescent="0.25">
      <c r="A259" s="3" t="s">
        <v>523</v>
      </c>
      <c r="B259" s="3" t="s">
        <v>524</v>
      </c>
      <c r="C259" s="7" t="s">
        <v>24</v>
      </c>
      <c r="D259" s="6">
        <v>61.4</v>
      </c>
      <c r="E259" s="6">
        <v>37.4</v>
      </c>
      <c r="F259" s="6">
        <v>58.4</v>
      </c>
      <c r="G259" s="6">
        <v>40.5</v>
      </c>
    </row>
    <row r="260" spans="1:7" ht="12" customHeight="1" x14ac:dyDescent="0.25">
      <c r="A260" s="3" t="s">
        <v>525</v>
      </c>
      <c r="B260" s="3" t="s">
        <v>526</v>
      </c>
      <c r="C260" s="4" t="s">
        <v>9</v>
      </c>
      <c r="D260" s="6">
        <v>46.3</v>
      </c>
      <c r="E260" s="6">
        <v>52.5</v>
      </c>
      <c r="F260" s="6">
        <v>47.2</v>
      </c>
      <c r="G260" s="6">
        <v>51.6</v>
      </c>
    </row>
    <row r="261" spans="1:7" ht="12" customHeight="1" x14ac:dyDescent="0.25">
      <c r="A261" s="3" t="s">
        <v>527</v>
      </c>
      <c r="B261" s="3" t="s">
        <v>528</v>
      </c>
      <c r="C261" s="7" t="s">
        <v>24</v>
      </c>
      <c r="D261" s="6">
        <v>78.3</v>
      </c>
      <c r="E261" s="6">
        <v>20.7</v>
      </c>
      <c r="F261" s="6">
        <v>73.2</v>
      </c>
      <c r="G261" s="6">
        <v>26</v>
      </c>
    </row>
    <row r="262" spans="1:7" ht="12" customHeight="1" x14ac:dyDescent="0.25">
      <c r="A262" s="3" t="s">
        <v>529</v>
      </c>
      <c r="B262" s="3" t="s">
        <v>530</v>
      </c>
      <c r="C262" s="7" t="s">
        <v>24</v>
      </c>
      <c r="D262" s="6">
        <v>68.3</v>
      </c>
      <c r="E262" s="6">
        <v>30.8</v>
      </c>
      <c r="F262" s="6">
        <v>64</v>
      </c>
      <c r="G262" s="6">
        <v>35.200000000000003</v>
      </c>
    </row>
    <row r="263" spans="1:7" ht="12" customHeight="1" x14ac:dyDescent="0.25">
      <c r="A263" s="3" t="s">
        <v>531</v>
      </c>
      <c r="B263" s="3" t="s">
        <v>532</v>
      </c>
      <c r="C263" s="7" t="s">
        <v>24</v>
      </c>
      <c r="D263" s="6">
        <v>87.9</v>
      </c>
      <c r="E263" s="6">
        <v>11.5</v>
      </c>
      <c r="F263" s="6">
        <v>84.9</v>
      </c>
      <c r="G263" s="6">
        <v>14.6</v>
      </c>
    </row>
    <row r="264" spans="1:7" ht="12" customHeight="1" x14ac:dyDescent="0.25">
      <c r="A264" s="3" t="s">
        <v>533</v>
      </c>
      <c r="B264" s="3" t="s">
        <v>534</v>
      </c>
      <c r="C264" s="4" t="s">
        <v>9</v>
      </c>
      <c r="D264" s="6">
        <v>46.6</v>
      </c>
      <c r="E264" s="6">
        <v>52.4</v>
      </c>
      <c r="F264" s="6">
        <v>47</v>
      </c>
      <c r="G264" s="6">
        <v>52.1</v>
      </c>
    </row>
    <row r="265" spans="1:7" ht="12" customHeight="1" x14ac:dyDescent="0.25">
      <c r="A265" s="3" t="s">
        <v>535</v>
      </c>
      <c r="B265" s="3" t="s">
        <v>536</v>
      </c>
      <c r="C265" s="7" t="s">
        <v>24</v>
      </c>
      <c r="D265" s="6">
        <v>66.5</v>
      </c>
      <c r="E265" s="6">
        <v>32.4</v>
      </c>
      <c r="F265" s="6">
        <v>65.7</v>
      </c>
      <c r="G265" s="6">
        <v>33.299999999999997</v>
      </c>
    </row>
    <row r="266" spans="1:7" ht="12" customHeight="1" x14ac:dyDescent="0.25">
      <c r="A266" s="3" t="s">
        <v>537</v>
      </c>
      <c r="B266" s="3" t="s">
        <v>538</v>
      </c>
      <c r="C266" s="7" t="s">
        <v>24</v>
      </c>
      <c r="D266" s="5">
        <v>55.3</v>
      </c>
      <c r="E266" s="5">
        <v>39.6</v>
      </c>
      <c r="F266" s="6">
        <v>59.7</v>
      </c>
      <c r="G266" s="6">
        <v>39</v>
      </c>
    </row>
    <row r="267" spans="1:7" ht="12" customHeight="1" x14ac:dyDescent="0.25">
      <c r="A267" s="3" t="s">
        <v>539</v>
      </c>
      <c r="B267" s="3" t="s">
        <v>540</v>
      </c>
      <c r="C267" s="4" t="s">
        <v>9</v>
      </c>
      <c r="D267" s="5">
        <v>44.9</v>
      </c>
      <c r="E267" s="5">
        <v>51.7</v>
      </c>
      <c r="F267" s="6">
        <v>48.4</v>
      </c>
      <c r="G267" s="6">
        <v>50.2</v>
      </c>
    </row>
    <row r="268" spans="1:7" ht="12" customHeight="1" x14ac:dyDescent="0.25">
      <c r="A268" s="3" t="s">
        <v>541</v>
      </c>
      <c r="B268" s="3" t="s">
        <v>542</v>
      </c>
      <c r="C268" s="7" t="s">
        <v>24</v>
      </c>
      <c r="D268" s="5">
        <v>57.5</v>
      </c>
      <c r="E268" s="5">
        <v>38.700000000000003</v>
      </c>
      <c r="F268" s="6">
        <v>61.2</v>
      </c>
      <c r="G268" s="6">
        <v>37.5</v>
      </c>
    </row>
    <row r="269" spans="1:7" ht="12" customHeight="1" x14ac:dyDescent="0.25">
      <c r="A269" s="3" t="s">
        <v>543</v>
      </c>
      <c r="B269" s="3" t="s">
        <v>544</v>
      </c>
      <c r="C269" s="7" t="s">
        <v>24</v>
      </c>
      <c r="D269" s="5">
        <v>65.599999999999994</v>
      </c>
      <c r="E269" s="5">
        <v>32.4</v>
      </c>
      <c r="F269" s="6">
        <v>64.5</v>
      </c>
      <c r="G269" s="6">
        <v>33</v>
      </c>
    </row>
    <row r="270" spans="1:7" ht="12" customHeight="1" x14ac:dyDescent="0.25">
      <c r="A270" s="3" t="s">
        <v>545</v>
      </c>
      <c r="B270" s="3" t="s">
        <v>546</v>
      </c>
      <c r="C270" s="4" t="s">
        <v>9</v>
      </c>
      <c r="D270" s="5">
        <v>44.8</v>
      </c>
      <c r="E270" s="5">
        <v>52.9</v>
      </c>
      <c r="F270" s="6">
        <v>49.4</v>
      </c>
      <c r="G270" s="6">
        <v>48.2</v>
      </c>
    </row>
    <row r="271" spans="1:7" ht="12" customHeight="1" x14ac:dyDescent="0.25">
      <c r="A271" s="3" t="s">
        <v>547</v>
      </c>
      <c r="B271" s="3" t="s">
        <v>548</v>
      </c>
      <c r="C271" s="4" t="s">
        <v>9</v>
      </c>
      <c r="D271" s="5">
        <v>49.5</v>
      </c>
      <c r="E271" s="5">
        <v>48.7</v>
      </c>
      <c r="F271" s="6">
        <v>53.5</v>
      </c>
      <c r="G271" s="6">
        <v>44.6</v>
      </c>
    </row>
    <row r="272" spans="1:7" ht="12" customHeight="1" x14ac:dyDescent="0.25">
      <c r="A272" s="3" t="s">
        <v>549</v>
      </c>
      <c r="B272" s="3" t="s">
        <v>550</v>
      </c>
      <c r="C272" s="4" t="s">
        <v>9</v>
      </c>
      <c r="D272" s="5">
        <v>54.4</v>
      </c>
      <c r="E272" s="5">
        <v>43.7</v>
      </c>
      <c r="F272" s="6">
        <v>56.4</v>
      </c>
      <c r="G272" s="6">
        <v>41.4</v>
      </c>
    </row>
    <row r="273" spans="1:7" ht="12" customHeight="1" x14ac:dyDescent="0.3">
      <c r="A273" s="3" t="s">
        <v>551</v>
      </c>
      <c r="B273" s="3" t="s">
        <v>552</v>
      </c>
      <c r="C273" s="4" t="s">
        <v>9</v>
      </c>
      <c r="D273" s="5">
        <v>49.6</v>
      </c>
      <c r="E273" s="5">
        <v>49.1</v>
      </c>
      <c r="F273" s="8">
        <v>51</v>
      </c>
      <c r="G273" s="8">
        <v>48</v>
      </c>
    </row>
    <row r="274" spans="1:7" ht="12" customHeight="1" x14ac:dyDescent="0.3">
      <c r="A274" s="3" t="s">
        <v>553</v>
      </c>
      <c r="B274" s="3" t="s">
        <v>554</v>
      </c>
      <c r="C274" s="4" t="s">
        <v>9</v>
      </c>
      <c r="D274" s="5">
        <v>51.6</v>
      </c>
      <c r="E274" s="5">
        <v>47.2</v>
      </c>
      <c r="F274" s="8">
        <v>51</v>
      </c>
      <c r="G274" s="8">
        <v>48</v>
      </c>
    </row>
    <row r="275" spans="1:7" ht="12" customHeight="1" x14ac:dyDescent="0.3">
      <c r="A275" s="3" t="s">
        <v>555</v>
      </c>
      <c r="B275" s="3" t="s">
        <v>556</v>
      </c>
      <c r="C275" s="7" t="s">
        <v>24</v>
      </c>
      <c r="D275" s="5">
        <v>50.8</v>
      </c>
      <c r="E275" s="5">
        <v>48.2</v>
      </c>
      <c r="F275" s="8">
        <v>54</v>
      </c>
      <c r="G275" s="8">
        <v>46</v>
      </c>
    </row>
    <row r="276" spans="1:7" ht="12" customHeight="1" x14ac:dyDescent="0.3">
      <c r="A276" s="3" t="s">
        <v>557</v>
      </c>
      <c r="B276" s="3" t="s">
        <v>558</v>
      </c>
      <c r="C276" s="7" t="s">
        <v>24</v>
      </c>
      <c r="D276" s="5">
        <v>56.3</v>
      </c>
      <c r="E276" s="5">
        <v>42.8</v>
      </c>
      <c r="F276" s="8">
        <v>55</v>
      </c>
      <c r="G276" s="8">
        <v>44</v>
      </c>
    </row>
    <row r="277" spans="1:7" ht="12" customHeight="1" x14ac:dyDescent="0.3">
      <c r="A277" s="3" t="s">
        <v>559</v>
      </c>
      <c r="B277" s="3" t="s">
        <v>560</v>
      </c>
      <c r="C277" s="7" t="s">
        <v>24</v>
      </c>
      <c r="D277" s="5">
        <v>90.6</v>
      </c>
      <c r="E277" s="5">
        <v>9.1</v>
      </c>
      <c r="F277" s="8">
        <v>86</v>
      </c>
      <c r="G277" s="8">
        <v>14</v>
      </c>
    </row>
    <row r="278" spans="1:7" ht="12" customHeight="1" x14ac:dyDescent="0.3">
      <c r="A278" s="3" t="s">
        <v>561</v>
      </c>
      <c r="B278" s="3" t="s">
        <v>562</v>
      </c>
      <c r="C278" s="7" t="s">
        <v>24</v>
      </c>
      <c r="D278" s="5">
        <v>67.8</v>
      </c>
      <c r="E278" s="5">
        <v>31</v>
      </c>
      <c r="F278" s="8">
        <v>63</v>
      </c>
      <c r="G278" s="8">
        <v>36</v>
      </c>
    </row>
    <row r="279" spans="1:7" ht="12" customHeight="1" x14ac:dyDescent="0.3">
      <c r="A279" s="3" t="s">
        <v>563</v>
      </c>
      <c r="B279" s="3" t="s">
        <v>564</v>
      </c>
      <c r="C279" s="7" t="s">
        <v>24</v>
      </c>
      <c r="D279" s="5">
        <v>88.4</v>
      </c>
      <c r="E279" s="5">
        <v>10.3</v>
      </c>
      <c r="F279" s="8">
        <v>84</v>
      </c>
      <c r="G279" s="8">
        <v>15</v>
      </c>
    </row>
    <row r="280" spans="1:7" ht="12" customHeight="1" x14ac:dyDescent="0.3">
      <c r="A280" s="3" t="s">
        <v>565</v>
      </c>
      <c r="B280" s="3" t="s">
        <v>566</v>
      </c>
      <c r="C280" s="7" t="s">
        <v>24</v>
      </c>
      <c r="D280" s="5">
        <v>89.2</v>
      </c>
      <c r="E280" s="5">
        <v>10.199999999999999</v>
      </c>
      <c r="F280" s="8">
        <v>86</v>
      </c>
      <c r="G280" s="8">
        <v>14</v>
      </c>
    </row>
    <row r="281" spans="1:7" ht="12" customHeight="1" x14ac:dyDescent="0.3">
      <c r="A281" s="3" t="s">
        <v>567</v>
      </c>
      <c r="B281" s="3" t="s">
        <v>568</v>
      </c>
      <c r="C281" s="7" t="s">
        <v>24</v>
      </c>
      <c r="D281" s="5">
        <v>85.2</v>
      </c>
      <c r="E281" s="5">
        <v>13.9</v>
      </c>
      <c r="F281" s="8">
        <v>84</v>
      </c>
      <c r="G281" s="8">
        <v>15</v>
      </c>
    </row>
    <row r="282" spans="1:7" ht="12" customHeight="1" x14ac:dyDescent="0.3">
      <c r="A282" s="3" t="s">
        <v>569</v>
      </c>
      <c r="B282" s="3" t="s">
        <v>570</v>
      </c>
      <c r="C282" s="7" t="s">
        <v>24</v>
      </c>
      <c r="D282" s="5">
        <v>73.599999999999994</v>
      </c>
      <c r="E282" s="5">
        <v>25.1</v>
      </c>
      <c r="F282" s="8">
        <v>76</v>
      </c>
      <c r="G282" s="8">
        <v>23</v>
      </c>
    </row>
    <row r="283" spans="1:7" ht="12" customHeight="1" x14ac:dyDescent="0.3">
      <c r="A283" s="3" t="s">
        <v>571</v>
      </c>
      <c r="B283" s="3" t="s">
        <v>572</v>
      </c>
      <c r="C283" s="4" t="s">
        <v>9</v>
      </c>
      <c r="D283" s="5">
        <v>51.6</v>
      </c>
      <c r="E283" s="5">
        <v>47.3</v>
      </c>
      <c r="F283" s="8">
        <v>48</v>
      </c>
      <c r="G283" s="8">
        <v>51</v>
      </c>
    </row>
    <row r="284" spans="1:7" ht="12" customHeight="1" x14ac:dyDescent="0.3">
      <c r="A284" s="3" t="s">
        <v>573</v>
      </c>
      <c r="B284" s="3" t="s">
        <v>574</v>
      </c>
      <c r="C284" s="7" t="s">
        <v>24</v>
      </c>
      <c r="D284" s="5">
        <v>76.900000000000006</v>
      </c>
      <c r="E284" s="5">
        <v>21.5</v>
      </c>
      <c r="F284" s="8">
        <v>80</v>
      </c>
      <c r="G284" s="8">
        <v>19</v>
      </c>
    </row>
    <row r="285" spans="1:7" ht="12" customHeight="1" x14ac:dyDescent="0.3">
      <c r="A285" s="3" t="s">
        <v>575</v>
      </c>
      <c r="B285" s="3" t="s">
        <v>576</v>
      </c>
      <c r="C285" s="7" t="s">
        <v>24</v>
      </c>
      <c r="D285" s="5">
        <v>94.6</v>
      </c>
      <c r="E285" s="5">
        <v>4.5999999999999996</v>
      </c>
      <c r="F285" s="8">
        <v>93</v>
      </c>
      <c r="G285" s="8">
        <v>6</v>
      </c>
    </row>
    <row r="286" spans="1:7" ht="12" customHeight="1" x14ac:dyDescent="0.3">
      <c r="A286" s="3" t="s">
        <v>577</v>
      </c>
      <c r="B286" s="3" t="s">
        <v>578</v>
      </c>
      <c r="C286" s="7" t="s">
        <v>24</v>
      </c>
      <c r="D286" s="5">
        <v>80.7</v>
      </c>
      <c r="E286" s="5">
        <v>18.3</v>
      </c>
      <c r="F286" s="8">
        <v>76</v>
      </c>
      <c r="G286" s="8">
        <v>23</v>
      </c>
    </row>
    <row r="287" spans="1:7" ht="12" customHeight="1" x14ac:dyDescent="0.3">
      <c r="A287" s="3" t="s">
        <v>579</v>
      </c>
      <c r="B287" s="3" t="s">
        <v>580</v>
      </c>
      <c r="C287" s="7" t="s">
        <v>24</v>
      </c>
      <c r="D287" s="5">
        <v>96.7</v>
      </c>
      <c r="E287" s="5">
        <v>3</v>
      </c>
      <c r="F287" s="8">
        <v>95</v>
      </c>
      <c r="G287" s="8">
        <v>5</v>
      </c>
    </row>
    <row r="288" spans="1:7" ht="12" customHeight="1" x14ac:dyDescent="0.3">
      <c r="A288" s="3" t="s">
        <v>581</v>
      </c>
      <c r="B288" s="3" t="s">
        <v>582</v>
      </c>
      <c r="C288" s="7" t="s">
        <v>24</v>
      </c>
      <c r="D288" s="5">
        <v>73.7</v>
      </c>
      <c r="E288" s="5">
        <v>25.5</v>
      </c>
      <c r="F288" s="8">
        <v>73</v>
      </c>
      <c r="G288" s="8">
        <v>26</v>
      </c>
    </row>
    <row r="289" spans="1:7" ht="12" customHeight="1" x14ac:dyDescent="0.3">
      <c r="A289" s="3" t="s">
        <v>583</v>
      </c>
      <c r="B289" s="3" t="s">
        <v>584</v>
      </c>
      <c r="C289" s="7" t="s">
        <v>24</v>
      </c>
      <c r="D289" s="5">
        <v>57.1</v>
      </c>
      <c r="E289" s="5">
        <v>41.9</v>
      </c>
      <c r="F289" s="8">
        <v>58</v>
      </c>
      <c r="G289" s="8">
        <v>41</v>
      </c>
    </row>
    <row r="290" spans="1:7" ht="12" customHeight="1" x14ac:dyDescent="0.3">
      <c r="A290" s="3" t="s">
        <v>585</v>
      </c>
      <c r="B290" s="3" t="s">
        <v>586</v>
      </c>
      <c r="C290" s="7" t="s">
        <v>24</v>
      </c>
      <c r="D290" s="5">
        <v>51.4</v>
      </c>
      <c r="E290" s="5">
        <v>47.1</v>
      </c>
      <c r="F290" s="8">
        <v>52</v>
      </c>
      <c r="G290" s="8">
        <v>47</v>
      </c>
    </row>
    <row r="291" spans="1:7" ht="12" customHeight="1" x14ac:dyDescent="0.3">
      <c r="A291" s="3" t="s">
        <v>587</v>
      </c>
      <c r="B291" s="3" t="s">
        <v>588</v>
      </c>
      <c r="C291" s="4" t="s">
        <v>9</v>
      </c>
      <c r="D291" s="5">
        <v>52.1</v>
      </c>
      <c r="E291" s="5">
        <v>45.9</v>
      </c>
      <c r="F291" s="8">
        <v>53</v>
      </c>
      <c r="G291" s="8">
        <v>45</v>
      </c>
    </row>
    <row r="292" spans="1:7" ht="12" customHeight="1" x14ac:dyDescent="0.3">
      <c r="A292" s="3" t="s">
        <v>589</v>
      </c>
      <c r="B292" s="3" t="s">
        <v>590</v>
      </c>
      <c r="C292" s="7" t="s">
        <v>24</v>
      </c>
      <c r="D292" s="5">
        <v>59.2</v>
      </c>
      <c r="E292" s="5">
        <v>38.799999999999997</v>
      </c>
      <c r="F292" s="8">
        <v>58</v>
      </c>
      <c r="G292" s="8">
        <v>40</v>
      </c>
    </row>
    <row r="293" spans="1:7" ht="12" customHeight="1" x14ac:dyDescent="0.3">
      <c r="A293" s="3" t="s">
        <v>591</v>
      </c>
      <c r="B293" s="3" t="s">
        <v>592</v>
      </c>
      <c r="C293" s="4" t="s">
        <v>9</v>
      </c>
      <c r="D293" s="5">
        <v>52.2</v>
      </c>
      <c r="E293" s="5">
        <v>46.1</v>
      </c>
      <c r="F293" s="8">
        <v>52</v>
      </c>
      <c r="G293" s="8">
        <v>47</v>
      </c>
    </row>
    <row r="294" spans="1:7" ht="12" customHeight="1" x14ac:dyDescent="0.3">
      <c r="A294" s="3" t="s">
        <v>593</v>
      </c>
      <c r="B294" s="3" t="s">
        <v>594</v>
      </c>
      <c r="C294" s="4" t="s">
        <v>9</v>
      </c>
      <c r="D294" s="5">
        <v>48.8</v>
      </c>
      <c r="E294" s="5">
        <v>49.2</v>
      </c>
      <c r="F294" s="8">
        <v>49</v>
      </c>
      <c r="G294" s="16">
        <v>49</v>
      </c>
    </row>
    <row r="295" spans="1:7" ht="12" customHeight="1" x14ac:dyDescent="0.3">
      <c r="A295" s="3" t="s">
        <v>595</v>
      </c>
      <c r="B295" s="3" t="s">
        <v>596</v>
      </c>
      <c r="C295" s="4" t="s">
        <v>9</v>
      </c>
      <c r="D295" s="5">
        <v>48.4</v>
      </c>
      <c r="E295" s="5">
        <v>49.6</v>
      </c>
      <c r="F295" s="8">
        <v>50</v>
      </c>
      <c r="G295" s="8">
        <v>49</v>
      </c>
    </row>
    <row r="296" spans="1:7" ht="12" customHeight="1" x14ac:dyDescent="0.3">
      <c r="A296" s="3" t="s">
        <v>597</v>
      </c>
      <c r="B296" s="3" t="s">
        <v>598</v>
      </c>
      <c r="C296" s="4" t="s">
        <v>9</v>
      </c>
      <c r="D296" s="5">
        <v>57</v>
      </c>
      <c r="E296" s="5">
        <v>41.1</v>
      </c>
      <c r="F296" s="8">
        <v>56</v>
      </c>
      <c r="G296" s="8">
        <v>42</v>
      </c>
    </row>
    <row r="297" spans="1:7" ht="12" customHeight="1" x14ac:dyDescent="0.3">
      <c r="A297" s="3" t="s">
        <v>599</v>
      </c>
      <c r="B297" s="3" t="s">
        <v>600</v>
      </c>
      <c r="C297" s="7" t="s">
        <v>24</v>
      </c>
      <c r="D297" s="5">
        <v>58.8</v>
      </c>
      <c r="E297" s="5">
        <v>39.4</v>
      </c>
      <c r="F297" s="8">
        <v>59</v>
      </c>
      <c r="G297" s="8">
        <v>40</v>
      </c>
    </row>
    <row r="298" spans="1:7" ht="12" customHeight="1" x14ac:dyDescent="0.3">
      <c r="A298" s="3" t="s">
        <v>601</v>
      </c>
      <c r="B298" s="3" t="s">
        <v>602</v>
      </c>
      <c r="C298" s="7" t="s">
        <v>24</v>
      </c>
      <c r="D298" s="5">
        <v>63.9</v>
      </c>
      <c r="E298" s="5">
        <v>34.299999999999997</v>
      </c>
      <c r="F298" s="8">
        <v>63</v>
      </c>
      <c r="G298" s="8">
        <v>35</v>
      </c>
    </row>
    <row r="299" spans="1:7" ht="12" customHeight="1" x14ac:dyDescent="0.3">
      <c r="A299" s="3" t="s">
        <v>603</v>
      </c>
      <c r="B299" s="3" t="s">
        <v>604</v>
      </c>
      <c r="C299" s="4" t="s">
        <v>9</v>
      </c>
      <c r="D299" s="5">
        <v>42.9</v>
      </c>
      <c r="E299" s="5">
        <v>55.3</v>
      </c>
      <c r="F299" s="8">
        <v>44</v>
      </c>
      <c r="G299" s="8">
        <v>54</v>
      </c>
    </row>
    <row r="300" spans="1:7" ht="12" customHeight="1" x14ac:dyDescent="0.25">
      <c r="A300" s="3" t="s">
        <v>605</v>
      </c>
      <c r="B300" s="3" t="s">
        <v>606</v>
      </c>
      <c r="C300" s="4" t="s">
        <v>9</v>
      </c>
      <c r="D300" s="5">
        <v>46.3</v>
      </c>
      <c r="E300" s="5">
        <v>52.4</v>
      </c>
      <c r="F300" s="6">
        <v>47.2</v>
      </c>
      <c r="G300" s="6">
        <v>51.8</v>
      </c>
    </row>
    <row r="301" spans="1:7" ht="12" customHeight="1" x14ac:dyDescent="0.25">
      <c r="A301" s="3" t="s">
        <v>607</v>
      </c>
      <c r="B301" s="3" t="s">
        <v>608</v>
      </c>
      <c r="C301" s="4" t="s">
        <v>9</v>
      </c>
      <c r="D301" s="5">
        <v>43.7</v>
      </c>
      <c r="E301" s="5">
        <v>54.7</v>
      </c>
      <c r="F301" s="6">
        <v>44.3</v>
      </c>
      <c r="G301" s="6">
        <v>54.2</v>
      </c>
    </row>
    <row r="302" spans="1:7" ht="12" customHeight="1" x14ac:dyDescent="0.25">
      <c r="A302" s="3" t="s">
        <v>609</v>
      </c>
      <c r="B302" s="3" t="s">
        <v>610</v>
      </c>
      <c r="C302" s="7" t="s">
        <v>24</v>
      </c>
      <c r="D302" s="5">
        <v>69.7</v>
      </c>
      <c r="E302" s="5">
        <v>28.9</v>
      </c>
      <c r="F302" s="6">
        <v>67.400000000000006</v>
      </c>
      <c r="G302" s="6">
        <v>31.3</v>
      </c>
    </row>
    <row r="303" spans="1:7" ht="12" customHeight="1" x14ac:dyDescent="0.25">
      <c r="A303" s="3" t="s">
        <v>611</v>
      </c>
      <c r="B303" s="3" t="s">
        <v>612</v>
      </c>
      <c r="C303" s="4" t="s">
        <v>9</v>
      </c>
      <c r="D303" s="5">
        <v>42</v>
      </c>
      <c r="E303" s="5">
        <v>56</v>
      </c>
      <c r="F303" s="6">
        <v>43.7</v>
      </c>
      <c r="G303" s="6">
        <v>54.4</v>
      </c>
    </row>
    <row r="304" spans="1:7" ht="12" customHeight="1" x14ac:dyDescent="0.25">
      <c r="A304" s="3" t="s">
        <v>613</v>
      </c>
      <c r="B304" s="3" t="s">
        <v>614</v>
      </c>
      <c r="C304" s="4" t="s">
        <v>9</v>
      </c>
      <c r="D304" s="5">
        <v>44.1</v>
      </c>
      <c r="E304" s="5">
        <v>53.9</v>
      </c>
      <c r="F304" s="6">
        <v>46</v>
      </c>
      <c r="G304" s="6">
        <v>52.2</v>
      </c>
    </row>
    <row r="305" spans="1:7" ht="12" customHeight="1" x14ac:dyDescent="0.25">
      <c r="A305" s="3" t="s">
        <v>615</v>
      </c>
      <c r="B305" s="3" t="s">
        <v>616</v>
      </c>
      <c r="C305" s="4" t="s">
        <v>9</v>
      </c>
      <c r="D305" s="5">
        <v>42.7</v>
      </c>
      <c r="E305" s="5">
        <v>55.2</v>
      </c>
      <c r="F305" s="6">
        <v>44.7</v>
      </c>
      <c r="G305" s="6">
        <v>53.1</v>
      </c>
    </row>
    <row r="306" spans="1:7" ht="12" customHeight="1" x14ac:dyDescent="0.25">
      <c r="A306" s="3" t="s">
        <v>617</v>
      </c>
      <c r="B306" s="3" t="s">
        <v>618</v>
      </c>
      <c r="C306" s="4" t="s">
        <v>9</v>
      </c>
      <c r="D306" s="5">
        <v>44.2</v>
      </c>
      <c r="E306" s="5">
        <v>53.7</v>
      </c>
      <c r="F306" s="6">
        <v>46.9</v>
      </c>
      <c r="G306" s="6">
        <v>50.9</v>
      </c>
    </row>
    <row r="307" spans="1:7" ht="12" customHeight="1" x14ac:dyDescent="0.25">
      <c r="A307" s="3" t="s">
        <v>619</v>
      </c>
      <c r="B307" s="3"/>
      <c r="C307" s="4" t="s">
        <v>9</v>
      </c>
      <c r="D307" s="5">
        <v>36.4</v>
      </c>
      <c r="E307" s="5">
        <v>61.9</v>
      </c>
      <c r="F307" s="6">
        <v>38.1</v>
      </c>
      <c r="G307" s="6">
        <v>60.3</v>
      </c>
    </row>
    <row r="308" spans="1:7" ht="12" customHeight="1" x14ac:dyDescent="0.25">
      <c r="A308" s="3" t="s">
        <v>620</v>
      </c>
      <c r="B308" s="3" t="s">
        <v>621</v>
      </c>
      <c r="C308" s="7" t="s">
        <v>24</v>
      </c>
      <c r="D308" s="5">
        <v>67.599999999999994</v>
      </c>
      <c r="E308" s="5">
        <v>30.9</v>
      </c>
      <c r="F308" s="6">
        <v>66.8</v>
      </c>
      <c r="G308" s="6">
        <v>31.6</v>
      </c>
    </row>
    <row r="309" spans="1:7" ht="12" customHeight="1" x14ac:dyDescent="0.3">
      <c r="A309" s="3" t="s">
        <v>622</v>
      </c>
      <c r="B309" s="3" t="s">
        <v>623</v>
      </c>
      <c r="C309" s="4" t="s">
        <v>9</v>
      </c>
      <c r="D309" s="5">
        <v>48.2</v>
      </c>
      <c r="E309" s="5">
        <v>50.1</v>
      </c>
      <c r="F309" s="17">
        <v>49.3</v>
      </c>
      <c r="G309" s="6">
        <v>49.3</v>
      </c>
    </row>
    <row r="310" spans="1:7" ht="12" customHeight="1" x14ac:dyDescent="0.25">
      <c r="A310" s="3" t="s">
        <v>624</v>
      </c>
      <c r="B310" s="3" t="s">
        <v>625</v>
      </c>
      <c r="C310" s="7" t="s">
        <v>24</v>
      </c>
      <c r="D310" s="5">
        <v>82.8</v>
      </c>
      <c r="E310" s="5">
        <v>16.5</v>
      </c>
      <c r="F310" s="6">
        <v>82</v>
      </c>
      <c r="G310" s="6">
        <v>17.2</v>
      </c>
    </row>
    <row r="311" spans="1:7" ht="12" customHeight="1" x14ac:dyDescent="0.25">
      <c r="A311" s="3" t="s">
        <v>626</v>
      </c>
      <c r="B311" s="3" t="s">
        <v>627</v>
      </c>
      <c r="C311" s="4" t="s">
        <v>9</v>
      </c>
      <c r="D311" s="5">
        <v>43.9</v>
      </c>
      <c r="E311" s="5">
        <v>54.4</v>
      </c>
      <c r="F311" s="6">
        <v>44.8</v>
      </c>
      <c r="G311" s="6">
        <v>53.7</v>
      </c>
    </row>
    <row r="312" spans="1:7" ht="12" customHeight="1" x14ac:dyDescent="0.25">
      <c r="A312" s="3" t="s">
        <v>628</v>
      </c>
      <c r="B312" s="3" t="s">
        <v>629</v>
      </c>
      <c r="C312" s="7" t="s">
        <v>24</v>
      </c>
      <c r="D312" s="5">
        <v>62.9</v>
      </c>
      <c r="E312" s="5">
        <v>35.4</v>
      </c>
      <c r="F312" s="6">
        <v>62.3</v>
      </c>
      <c r="G312" s="6">
        <v>35.799999999999997</v>
      </c>
    </row>
    <row r="313" spans="1:7" ht="12" customHeight="1" x14ac:dyDescent="0.25">
      <c r="A313" s="3" t="s">
        <v>630</v>
      </c>
      <c r="B313" s="3" t="s">
        <v>631</v>
      </c>
      <c r="C313" s="4" t="s">
        <v>9</v>
      </c>
      <c r="D313" s="5">
        <v>47.6</v>
      </c>
      <c r="E313" s="5">
        <v>50.9</v>
      </c>
      <c r="F313" s="6">
        <v>49.1</v>
      </c>
      <c r="G313" s="6">
        <v>49.4</v>
      </c>
    </row>
    <row r="314" spans="1:7" ht="12" customHeight="1" x14ac:dyDescent="0.25">
      <c r="A314" s="3" t="s">
        <v>632</v>
      </c>
      <c r="B314" s="3" t="s">
        <v>633</v>
      </c>
      <c r="C314" s="4" t="s">
        <v>9</v>
      </c>
      <c r="D314" s="5">
        <v>46.3</v>
      </c>
      <c r="E314" s="5">
        <v>51.9</v>
      </c>
      <c r="F314" s="6">
        <v>46.1</v>
      </c>
      <c r="G314" s="6">
        <v>52.2</v>
      </c>
    </row>
    <row r="315" spans="1:7" ht="12" customHeight="1" x14ac:dyDescent="0.25">
      <c r="A315" s="3" t="s">
        <v>634</v>
      </c>
      <c r="B315" s="3" t="s">
        <v>635</v>
      </c>
      <c r="C315" s="4" t="s">
        <v>9</v>
      </c>
      <c r="D315" s="5">
        <v>45.2</v>
      </c>
      <c r="E315" s="5">
        <v>53.4</v>
      </c>
      <c r="F315" s="6">
        <v>47.2</v>
      </c>
      <c r="G315" s="6">
        <v>51.3</v>
      </c>
    </row>
    <row r="316" spans="1:7" ht="12" customHeight="1" x14ac:dyDescent="0.25">
      <c r="A316" s="3" t="s">
        <v>636</v>
      </c>
      <c r="B316" s="3" t="s">
        <v>637</v>
      </c>
      <c r="C316" s="4" t="s">
        <v>9</v>
      </c>
      <c r="D316" s="5">
        <v>34.200000000000003</v>
      </c>
      <c r="E316" s="5">
        <v>65.8</v>
      </c>
      <c r="F316" s="6">
        <v>35.799999999999997</v>
      </c>
      <c r="G316" s="6">
        <v>64.2</v>
      </c>
    </row>
    <row r="317" spans="1:7" ht="12" customHeight="1" x14ac:dyDescent="0.25">
      <c r="A317" s="3" t="s">
        <v>638</v>
      </c>
      <c r="B317" s="3" t="s">
        <v>639</v>
      </c>
      <c r="C317" s="4" t="s">
        <v>9</v>
      </c>
      <c r="D317" s="5">
        <v>32.200000000000003</v>
      </c>
      <c r="E317" s="5">
        <v>67.8</v>
      </c>
      <c r="F317" s="6">
        <v>34.299999999999997</v>
      </c>
      <c r="G317" s="6">
        <v>65.7</v>
      </c>
    </row>
    <row r="318" spans="1:7" ht="12" customHeight="1" x14ac:dyDescent="0.25">
      <c r="A318" s="3" t="s">
        <v>640</v>
      </c>
      <c r="B318" s="3" t="s">
        <v>641</v>
      </c>
      <c r="C318" s="4" t="s">
        <v>9</v>
      </c>
      <c r="D318" s="5">
        <v>26.1</v>
      </c>
      <c r="E318" s="5">
        <v>73.900000000000006</v>
      </c>
      <c r="F318" s="6">
        <v>27.1</v>
      </c>
      <c r="G318" s="6">
        <v>72.900000000000006</v>
      </c>
    </row>
    <row r="319" spans="1:7" ht="12" customHeight="1" x14ac:dyDescent="0.25">
      <c r="A319" s="3" t="s">
        <v>642</v>
      </c>
      <c r="B319" s="3" t="s">
        <v>643</v>
      </c>
      <c r="C319" s="4" t="s">
        <v>9</v>
      </c>
      <c r="D319" s="5">
        <v>32.9</v>
      </c>
      <c r="E319" s="5">
        <v>67.099999999999994</v>
      </c>
      <c r="F319" s="6">
        <v>33.9</v>
      </c>
      <c r="G319" s="6">
        <v>66.099999999999994</v>
      </c>
    </row>
    <row r="320" spans="1:7" ht="12" customHeight="1" x14ac:dyDescent="0.25">
      <c r="A320" s="3" t="s">
        <v>644</v>
      </c>
      <c r="B320" s="3" t="s">
        <v>645</v>
      </c>
      <c r="C320" s="4" t="s">
        <v>9</v>
      </c>
      <c r="D320" s="5">
        <v>40.799999999999997</v>
      </c>
      <c r="E320" s="5">
        <v>59.2</v>
      </c>
      <c r="F320" s="6">
        <v>40.799999999999997</v>
      </c>
      <c r="G320" s="6">
        <v>59.2</v>
      </c>
    </row>
    <row r="321" spans="1:7" ht="12" customHeight="1" x14ac:dyDescent="0.25">
      <c r="A321" s="3" t="s">
        <v>646</v>
      </c>
      <c r="B321" s="3" t="s">
        <v>647</v>
      </c>
      <c r="C321" s="7" t="s">
        <v>24</v>
      </c>
      <c r="D321" s="5">
        <v>57.3</v>
      </c>
      <c r="E321" s="5">
        <v>40</v>
      </c>
      <c r="F321" s="6">
        <v>59.6</v>
      </c>
      <c r="G321" s="6">
        <v>37.700000000000003</v>
      </c>
    </row>
    <row r="322" spans="1:7" ht="12" customHeight="1" x14ac:dyDescent="0.25">
      <c r="A322" s="3" t="s">
        <v>648</v>
      </c>
      <c r="B322" s="3" t="s">
        <v>649</v>
      </c>
      <c r="C322" s="4" t="s">
        <v>9</v>
      </c>
      <c r="D322" s="5">
        <v>40.5</v>
      </c>
      <c r="E322" s="5">
        <v>56.8</v>
      </c>
      <c r="F322" s="6">
        <v>43.3</v>
      </c>
      <c r="G322" s="6">
        <v>53.8</v>
      </c>
    </row>
    <row r="323" spans="1:7" ht="12" customHeight="1" x14ac:dyDescent="0.25">
      <c r="A323" s="3" t="s">
        <v>650</v>
      </c>
      <c r="B323" s="3" t="s">
        <v>651</v>
      </c>
      <c r="C323" s="7" t="s">
        <v>24</v>
      </c>
      <c r="D323" s="5">
        <v>72</v>
      </c>
      <c r="E323" s="5">
        <v>24.7</v>
      </c>
      <c r="F323" s="6">
        <v>72.900000000000006</v>
      </c>
      <c r="G323" s="6">
        <v>24.3</v>
      </c>
    </row>
    <row r="324" spans="1:7" ht="12" customHeight="1" x14ac:dyDescent="0.25">
      <c r="A324" s="3" t="s">
        <v>652</v>
      </c>
      <c r="B324" s="3" t="s">
        <v>653</v>
      </c>
      <c r="C324" s="7" t="s">
        <v>24</v>
      </c>
      <c r="D324" s="5">
        <v>51.7</v>
      </c>
      <c r="E324" s="5">
        <v>45</v>
      </c>
      <c r="F324" s="6">
        <v>54.2</v>
      </c>
      <c r="G324" s="6">
        <v>42.7</v>
      </c>
    </row>
    <row r="325" spans="1:7" ht="12" customHeight="1" x14ac:dyDescent="0.25">
      <c r="A325" s="3" t="s">
        <v>654</v>
      </c>
      <c r="B325" s="3" t="s">
        <v>655</v>
      </c>
      <c r="C325" s="7" t="s">
        <v>24</v>
      </c>
      <c r="D325" s="5">
        <v>50.5</v>
      </c>
      <c r="E325" s="5">
        <v>47.1</v>
      </c>
      <c r="F325" s="6">
        <v>53</v>
      </c>
      <c r="G325" s="6">
        <v>44.2</v>
      </c>
    </row>
    <row r="326" spans="1:7" ht="12" customHeight="1" x14ac:dyDescent="0.25">
      <c r="A326" s="3" t="s">
        <v>656</v>
      </c>
      <c r="B326" s="3" t="s">
        <v>657</v>
      </c>
      <c r="C326" s="7" t="s">
        <v>24</v>
      </c>
      <c r="D326" s="6">
        <v>82.3</v>
      </c>
      <c r="E326" s="6">
        <v>16.899999999999999</v>
      </c>
      <c r="F326" s="6">
        <v>78.7</v>
      </c>
      <c r="G326" s="6">
        <v>20.6</v>
      </c>
    </row>
    <row r="327" spans="1:7" ht="12" customHeight="1" x14ac:dyDescent="0.25">
      <c r="A327" s="3" t="s">
        <v>658</v>
      </c>
      <c r="B327" s="3" t="s">
        <v>659</v>
      </c>
      <c r="C327" s="7" t="s">
        <v>24</v>
      </c>
      <c r="D327" s="6">
        <v>90.4</v>
      </c>
      <c r="E327" s="6">
        <v>9</v>
      </c>
      <c r="F327" s="6">
        <v>91</v>
      </c>
      <c r="G327" s="6">
        <v>8.8000000000000007</v>
      </c>
    </row>
    <row r="328" spans="1:7" ht="12" customHeight="1" x14ac:dyDescent="0.25">
      <c r="A328" s="3" t="s">
        <v>660</v>
      </c>
      <c r="B328" s="3" t="s">
        <v>661</v>
      </c>
      <c r="C328" s="4" t="s">
        <v>9</v>
      </c>
      <c r="D328" s="6">
        <v>43</v>
      </c>
      <c r="E328" s="6">
        <v>55.6</v>
      </c>
      <c r="F328" s="6">
        <v>46.3</v>
      </c>
      <c r="G328" s="6">
        <v>52.3</v>
      </c>
    </row>
    <row r="329" spans="1:7" ht="12" customHeight="1" x14ac:dyDescent="0.25">
      <c r="A329" s="3" t="s">
        <v>662</v>
      </c>
      <c r="B329" s="3" t="s">
        <v>663</v>
      </c>
      <c r="C329" s="4" t="s">
        <v>9</v>
      </c>
      <c r="D329" s="6">
        <v>41.5</v>
      </c>
      <c r="E329" s="6">
        <v>57.1</v>
      </c>
      <c r="F329" s="6">
        <v>45.1</v>
      </c>
      <c r="G329" s="6">
        <v>53.8</v>
      </c>
    </row>
    <row r="330" spans="1:7" ht="12" customHeight="1" x14ac:dyDescent="0.25">
      <c r="A330" s="3" t="s">
        <v>664</v>
      </c>
      <c r="B330" s="3" t="s">
        <v>665</v>
      </c>
      <c r="C330" s="4" t="s">
        <v>9</v>
      </c>
      <c r="D330" s="6">
        <v>41.5</v>
      </c>
      <c r="E330" s="6">
        <v>57.1</v>
      </c>
      <c r="F330" s="6">
        <v>47.1</v>
      </c>
      <c r="G330" s="6">
        <v>51.5</v>
      </c>
    </row>
    <row r="331" spans="1:7" ht="12" customHeight="1" x14ac:dyDescent="0.25">
      <c r="A331" s="3" t="s">
        <v>666</v>
      </c>
      <c r="B331" s="3" t="s">
        <v>667</v>
      </c>
      <c r="C331" s="4" t="s">
        <v>9</v>
      </c>
      <c r="D331" s="6">
        <v>48.1</v>
      </c>
      <c r="E331" s="6">
        <v>50.6</v>
      </c>
      <c r="F331" s="6">
        <v>53</v>
      </c>
      <c r="G331" s="6">
        <v>46</v>
      </c>
    </row>
    <row r="332" spans="1:7" ht="12" customHeight="1" x14ac:dyDescent="0.25">
      <c r="A332" s="3" t="s">
        <v>668</v>
      </c>
      <c r="B332" s="3" t="s">
        <v>669</v>
      </c>
      <c r="C332" s="4" t="s">
        <v>9</v>
      </c>
      <c r="D332" s="6">
        <v>48.5</v>
      </c>
      <c r="E332" s="6">
        <v>50.4</v>
      </c>
      <c r="F332" s="6">
        <v>51.2</v>
      </c>
      <c r="G332" s="6">
        <v>47.8</v>
      </c>
    </row>
    <row r="333" spans="1:7" ht="12" customHeight="1" x14ac:dyDescent="0.25">
      <c r="A333" s="3" t="s">
        <v>670</v>
      </c>
      <c r="B333" s="3" t="s">
        <v>671</v>
      </c>
      <c r="C333" s="4" t="s">
        <v>9</v>
      </c>
      <c r="D333" s="6">
        <v>49.3</v>
      </c>
      <c r="E333" s="6">
        <v>49.4</v>
      </c>
      <c r="F333" s="6">
        <v>53.2</v>
      </c>
      <c r="G333" s="6">
        <v>45.7</v>
      </c>
    </row>
    <row r="334" spans="1:7" ht="12" customHeight="1" x14ac:dyDescent="0.25">
      <c r="A334" s="3" t="s">
        <v>672</v>
      </c>
      <c r="B334" s="3" t="s">
        <v>673</v>
      </c>
      <c r="C334" s="4" t="s">
        <v>9</v>
      </c>
      <c r="D334" s="6">
        <v>35.9</v>
      </c>
      <c r="E334" s="6">
        <v>62.8</v>
      </c>
      <c r="F334" s="6">
        <v>40.9</v>
      </c>
      <c r="G334" s="6">
        <v>57.9</v>
      </c>
    </row>
    <row r="335" spans="1:7" ht="12" customHeight="1" x14ac:dyDescent="0.25">
      <c r="A335" s="3" t="s">
        <v>674</v>
      </c>
      <c r="B335" s="3" t="s">
        <v>675</v>
      </c>
      <c r="C335" s="4" t="s">
        <v>9</v>
      </c>
      <c r="D335" s="6">
        <v>38.4</v>
      </c>
      <c r="E335" s="6">
        <v>60.1</v>
      </c>
      <c r="F335" s="6">
        <v>42.3</v>
      </c>
      <c r="G335" s="6">
        <v>56.5</v>
      </c>
    </row>
    <row r="336" spans="1:7" ht="12" customHeight="1" x14ac:dyDescent="0.25">
      <c r="A336" s="3" t="s">
        <v>676</v>
      </c>
      <c r="B336" s="3" t="s">
        <v>677</v>
      </c>
      <c r="C336" s="4" t="s">
        <v>9</v>
      </c>
      <c r="D336" s="6">
        <v>44.5</v>
      </c>
      <c r="E336" s="6">
        <v>53.9</v>
      </c>
      <c r="F336" s="6">
        <v>47.1</v>
      </c>
      <c r="G336" s="6">
        <v>51.7</v>
      </c>
    </row>
    <row r="337" spans="1:7" ht="12" customHeight="1" x14ac:dyDescent="0.25">
      <c r="A337" s="3" t="s">
        <v>678</v>
      </c>
      <c r="B337" s="3" t="s">
        <v>679</v>
      </c>
      <c r="C337" s="4" t="s">
        <v>9</v>
      </c>
      <c r="D337" s="6">
        <v>40.9</v>
      </c>
      <c r="E337" s="6">
        <v>57.8</v>
      </c>
      <c r="F337" s="6">
        <v>44.7</v>
      </c>
      <c r="G337" s="6">
        <v>54.1</v>
      </c>
    </row>
    <row r="338" spans="1:7" ht="12" customHeight="1" x14ac:dyDescent="0.25">
      <c r="A338" s="3" t="s">
        <v>680</v>
      </c>
      <c r="B338" s="3" t="s">
        <v>681</v>
      </c>
      <c r="C338" s="7" t="s">
        <v>24</v>
      </c>
      <c r="D338" s="6">
        <v>66.2</v>
      </c>
      <c r="E338" s="6">
        <v>32.9</v>
      </c>
      <c r="F338" s="6">
        <v>65.400000000000006</v>
      </c>
      <c r="G338" s="6">
        <v>33.700000000000003</v>
      </c>
    </row>
    <row r="339" spans="1:7" ht="12" customHeight="1" x14ac:dyDescent="0.25">
      <c r="A339" s="3" t="s">
        <v>682</v>
      </c>
      <c r="B339" s="3" t="s">
        <v>683</v>
      </c>
      <c r="C339" s="7" t="s">
        <v>24</v>
      </c>
      <c r="D339" s="6">
        <v>68</v>
      </c>
      <c r="E339" s="6">
        <v>30.6</v>
      </c>
      <c r="F339" s="6">
        <v>67</v>
      </c>
      <c r="G339" s="6">
        <v>32</v>
      </c>
    </row>
    <row r="340" spans="1:7" ht="12" customHeight="1" x14ac:dyDescent="0.25">
      <c r="A340" s="3" t="s">
        <v>684</v>
      </c>
      <c r="B340" s="3" t="s">
        <v>685</v>
      </c>
      <c r="C340" s="4" t="s">
        <v>9</v>
      </c>
      <c r="D340" s="6">
        <v>47.9</v>
      </c>
      <c r="E340" s="6">
        <v>50.8</v>
      </c>
      <c r="F340" s="6">
        <v>52.1</v>
      </c>
      <c r="G340" s="6">
        <v>46.6</v>
      </c>
    </row>
    <row r="341" spans="1:7" ht="12" customHeight="1" x14ac:dyDescent="0.25">
      <c r="A341" s="3" t="s">
        <v>686</v>
      </c>
      <c r="B341" s="3" t="s">
        <v>687</v>
      </c>
      <c r="C341" s="4" t="s">
        <v>9</v>
      </c>
      <c r="D341" s="6">
        <v>46.3</v>
      </c>
      <c r="E341" s="6">
        <v>52.4</v>
      </c>
      <c r="F341" s="6">
        <v>50.1</v>
      </c>
      <c r="G341" s="6">
        <v>49</v>
      </c>
    </row>
    <row r="342" spans="1:7" ht="12" customHeight="1" x14ac:dyDescent="0.25">
      <c r="A342" s="3" t="s">
        <v>688</v>
      </c>
      <c r="B342" s="3" t="s">
        <v>689</v>
      </c>
      <c r="C342" s="7" t="s">
        <v>24</v>
      </c>
      <c r="D342" s="6">
        <v>55.4</v>
      </c>
      <c r="E342" s="6">
        <v>43.3</v>
      </c>
      <c r="F342" s="6">
        <v>56.9</v>
      </c>
      <c r="G342" s="6">
        <v>41.9</v>
      </c>
    </row>
    <row r="343" spans="1:7" ht="12" customHeight="1" x14ac:dyDescent="0.25">
      <c r="A343" s="3" t="s">
        <v>690</v>
      </c>
      <c r="B343" s="3" t="s">
        <v>691</v>
      </c>
      <c r="C343" s="4" t="s">
        <v>9</v>
      </c>
      <c r="D343" s="5">
        <v>41</v>
      </c>
      <c r="E343" s="5">
        <v>57.9</v>
      </c>
      <c r="F343" s="6">
        <v>43.8</v>
      </c>
      <c r="G343" s="6">
        <v>55.2</v>
      </c>
    </row>
    <row r="344" spans="1:7" ht="12" customHeight="1" x14ac:dyDescent="0.25">
      <c r="A344" s="3" t="s">
        <v>692</v>
      </c>
      <c r="B344" s="3" t="s">
        <v>693</v>
      </c>
      <c r="C344" s="7" t="s">
        <v>24</v>
      </c>
      <c r="D344" s="5">
        <v>66.2</v>
      </c>
      <c r="E344" s="5">
        <v>32.200000000000003</v>
      </c>
      <c r="F344" s="6">
        <v>66.599999999999994</v>
      </c>
      <c r="G344" s="6">
        <v>31.8</v>
      </c>
    </row>
    <row r="345" spans="1:7" ht="12" customHeight="1" x14ac:dyDescent="0.25">
      <c r="A345" s="3" t="s">
        <v>694</v>
      </c>
      <c r="B345" s="3" t="s">
        <v>695</v>
      </c>
      <c r="C345" s="7" t="s">
        <v>24</v>
      </c>
      <c r="D345" s="5">
        <v>59.8</v>
      </c>
      <c r="E345" s="5">
        <v>38.299999999999997</v>
      </c>
      <c r="F345" s="6">
        <v>59.9</v>
      </c>
      <c r="G345" s="6">
        <v>38.299999999999997</v>
      </c>
    </row>
    <row r="346" spans="1:7" ht="12" customHeight="1" x14ac:dyDescent="0.25">
      <c r="A346" s="3" t="s">
        <v>696</v>
      </c>
      <c r="B346" s="3" t="s">
        <v>697</v>
      </c>
      <c r="C346" s="4" t="s">
        <v>9</v>
      </c>
      <c r="D346" s="5">
        <v>40.200000000000003</v>
      </c>
      <c r="E346" s="5">
        <v>58.3</v>
      </c>
      <c r="F346" s="6">
        <v>42.7</v>
      </c>
      <c r="G346" s="6">
        <v>56.1</v>
      </c>
    </row>
    <row r="347" spans="1:7" ht="12" customHeight="1" x14ac:dyDescent="0.25">
      <c r="A347" s="3" t="s">
        <v>698</v>
      </c>
      <c r="B347" s="3" t="s">
        <v>699</v>
      </c>
      <c r="C347" s="4" t="s">
        <v>9</v>
      </c>
      <c r="D347" s="5">
        <v>39.4</v>
      </c>
      <c r="E347" s="5">
        <v>59.1</v>
      </c>
      <c r="F347" s="6">
        <v>39.4</v>
      </c>
      <c r="G347" s="6">
        <v>59.5</v>
      </c>
    </row>
    <row r="348" spans="1:7" ht="12" customHeight="1" x14ac:dyDescent="0.25">
      <c r="A348" s="3" t="s">
        <v>700</v>
      </c>
      <c r="B348" s="3" t="s">
        <v>701</v>
      </c>
      <c r="C348" s="4" t="s">
        <v>9</v>
      </c>
      <c r="D348" s="5">
        <v>33.9</v>
      </c>
      <c r="E348" s="5">
        <v>64.5</v>
      </c>
      <c r="F348" s="6">
        <v>35.1</v>
      </c>
      <c r="G348" s="6">
        <v>63.5</v>
      </c>
    </row>
    <row r="349" spans="1:7" ht="12" customHeight="1" x14ac:dyDescent="0.25">
      <c r="A349" s="3" t="s">
        <v>702</v>
      </c>
      <c r="B349" s="3" t="s">
        <v>703</v>
      </c>
      <c r="C349" s="4" t="s">
        <v>9</v>
      </c>
      <c r="D349" s="5">
        <v>36.200000000000003</v>
      </c>
      <c r="E349" s="5">
        <v>62.2</v>
      </c>
      <c r="F349" s="6">
        <v>37.700000000000003</v>
      </c>
      <c r="G349" s="6">
        <v>60.6</v>
      </c>
    </row>
    <row r="350" spans="1:7" ht="12" customHeight="1" x14ac:dyDescent="0.25">
      <c r="A350" s="3" t="s">
        <v>704</v>
      </c>
      <c r="B350" s="3" t="s">
        <v>705</v>
      </c>
      <c r="C350" s="4" t="s">
        <v>9</v>
      </c>
      <c r="D350" s="5">
        <v>43.6</v>
      </c>
      <c r="E350" s="5">
        <v>55.1</v>
      </c>
      <c r="F350" s="6">
        <v>43.8</v>
      </c>
      <c r="G350" s="6">
        <v>55</v>
      </c>
    </row>
    <row r="351" spans="1:7" ht="12" customHeight="1" x14ac:dyDescent="0.25">
      <c r="A351" s="3" t="s">
        <v>706</v>
      </c>
      <c r="B351" s="3" t="s">
        <v>707</v>
      </c>
      <c r="C351" s="7" t="s">
        <v>24</v>
      </c>
      <c r="D351" s="5">
        <v>70.900000000000006</v>
      </c>
      <c r="E351" s="5">
        <v>28.1</v>
      </c>
      <c r="F351" s="6">
        <v>70.099999999999994</v>
      </c>
      <c r="G351" s="6">
        <v>28.9</v>
      </c>
    </row>
    <row r="352" spans="1:7" ht="12" customHeight="1" x14ac:dyDescent="0.25">
      <c r="A352" s="3" t="s">
        <v>708</v>
      </c>
      <c r="B352" s="3" t="s">
        <v>709</v>
      </c>
      <c r="C352" s="4" t="s">
        <v>9</v>
      </c>
      <c r="D352" s="5">
        <v>44.4</v>
      </c>
      <c r="E352" s="5">
        <v>54.5</v>
      </c>
      <c r="F352" s="6">
        <v>45.3</v>
      </c>
      <c r="G352" s="6">
        <v>53.6</v>
      </c>
    </row>
    <row r="353" spans="1:7" ht="12" customHeight="1" x14ac:dyDescent="0.25">
      <c r="A353" s="3" t="s">
        <v>710</v>
      </c>
      <c r="B353" s="3" t="s">
        <v>711</v>
      </c>
      <c r="C353" s="4" t="s">
        <v>9</v>
      </c>
      <c r="D353" s="5">
        <v>39.9</v>
      </c>
      <c r="E353" s="5">
        <v>57.9</v>
      </c>
      <c r="F353" s="6">
        <v>44.7</v>
      </c>
      <c r="G353" s="6">
        <v>53.2</v>
      </c>
    </row>
    <row r="354" spans="1:7" ht="12" customHeight="1" x14ac:dyDescent="0.25">
      <c r="A354" s="3" t="s">
        <v>712</v>
      </c>
      <c r="B354" s="3" t="s">
        <v>713</v>
      </c>
      <c r="C354" s="4" t="s">
        <v>9</v>
      </c>
      <c r="D354" s="5">
        <v>25.7</v>
      </c>
      <c r="E354" s="5">
        <v>72.7</v>
      </c>
      <c r="F354" s="6">
        <v>28.6</v>
      </c>
      <c r="G354" s="6">
        <v>69.900000000000006</v>
      </c>
    </row>
    <row r="355" spans="1:7" ht="12" customHeight="1" x14ac:dyDescent="0.25">
      <c r="A355" s="3" t="s">
        <v>714</v>
      </c>
      <c r="B355" s="3" t="s">
        <v>715</v>
      </c>
      <c r="C355" s="4" t="s">
        <v>9</v>
      </c>
      <c r="D355" s="5">
        <v>30.9</v>
      </c>
      <c r="E355" s="5">
        <v>67.3</v>
      </c>
      <c r="F355" s="6">
        <v>34.5</v>
      </c>
      <c r="G355" s="6">
        <v>64</v>
      </c>
    </row>
    <row r="356" spans="1:7" ht="12" customHeight="1" x14ac:dyDescent="0.25">
      <c r="A356" s="3" t="s">
        <v>716</v>
      </c>
      <c r="B356" s="3" t="s">
        <v>717</v>
      </c>
      <c r="C356" s="4" t="s">
        <v>9</v>
      </c>
      <c r="D356" s="5">
        <v>35.1</v>
      </c>
      <c r="E356" s="5">
        <v>63.3</v>
      </c>
      <c r="F356" s="6">
        <v>37.299999999999997</v>
      </c>
      <c r="G356" s="6">
        <v>61.3</v>
      </c>
    </row>
    <row r="357" spans="1:7" ht="12" customHeight="1" x14ac:dyDescent="0.25">
      <c r="A357" s="3" t="s">
        <v>718</v>
      </c>
      <c r="B357" s="3" t="s">
        <v>719</v>
      </c>
      <c r="C357" s="4" t="s">
        <v>9</v>
      </c>
      <c r="D357" s="5">
        <v>33.1</v>
      </c>
      <c r="E357" s="5">
        <v>65.3</v>
      </c>
      <c r="F357" s="6">
        <v>35.799999999999997</v>
      </c>
      <c r="G357" s="6">
        <v>62.6</v>
      </c>
    </row>
    <row r="358" spans="1:7" ht="12" customHeight="1" x14ac:dyDescent="0.25">
      <c r="A358" s="3" t="s">
        <v>720</v>
      </c>
      <c r="B358" s="3" t="s">
        <v>721</v>
      </c>
      <c r="C358" s="7" t="s">
        <v>24</v>
      </c>
      <c r="D358" s="5">
        <v>55.9</v>
      </c>
      <c r="E358" s="5">
        <v>42.5</v>
      </c>
      <c r="F358" s="6">
        <v>57.5</v>
      </c>
      <c r="G358" s="6">
        <v>41.3</v>
      </c>
    </row>
    <row r="359" spans="1:7" ht="12" customHeight="1" x14ac:dyDescent="0.25">
      <c r="A359" s="3" t="s">
        <v>722</v>
      </c>
      <c r="B359" s="3" t="s">
        <v>723</v>
      </c>
      <c r="C359" s="4" t="s">
        <v>9</v>
      </c>
      <c r="D359" s="5">
        <v>29.5</v>
      </c>
      <c r="E359" s="5">
        <v>69.099999999999994</v>
      </c>
      <c r="F359" s="6">
        <v>33.5</v>
      </c>
      <c r="G359" s="6">
        <v>64.900000000000006</v>
      </c>
    </row>
    <row r="360" spans="1:7" ht="12" customHeight="1" x14ac:dyDescent="0.25">
      <c r="A360" s="3" t="s">
        <v>724</v>
      </c>
      <c r="B360" s="3" t="s">
        <v>725</v>
      </c>
      <c r="C360" s="4" t="s">
        <v>9</v>
      </c>
      <c r="D360" s="5">
        <v>32.9</v>
      </c>
      <c r="E360" s="5">
        <v>65.7</v>
      </c>
      <c r="F360" s="6">
        <v>36.299999999999997</v>
      </c>
      <c r="G360" s="6">
        <v>62.4</v>
      </c>
    </row>
    <row r="361" spans="1:7" ht="12" customHeight="1" x14ac:dyDescent="0.25">
      <c r="A361" s="3" t="s">
        <v>726</v>
      </c>
      <c r="B361" s="3" t="s">
        <v>727</v>
      </c>
      <c r="C361" s="4" t="s">
        <v>9</v>
      </c>
      <c r="D361" s="5">
        <v>32.799999999999997</v>
      </c>
      <c r="E361" s="5">
        <v>66.099999999999994</v>
      </c>
      <c r="F361" s="6">
        <v>34.9</v>
      </c>
      <c r="G361" s="6">
        <v>64.099999999999994</v>
      </c>
    </row>
    <row r="362" spans="1:7" ht="12" customHeight="1" x14ac:dyDescent="0.25">
      <c r="A362" s="3" t="s">
        <v>728</v>
      </c>
      <c r="B362" s="3" t="s">
        <v>729</v>
      </c>
      <c r="C362" s="7" t="s">
        <v>24</v>
      </c>
      <c r="D362" s="5">
        <v>78.3</v>
      </c>
      <c r="E362" s="5">
        <v>20.9</v>
      </c>
      <c r="F362" s="6">
        <v>77</v>
      </c>
      <c r="G362" s="6">
        <v>22.5</v>
      </c>
    </row>
    <row r="363" spans="1:7" ht="12" customHeight="1" x14ac:dyDescent="0.3">
      <c r="A363" s="3" t="s">
        <v>730</v>
      </c>
      <c r="B363" s="3" t="s">
        <v>731</v>
      </c>
      <c r="C363" s="4" t="s">
        <v>9</v>
      </c>
      <c r="D363" s="5">
        <v>27.5</v>
      </c>
      <c r="E363" s="5">
        <v>71.599999999999994</v>
      </c>
      <c r="F363" s="8">
        <v>30</v>
      </c>
      <c r="G363" s="8">
        <v>69</v>
      </c>
    </row>
    <row r="364" spans="1:7" ht="12" customHeight="1" x14ac:dyDescent="0.3">
      <c r="A364" s="3" t="s">
        <v>732</v>
      </c>
      <c r="B364" s="3" t="s">
        <v>733</v>
      </c>
      <c r="C364" s="4" t="s">
        <v>9</v>
      </c>
      <c r="D364" s="5">
        <v>35.6</v>
      </c>
      <c r="E364" s="5">
        <v>62.9</v>
      </c>
      <c r="F364" s="8">
        <v>37</v>
      </c>
      <c r="G364" s="8">
        <v>62</v>
      </c>
    </row>
    <row r="365" spans="1:7" ht="12" customHeight="1" x14ac:dyDescent="0.3">
      <c r="A365" s="3" t="s">
        <v>734</v>
      </c>
      <c r="B365" s="3" t="s">
        <v>735</v>
      </c>
      <c r="C365" s="4" t="s">
        <v>9</v>
      </c>
      <c r="D365" s="5">
        <v>34.200000000000003</v>
      </c>
      <c r="E365" s="5">
        <v>64.3</v>
      </c>
      <c r="F365" s="8">
        <v>37</v>
      </c>
      <c r="G365" s="8">
        <v>61</v>
      </c>
    </row>
    <row r="366" spans="1:7" ht="12" customHeight="1" x14ac:dyDescent="0.3">
      <c r="A366" s="3" t="s">
        <v>736</v>
      </c>
      <c r="B366" s="3" t="s">
        <v>737</v>
      </c>
      <c r="C366" s="4" t="s">
        <v>9</v>
      </c>
      <c r="D366" s="5">
        <v>24.8</v>
      </c>
      <c r="E366" s="5">
        <v>74</v>
      </c>
      <c r="F366" s="8">
        <v>29</v>
      </c>
      <c r="G366" s="8">
        <v>70</v>
      </c>
    </row>
    <row r="367" spans="1:7" ht="12" customHeight="1" x14ac:dyDescent="0.3">
      <c r="A367" s="3" t="s">
        <v>738</v>
      </c>
      <c r="B367" s="3" t="s">
        <v>739</v>
      </c>
      <c r="C367" s="4" t="s">
        <v>9</v>
      </c>
      <c r="D367" s="5">
        <v>34.4</v>
      </c>
      <c r="E367" s="5">
        <v>64.5</v>
      </c>
      <c r="F367" s="8">
        <v>37</v>
      </c>
      <c r="G367" s="8">
        <v>62</v>
      </c>
    </row>
    <row r="368" spans="1:7" ht="12" customHeight="1" x14ac:dyDescent="0.3">
      <c r="A368" s="3" t="s">
        <v>740</v>
      </c>
      <c r="B368" s="3" t="s">
        <v>741</v>
      </c>
      <c r="C368" s="4" t="s">
        <v>9</v>
      </c>
      <c r="D368" s="5">
        <v>40.799999999999997</v>
      </c>
      <c r="E368" s="5">
        <v>57.9</v>
      </c>
      <c r="F368" s="8">
        <v>42</v>
      </c>
      <c r="G368" s="8">
        <v>57</v>
      </c>
    </row>
    <row r="369" spans="1:7" ht="12" customHeight="1" x14ac:dyDescent="0.3">
      <c r="A369" s="3" t="s">
        <v>742</v>
      </c>
      <c r="B369" s="3" t="s">
        <v>743</v>
      </c>
      <c r="C369" s="4" t="s">
        <v>9</v>
      </c>
      <c r="D369" s="5">
        <v>38.6</v>
      </c>
      <c r="E369" s="5">
        <v>59.9</v>
      </c>
      <c r="F369" s="8">
        <v>40</v>
      </c>
      <c r="G369" s="8">
        <v>59</v>
      </c>
    </row>
    <row r="370" spans="1:7" ht="12" customHeight="1" x14ac:dyDescent="0.3">
      <c r="A370" s="3" t="s">
        <v>744</v>
      </c>
      <c r="B370" s="3" t="s">
        <v>745</v>
      </c>
      <c r="C370" s="4" t="s">
        <v>9</v>
      </c>
      <c r="D370" s="5">
        <v>21.7</v>
      </c>
      <c r="E370" s="5">
        <v>77</v>
      </c>
      <c r="F370" s="8">
        <v>26</v>
      </c>
      <c r="G370" s="8">
        <v>73</v>
      </c>
    </row>
    <row r="371" spans="1:7" ht="12" customHeight="1" x14ac:dyDescent="0.3">
      <c r="A371" s="3" t="s">
        <v>746</v>
      </c>
      <c r="B371" s="3" t="s">
        <v>747</v>
      </c>
      <c r="C371" s="7" t="s">
        <v>24</v>
      </c>
      <c r="D371" s="5">
        <v>78</v>
      </c>
      <c r="E371" s="5">
        <v>21.1</v>
      </c>
      <c r="F371" s="8">
        <v>76</v>
      </c>
      <c r="G371" s="8">
        <v>23</v>
      </c>
    </row>
    <row r="372" spans="1:7" ht="12" customHeight="1" x14ac:dyDescent="0.3">
      <c r="A372" s="3" t="s">
        <v>748</v>
      </c>
      <c r="B372" s="3" t="s">
        <v>749</v>
      </c>
      <c r="C372" s="4" t="s">
        <v>9</v>
      </c>
      <c r="D372" s="5">
        <v>38.799999999999997</v>
      </c>
      <c r="E372" s="5">
        <v>59.1</v>
      </c>
      <c r="F372" s="8">
        <v>43</v>
      </c>
      <c r="G372" s="8">
        <v>56</v>
      </c>
    </row>
    <row r="373" spans="1:7" ht="12" customHeight="1" x14ac:dyDescent="0.3">
      <c r="A373" s="3" t="s">
        <v>750</v>
      </c>
      <c r="B373" s="3" t="s">
        <v>751</v>
      </c>
      <c r="C373" s="4" t="s">
        <v>9</v>
      </c>
      <c r="D373" s="5">
        <v>19.600000000000001</v>
      </c>
      <c r="E373" s="5">
        <v>79.2</v>
      </c>
      <c r="F373" s="8">
        <v>23</v>
      </c>
      <c r="G373" s="8">
        <v>76</v>
      </c>
    </row>
    <row r="374" spans="1:7" ht="12" customHeight="1" x14ac:dyDescent="0.3">
      <c r="A374" s="3" t="s">
        <v>752</v>
      </c>
      <c r="B374" s="3" t="s">
        <v>753</v>
      </c>
      <c r="C374" s="4" t="s">
        <v>9</v>
      </c>
      <c r="D374" s="5">
        <v>31.7</v>
      </c>
      <c r="E374" s="5">
        <v>66.8</v>
      </c>
      <c r="F374" s="8">
        <v>35</v>
      </c>
      <c r="G374" s="8">
        <v>64</v>
      </c>
    </row>
    <row r="375" spans="1:7" ht="12" customHeight="1" x14ac:dyDescent="0.3">
      <c r="A375" s="3" t="s">
        <v>754</v>
      </c>
      <c r="B375" s="3" t="s">
        <v>755</v>
      </c>
      <c r="C375" s="4" t="s">
        <v>9</v>
      </c>
      <c r="D375" s="5">
        <v>18.5</v>
      </c>
      <c r="E375" s="5">
        <v>80.2</v>
      </c>
      <c r="F375" s="8">
        <v>22</v>
      </c>
      <c r="G375" s="8">
        <v>77</v>
      </c>
    </row>
    <row r="376" spans="1:7" ht="12" customHeight="1" x14ac:dyDescent="0.3">
      <c r="A376" s="3" t="s">
        <v>756</v>
      </c>
      <c r="B376" s="3" t="s">
        <v>757</v>
      </c>
      <c r="C376" s="4" t="s">
        <v>9</v>
      </c>
      <c r="D376" s="5">
        <v>39.5</v>
      </c>
      <c r="E376" s="5">
        <v>59.3</v>
      </c>
      <c r="F376" s="8">
        <v>42</v>
      </c>
      <c r="G376" s="8">
        <v>57</v>
      </c>
    </row>
    <row r="377" spans="1:7" ht="12" customHeight="1" x14ac:dyDescent="0.3">
      <c r="A377" s="3" t="s">
        <v>758</v>
      </c>
      <c r="B377" s="3" t="s">
        <v>759</v>
      </c>
      <c r="C377" s="7" t="s">
        <v>24</v>
      </c>
      <c r="D377" s="6">
        <v>57.4</v>
      </c>
      <c r="E377" s="6">
        <v>41.5</v>
      </c>
      <c r="F377" s="8">
        <v>57</v>
      </c>
      <c r="G377" s="8">
        <v>42</v>
      </c>
    </row>
    <row r="378" spans="1:7" ht="12" customHeight="1" x14ac:dyDescent="0.3">
      <c r="A378" s="3" t="s">
        <v>760</v>
      </c>
      <c r="B378" s="3" t="s">
        <v>761</v>
      </c>
      <c r="C378" s="7" t="s">
        <v>24</v>
      </c>
      <c r="D378" s="6">
        <v>64.2</v>
      </c>
      <c r="E378" s="6">
        <v>34.5</v>
      </c>
      <c r="F378" s="8">
        <v>64</v>
      </c>
      <c r="G378" s="8">
        <v>35</v>
      </c>
    </row>
    <row r="379" spans="1:7" ht="12" customHeight="1" x14ac:dyDescent="0.3">
      <c r="A379" s="3" t="s">
        <v>762</v>
      </c>
      <c r="B379" s="3" t="s">
        <v>763</v>
      </c>
      <c r="C379" s="4" t="s">
        <v>9</v>
      </c>
      <c r="D379" s="6">
        <v>37.700000000000003</v>
      </c>
      <c r="E379" s="6">
        <v>60.4</v>
      </c>
      <c r="F379" s="8">
        <v>41</v>
      </c>
      <c r="G379" s="8">
        <v>58</v>
      </c>
    </row>
    <row r="380" spans="1:7" ht="12" customHeight="1" x14ac:dyDescent="0.3">
      <c r="A380" s="3" t="s">
        <v>764</v>
      </c>
      <c r="B380" s="3" t="s">
        <v>765</v>
      </c>
      <c r="C380" s="7" t="s">
        <v>24</v>
      </c>
      <c r="D380" s="6">
        <v>76.099999999999994</v>
      </c>
      <c r="E380" s="6">
        <v>22.8</v>
      </c>
      <c r="F380" s="8">
        <v>77</v>
      </c>
      <c r="G380" s="8">
        <v>23</v>
      </c>
    </row>
    <row r="381" spans="1:7" ht="12" customHeight="1" x14ac:dyDescent="0.3">
      <c r="A381" s="3" t="s">
        <v>766</v>
      </c>
      <c r="B381" s="3" t="s">
        <v>767</v>
      </c>
      <c r="C381" s="4" t="s">
        <v>9</v>
      </c>
      <c r="D381" s="6">
        <v>25</v>
      </c>
      <c r="E381" s="6">
        <v>73.599999999999994</v>
      </c>
      <c r="F381" s="8">
        <v>28</v>
      </c>
      <c r="G381" s="8">
        <v>71</v>
      </c>
    </row>
    <row r="382" spans="1:7" ht="12" customHeight="1" x14ac:dyDescent="0.3">
      <c r="A382" s="3" t="s">
        <v>768</v>
      </c>
      <c r="B382" s="3" t="s">
        <v>769</v>
      </c>
      <c r="C382" s="7" t="s">
        <v>24</v>
      </c>
      <c r="D382" s="6">
        <v>58.9</v>
      </c>
      <c r="E382" s="6">
        <v>39.700000000000003</v>
      </c>
      <c r="F382" s="8">
        <v>58</v>
      </c>
      <c r="G382" s="8">
        <v>41</v>
      </c>
    </row>
    <row r="383" spans="1:7" ht="12" customHeight="1" x14ac:dyDescent="0.3">
      <c r="A383" s="3" t="s">
        <v>770</v>
      </c>
      <c r="B383" s="3" t="s">
        <v>771</v>
      </c>
      <c r="C383" s="4" t="s">
        <v>9</v>
      </c>
      <c r="D383" s="6">
        <v>37.9</v>
      </c>
      <c r="E383" s="6">
        <v>59.8</v>
      </c>
      <c r="F383" s="8">
        <v>42</v>
      </c>
      <c r="G383" s="8">
        <v>56</v>
      </c>
    </row>
    <row r="384" spans="1:7" ht="12" customHeight="1" x14ac:dyDescent="0.3">
      <c r="A384" s="3" t="s">
        <v>772</v>
      </c>
      <c r="B384" s="3" t="s">
        <v>773</v>
      </c>
      <c r="C384" s="4" t="s">
        <v>9</v>
      </c>
      <c r="D384" s="6">
        <v>36.700000000000003</v>
      </c>
      <c r="E384" s="6">
        <v>62.1</v>
      </c>
      <c r="F384" s="8">
        <v>39</v>
      </c>
      <c r="G384" s="8">
        <v>60</v>
      </c>
    </row>
    <row r="385" spans="1:7" ht="12" customHeight="1" x14ac:dyDescent="0.3">
      <c r="A385" s="3" t="s">
        <v>774</v>
      </c>
      <c r="B385" s="3" t="s">
        <v>775</v>
      </c>
      <c r="C385" s="4" t="s">
        <v>9</v>
      </c>
      <c r="D385" s="6">
        <v>48.1</v>
      </c>
      <c r="E385" s="6">
        <v>50.7</v>
      </c>
      <c r="F385" s="8">
        <v>50</v>
      </c>
      <c r="G385" s="8">
        <v>49</v>
      </c>
    </row>
    <row r="386" spans="1:7" ht="12" customHeight="1" x14ac:dyDescent="0.3">
      <c r="A386" s="3" t="s">
        <v>776</v>
      </c>
      <c r="B386" s="3" t="s">
        <v>777</v>
      </c>
      <c r="C386" s="4" t="s">
        <v>9</v>
      </c>
      <c r="D386" s="6">
        <v>38</v>
      </c>
      <c r="E386" s="6">
        <v>60.4</v>
      </c>
      <c r="F386" s="8">
        <v>41</v>
      </c>
      <c r="G386" s="8">
        <v>58</v>
      </c>
    </row>
    <row r="387" spans="1:7" ht="12" customHeight="1" x14ac:dyDescent="0.3">
      <c r="A387" s="3" t="s">
        <v>778</v>
      </c>
      <c r="B387" s="3" t="s">
        <v>779</v>
      </c>
      <c r="C387" s="4" t="s">
        <v>9</v>
      </c>
      <c r="D387" s="6">
        <v>37.799999999999997</v>
      </c>
      <c r="E387" s="6">
        <v>59.9</v>
      </c>
      <c r="F387" s="8">
        <v>43</v>
      </c>
      <c r="G387" s="8">
        <v>56</v>
      </c>
    </row>
    <row r="388" spans="1:7" ht="12" customHeight="1" x14ac:dyDescent="0.3">
      <c r="A388" s="3" t="s">
        <v>780</v>
      </c>
      <c r="B388" s="3" t="s">
        <v>781</v>
      </c>
      <c r="C388" s="4" t="s">
        <v>9</v>
      </c>
      <c r="D388" s="6">
        <v>30.7</v>
      </c>
      <c r="E388" s="6">
        <v>67.599999999999994</v>
      </c>
      <c r="F388" s="8">
        <v>35</v>
      </c>
      <c r="G388" s="8">
        <v>64</v>
      </c>
    </row>
    <row r="389" spans="1:7" ht="12" customHeight="1" x14ac:dyDescent="0.3">
      <c r="A389" s="3" t="s">
        <v>782</v>
      </c>
      <c r="B389" s="3" t="s">
        <v>783</v>
      </c>
      <c r="C389" s="4" t="s">
        <v>9</v>
      </c>
      <c r="D389" s="6">
        <v>38.200000000000003</v>
      </c>
      <c r="E389" s="6">
        <v>60.5</v>
      </c>
      <c r="F389" s="8">
        <v>40</v>
      </c>
      <c r="G389" s="8">
        <v>59</v>
      </c>
    </row>
    <row r="390" spans="1:7" ht="12" customHeight="1" x14ac:dyDescent="0.3">
      <c r="A390" s="3" t="s">
        <v>784</v>
      </c>
      <c r="B390" s="3" t="s">
        <v>785</v>
      </c>
      <c r="C390" s="7" t="s">
        <v>24</v>
      </c>
      <c r="D390" s="6">
        <v>60.3</v>
      </c>
      <c r="E390" s="6">
        <v>38.700000000000003</v>
      </c>
      <c r="F390" s="8">
        <v>58</v>
      </c>
      <c r="G390" s="8">
        <v>41</v>
      </c>
    </row>
    <row r="391" spans="1:7" ht="12" customHeight="1" x14ac:dyDescent="0.3">
      <c r="A391" s="3" t="s">
        <v>786</v>
      </c>
      <c r="B391" s="3" t="s">
        <v>787</v>
      </c>
      <c r="C391" s="7" t="s">
        <v>24</v>
      </c>
      <c r="D391" s="6">
        <v>65.900000000000006</v>
      </c>
      <c r="E391" s="6">
        <v>33</v>
      </c>
      <c r="F391" s="8">
        <v>62</v>
      </c>
      <c r="G391" s="8">
        <v>37</v>
      </c>
    </row>
    <row r="392" spans="1:7" ht="12" customHeight="1" x14ac:dyDescent="0.3">
      <c r="A392" s="3" t="s">
        <v>788</v>
      </c>
      <c r="B392" s="3" t="s">
        <v>789</v>
      </c>
      <c r="C392" s="7" t="s">
        <v>24</v>
      </c>
      <c r="D392" s="6">
        <v>79.599999999999994</v>
      </c>
      <c r="E392" s="6">
        <v>19.600000000000001</v>
      </c>
      <c r="F392" s="8">
        <v>78</v>
      </c>
      <c r="G392" s="8">
        <v>21</v>
      </c>
    </row>
    <row r="393" spans="1:7" ht="12" customHeight="1" x14ac:dyDescent="0.3">
      <c r="A393" s="3" t="s">
        <v>790</v>
      </c>
      <c r="B393" s="3" t="s">
        <v>791</v>
      </c>
      <c r="C393" s="4" t="s">
        <v>9</v>
      </c>
      <c r="D393" s="6">
        <v>38.299999999999997</v>
      </c>
      <c r="E393" s="6">
        <v>59.6</v>
      </c>
      <c r="F393" s="8">
        <v>43</v>
      </c>
      <c r="G393" s="8">
        <v>56</v>
      </c>
    </row>
    <row r="394" spans="1:7" ht="12" customHeight="1" x14ac:dyDescent="0.3">
      <c r="A394" s="3" t="s">
        <v>792</v>
      </c>
      <c r="B394" s="3" t="s">
        <v>793</v>
      </c>
      <c r="C394" s="4" t="s">
        <v>9</v>
      </c>
      <c r="D394" s="6">
        <v>41.5</v>
      </c>
      <c r="E394" s="6">
        <v>57</v>
      </c>
      <c r="F394" s="8">
        <v>44</v>
      </c>
      <c r="G394" s="8">
        <v>55</v>
      </c>
    </row>
    <row r="395" spans="1:7" ht="12" customHeight="1" x14ac:dyDescent="0.3">
      <c r="A395" s="3" t="s">
        <v>794</v>
      </c>
      <c r="B395" s="3" t="s">
        <v>795</v>
      </c>
      <c r="C395" s="7" t="s">
        <v>24</v>
      </c>
      <c r="D395" s="6">
        <v>72</v>
      </c>
      <c r="E395" s="6">
        <v>27.1</v>
      </c>
      <c r="F395" s="8">
        <v>69</v>
      </c>
      <c r="G395" s="8">
        <v>31</v>
      </c>
    </row>
    <row r="396" spans="1:7" ht="12" customHeight="1" x14ac:dyDescent="0.3">
      <c r="A396" s="3" t="s">
        <v>796</v>
      </c>
      <c r="B396" s="3" t="s">
        <v>797</v>
      </c>
      <c r="C396" s="7" t="s">
        <v>24</v>
      </c>
      <c r="D396" s="6">
        <v>60.8</v>
      </c>
      <c r="E396" s="6">
        <v>38.299999999999997</v>
      </c>
      <c r="F396" s="8">
        <v>60</v>
      </c>
      <c r="G396" s="8">
        <v>39</v>
      </c>
    </row>
    <row r="397" spans="1:7" ht="12" customHeight="1" x14ac:dyDescent="0.3">
      <c r="A397" s="3" t="s">
        <v>798</v>
      </c>
      <c r="B397" s="3" t="s">
        <v>799</v>
      </c>
      <c r="C397" s="7" t="s">
        <v>24</v>
      </c>
      <c r="D397" s="5">
        <v>63</v>
      </c>
      <c r="E397" s="5">
        <v>34.6</v>
      </c>
      <c r="F397" s="8">
        <v>63</v>
      </c>
      <c r="G397" s="8">
        <v>35</v>
      </c>
    </row>
    <row r="398" spans="1:7" ht="12" customHeight="1" x14ac:dyDescent="0.3">
      <c r="A398" s="3" t="s">
        <v>800</v>
      </c>
      <c r="B398" s="3" t="s">
        <v>801</v>
      </c>
      <c r="C398" s="4" t="s">
        <v>9</v>
      </c>
      <c r="D398" s="5">
        <v>25.7</v>
      </c>
      <c r="E398" s="5">
        <v>73.2</v>
      </c>
      <c r="F398" s="8">
        <v>30</v>
      </c>
      <c r="G398" s="8">
        <v>69</v>
      </c>
    </row>
    <row r="399" spans="1:7" ht="12" customHeight="1" x14ac:dyDescent="0.25">
      <c r="A399" s="3" t="s">
        <v>802</v>
      </c>
      <c r="B399" s="3" t="s">
        <v>803</v>
      </c>
      <c r="C399" s="4" t="s">
        <v>9</v>
      </c>
      <c r="D399" s="5">
        <v>20.399999999999999</v>
      </c>
      <c r="E399" s="5">
        <v>77.400000000000006</v>
      </c>
      <c r="F399" s="6">
        <v>29.4</v>
      </c>
      <c r="G399" s="6">
        <v>67.7</v>
      </c>
    </row>
    <row r="400" spans="1:7" ht="12" customHeight="1" x14ac:dyDescent="0.25">
      <c r="A400" s="3" t="s">
        <v>804</v>
      </c>
      <c r="B400" s="3" t="s">
        <v>805</v>
      </c>
      <c r="C400" s="4" t="s">
        <v>9</v>
      </c>
      <c r="D400" s="5">
        <v>29.2</v>
      </c>
      <c r="E400" s="5">
        <v>68</v>
      </c>
      <c r="F400" s="6">
        <v>38.4</v>
      </c>
      <c r="G400" s="6">
        <v>58.5</v>
      </c>
    </row>
    <row r="401" spans="1:7" ht="12" customHeight="1" x14ac:dyDescent="0.25">
      <c r="A401" s="3" t="s">
        <v>806</v>
      </c>
      <c r="B401" s="3" t="s">
        <v>807</v>
      </c>
      <c r="C401" s="4" t="s">
        <v>9</v>
      </c>
      <c r="D401" s="5">
        <v>19.5</v>
      </c>
      <c r="E401" s="5">
        <v>78.3</v>
      </c>
      <c r="F401" s="6">
        <v>29.5</v>
      </c>
      <c r="G401" s="6">
        <v>67.5</v>
      </c>
    </row>
    <row r="402" spans="1:7" ht="12" customHeight="1" x14ac:dyDescent="0.25">
      <c r="A402" s="3" t="s">
        <v>808</v>
      </c>
      <c r="B402" s="3" t="s">
        <v>809</v>
      </c>
      <c r="C402" s="4" t="s">
        <v>9</v>
      </c>
      <c r="D402" s="5">
        <v>30.2</v>
      </c>
      <c r="E402" s="5">
        <v>67.2</v>
      </c>
      <c r="F402" s="6">
        <v>40.9</v>
      </c>
      <c r="G402" s="6">
        <v>56.1</v>
      </c>
    </row>
    <row r="403" spans="1:7" ht="12" customHeight="1" x14ac:dyDescent="0.25">
      <c r="A403" s="3" t="s">
        <v>810</v>
      </c>
      <c r="B403" s="3" t="s">
        <v>811</v>
      </c>
      <c r="C403" s="4" t="s">
        <v>9</v>
      </c>
      <c r="D403" s="5">
        <v>45.6</v>
      </c>
      <c r="E403" s="5">
        <v>53</v>
      </c>
      <c r="F403" s="6">
        <v>46.9</v>
      </c>
      <c r="G403" s="6">
        <v>52.3</v>
      </c>
    </row>
    <row r="404" spans="1:7" ht="12" customHeight="1" x14ac:dyDescent="0.25">
      <c r="A404" s="3" t="s">
        <v>812</v>
      </c>
      <c r="B404" s="3" t="s">
        <v>813</v>
      </c>
      <c r="C404" s="4" t="s">
        <v>9</v>
      </c>
      <c r="D404" s="5">
        <v>50.1</v>
      </c>
      <c r="E404" s="5">
        <v>48.6</v>
      </c>
      <c r="F404" s="6">
        <v>50.4</v>
      </c>
      <c r="G404" s="6">
        <v>48.7</v>
      </c>
    </row>
    <row r="405" spans="1:7" ht="12" customHeight="1" x14ac:dyDescent="0.25">
      <c r="A405" s="3" t="s">
        <v>814</v>
      </c>
      <c r="B405" s="3" t="s">
        <v>815</v>
      </c>
      <c r="C405" s="7" t="s">
        <v>24</v>
      </c>
      <c r="D405" s="5">
        <v>79</v>
      </c>
      <c r="E405" s="5">
        <v>20</v>
      </c>
      <c r="F405" s="6">
        <v>78.5</v>
      </c>
      <c r="G405" s="6">
        <v>20.9</v>
      </c>
    </row>
    <row r="406" spans="1:7" ht="12" customHeight="1" x14ac:dyDescent="0.25">
      <c r="A406" s="3" t="s">
        <v>816</v>
      </c>
      <c r="B406" s="3" t="s">
        <v>817</v>
      </c>
      <c r="C406" s="4" t="s">
        <v>9</v>
      </c>
      <c r="D406" s="5">
        <v>48.8</v>
      </c>
      <c r="E406" s="5">
        <v>50.1</v>
      </c>
      <c r="F406" s="6">
        <v>48.9</v>
      </c>
      <c r="G406" s="6">
        <v>50.4</v>
      </c>
    </row>
    <row r="407" spans="1:7" ht="12" customHeight="1" x14ac:dyDescent="0.25">
      <c r="A407" s="3" t="s">
        <v>818</v>
      </c>
      <c r="B407" s="3" t="s">
        <v>819</v>
      </c>
      <c r="C407" s="4" t="s">
        <v>9</v>
      </c>
      <c r="D407" s="5">
        <v>45.9</v>
      </c>
      <c r="E407" s="5">
        <v>52.5</v>
      </c>
      <c r="F407" s="6">
        <v>47.9</v>
      </c>
      <c r="G407" s="6">
        <v>51.1</v>
      </c>
    </row>
    <row r="408" spans="1:7" ht="12" customHeight="1" x14ac:dyDescent="0.25">
      <c r="A408" s="3" t="s">
        <v>820</v>
      </c>
      <c r="B408" s="3" t="s">
        <v>821</v>
      </c>
      <c r="C408" s="4" t="s">
        <v>9</v>
      </c>
      <c r="D408" s="5">
        <v>39.5</v>
      </c>
      <c r="E408" s="5">
        <v>58.8</v>
      </c>
      <c r="F408" s="6">
        <v>42</v>
      </c>
      <c r="G408" s="6">
        <v>57</v>
      </c>
    </row>
    <row r="409" spans="1:7" ht="12" customHeight="1" x14ac:dyDescent="0.25">
      <c r="A409" s="3" t="s">
        <v>822</v>
      </c>
      <c r="B409" s="3" t="s">
        <v>823</v>
      </c>
      <c r="C409" s="4" t="s">
        <v>9</v>
      </c>
      <c r="D409" s="5">
        <v>41.7</v>
      </c>
      <c r="E409" s="5">
        <v>56.9</v>
      </c>
      <c r="F409" s="6">
        <v>43.6</v>
      </c>
      <c r="G409" s="6">
        <v>55.6</v>
      </c>
    </row>
    <row r="410" spans="1:7" ht="12" customHeight="1" x14ac:dyDescent="0.25">
      <c r="A410" s="3" t="s">
        <v>824</v>
      </c>
      <c r="B410" s="3" t="s">
        <v>825</v>
      </c>
      <c r="C410" s="7" t="s">
        <v>24</v>
      </c>
      <c r="D410" s="5">
        <v>67.8</v>
      </c>
      <c r="E410" s="5">
        <v>31</v>
      </c>
      <c r="F410" s="6">
        <v>68.5</v>
      </c>
      <c r="G410" s="6">
        <v>30.6</v>
      </c>
    </row>
    <row r="411" spans="1:7" ht="12" customHeight="1" x14ac:dyDescent="0.25">
      <c r="A411" s="3" t="s">
        <v>826</v>
      </c>
      <c r="B411" s="3" t="s">
        <v>827</v>
      </c>
      <c r="C411" s="4" t="s">
        <v>9</v>
      </c>
      <c r="D411" s="5">
        <v>34.9</v>
      </c>
      <c r="E411" s="5">
        <v>63.1</v>
      </c>
      <c r="F411" s="6">
        <v>40.200000000000003</v>
      </c>
      <c r="G411" s="6">
        <v>58.4</v>
      </c>
    </row>
    <row r="412" spans="1:7" ht="12" customHeight="1" x14ac:dyDescent="0.25">
      <c r="A412" s="3" t="s">
        <v>828</v>
      </c>
      <c r="B412" s="3" t="s">
        <v>829</v>
      </c>
      <c r="C412" s="4" t="s">
        <v>9</v>
      </c>
      <c r="D412" s="5">
        <v>48.8</v>
      </c>
      <c r="E412" s="5">
        <v>49.9</v>
      </c>
      <c r="F412" s="6">
        <v>51</v>
      </c>
      <c r="G412" s="6">
        <v>48.2</v>
      </c>
    </row>
    <row r="413" spans="1:7" ht="12" customHeight="1" x14ac:dyDescent="0.25">
      <c r="A413" s="3" t="s">
        <v>830</v>
      </c>
      <c r="B413" s="3" t="s">
        <v>831</v>
      </c>
      <c r="C413" s="7" t="s">
        <v>24</v>
      </c>
      <c r="D413" s="5">
        <v>62.5</v>
      </c>
      <c r="E413" s="5">
        <v>36.299999999999997</v>
      </c>
      <c r="F413" s="6">
        <v>62.3</v>
      </c>
      <c r="G413" s="6">
        <v>37</v>
      </c>
    </row>
    <row r="414" spans="1:7" ht="12" customHeight="1" x14ac:dyDescent="0.25">
      <c r="A414" s="3" t="s">
        <v>832</v>
      </c>
      <c r="B414" s="3" t="s">
        <v>833</v>
      </c>
      <c r="C414" s="7" t="s">
        <v>24</v>
      </c>
      <c r="D414" s="5">
        <v>67</v>
      </c>
      <c r="E414" s="5">
        <v>31.2</v>
      </c>
      <c r="F414" s="6">
        <v>67.8</v>
      </c>
      <c r="G414" s="6">
        <v>30.6</v>
      </c>
    </row>
    <row r="415" spans="1:7" ht="12" customHeight="1" x14ac:dyDescent="0.25">
      <c r="A415" s="3" t="s">
        <v>834</v>
      </c>
      <c r="B415" s="3" t="s">
        <v>835</v>
      </c>
      <c r="C415" s="7" t="s">
        <v>24</v>
      </c>
      <c r="D415" s="5">
        <v>54.1</v>
      </c>
      <c r="E415" s="5">
        <v>43.3</v>
      </c>
      <c r="F415" s="6">
        <v>56.3</v>
      </c>
      <c r="G415" s="6">
        <v>41.9</v>
      </c>
    </row>
    <row r="416" spans="1:7" ht="12" customHeight="1" x14ac:dyDescent="0.25">
      <c r="A416" s="3" t="s">
        <v>836</v>
      </c>
      <c r="B416" s="3" t="s">
        <v>837</v>
      </c>
      <c r="C416" s="7" t="s">
        <v>24</v>
      </c>
      <c r="D416" s="5">
        <v>59.2</v>
      </c>
      <c r="E416" s="5">
        <v>38</v>
      </c>
      <c r="F416" s="6">
        <v>60.5</v>
      </c>
      <c r="G416" s="6">
        <v>37.6</v>
      </c>
    </row>
    <row r="417" spans="1:7" ht="12" customHeight="1" x14ac:dyDescent="0.25">
      <c r="A417" s="3" t="s">
        <v>838</v>
      </c>
      <c r="B417" s="3" t="s">
        <v>839</v>
      </c>
      <c r="C417" s="4" t="s">
        <v>9</v>
      </c>
      <c r="D417" s="5">
        <v>47.9</v>
      </c>
      <c r="E417" s="5">
        <v>49.6</v>
      </c>
      <c r="F417" s="6">
        <v>50.9</v>
      </c>
      <c r="G417" s="6">
        <v>47.1</v>
      </c>
    </row>
    <row r="418" spans="1:7" ht="12" customHeight="1" x14ac:dyDescent="0.25">
      <c r="A418" s="3" t="s">
        <v>840</v>
      </c>
      <c r="B418" s="3" t="s">
        <v>841</v>
      </c>
      <c r="C418" s="4" t="s">
        <v>9</v>
      </c>
      <c r="D418" s="5">
        <v>37.9</v>
      </c>
      <c r="E418" s="5">
        <v>59.7</v>
      </c>
      <c r="F418" s="6">
        <v>39.200000000000003</v>
      </c>
      <c r="G418" s="6">
        <v>58.9</v>
      </c>
    </row>
    <row r="419" spans="1:7" ht="12" customHeight="1" x14ac:dyDescent="0.25">
      <c r="A419" s="3" t="s">
        <v>842</v>
      </c>
      <c r="B419" s="3" t="s">
        <v>843</v>
      </c>
      <c r="C419" s="4" t="s">
        <v>9</v>
      </c>
      <c r="D419" s="5">
        <v>43.7</v>
      </c>
      <c r="E419" s="5">
        <v>53.5</v>
      </c>
      <c r="F419" s="6">
        <v>46.3</v>
      </c>
      <c r="G419" s="6">
        <v>51.2</v>
      </c>
    </row>
    <row r="420" spans="1:7" ht="12" customHeight="1" x14ac:dyDescent="0.25">
      <c r="A420" s="3" t="s">
        <v>844</v>
      </c>
      <c r="B420" s="3" t="s">
        <v>845</v>
      </c>
      <c r="C420" s="7" t="s">
        <v>24</v>
      </c>
      <c r="D420" s="5">
        <v>56.1</v>
      </c>
      <c r="E420" s="5">
        <v>41.2</v>
      </c>
      <c r="F420" s="6">
        <v>57</v>
      </c>
      <c r="G420" s="6">
        <v>40.9</v>
      </c>
    </row>
    <row r="421" spans="1:7" ht="12" customHeight="1" x14ac:dyDescent="0.25">
      <c r="A421" s="3" t="s">
        <v>846</v>
      </c>
      <c r="B421" s="3" t="s">
        <v>847</v>
      </c>
      <c r="C421" s="7" t="s">
        <v>24</v>
      </c>
      <c r="D421" s="5">
        <v>79.2</v>
      </c>
      <c r="E421" s="5">
        <v>18.100000000000001</v>
      </c>
      <c r="F421" s="6">
        <v>80.400000000000006</v>
      </c>
      <c r="G421" s="6">
        <v>18</v>
      </c>
    </row>
    <row r="422" spans="1:7" ht="12" customHeight="1" x14ac:dyDescent="0.25">
      <c r="A422" s="3" t="s">
        <v>848</v>
      </c>
      <c r="B422" s="3" t="s">
        <v>849</v>
      </c>
      <c r="C422" s="4" t="s">
        <v>9</v>
      </c>
      <c r="D422" s="5">
        <v>49.7</v>
      </c>
      <c r="E422" s="5">
        <v>48.1</v>
      </c>
      <c r="F422" s="6">
        <v>51.5</v>
      </c>
      <c r="G422" s="6">
        <v>46.8</v>
      </c>
    </row>
    <row r="423" spans="1:7" ht="12" customHeight="1" x14ac:dyDescent="0.25">
      <c r="A423" s="3" t="s">
        <v>850</v>
      </c>
      <c r="B423" s="3" t="s">
        <v>851</v>
      </c>
      <c r="C423" s="7" t="s">
        <v>24</v>
      </c>
      <c r="D423" s="5">
        <v>68.3</v>
      </c>
      <c r="E423" s="5">
        <v>29.6</v>
      </c>
      <c r="F423" s="6">
        <v>68.599999999999994</v>
      </c>
      <c r="G423" s="6">
        <v>29.9</v>
      </c>
    </row>
    <row r="424" spans="1:7" ht="12" customHeight="1" x14ac:dyDescent="0.25">
      <c r="A424" s="3" t="s">
        <v>852</v>
      </c>
      <c r="B424" s="3" t="s">
        <v>853</v>
      </c>
      <c r="C424" s="7" t="s">
        <v>24</v>
      </c>
      <c r="D424" s="5">
        <v>56.3</v>
      </c>
      <c r="E424" s="5">
        <v>41.1</v>
      </c>
      <c r="F424" s="6">
        <v>57.2</v>
      </c>
      <c r="G424" s="6">
        <v>41</v>
      </c>
    </row>
    <row r="425" spans="1:7" ht="12" customHeight="1" x14ac:dyDescent="0.25">
      <c r="A425" s="3" t="s">
        <v>854</v>
      </c>
      <c r="B425" s="3" t="s">
        <v>855</v>
      </c>
      <c r="C425" s="4" t="s">
        <v>9</v>
      </c>
      <c r="D425" s="18">
        <v>47.4</v>
      </c>
      <c r="E425" s="5">
        <v>51.6</v>
      </c>
      <c r="F425" s="6">
        <v>50.8</v>
      </c>
      <c r="G425" s="6">
        <v>48.1</v>
      </c>
    </row>
    <row r="426" spans="1:7" ht="12" customHeight="1" x14ac:dyDescent="0.25">
      <c r="A426" s="3" t="s">
        <v>856</v>
      </c>
      <c r="B426" s="3" t="s">
        <v>857</v>
      </c>
      <c r="C426" s="7" t="s">
        <v>24</v>
      </c>
      <c r="D426" s="18">
        <v>68.3</v>
      </c>
      <c r="E426" s="5">
        <v>30.5</v>
      </c>
      <c r="F426" s="6">
        <v>70.099999999999994</v>
      </c>
      <c r="G426" s="6">
        <v>28.6</v>
      </c>
    </row>
    <row r="427" spans="1:7" ht="12" customHeight="1" x14ac:dyDescent="0.25">
      <c r="A427" s="3" t="s">
        <v>858</v>
      </c>
      <c r="B427" s="3" t="s">
        <v>859</v>
      </c>
      <c r="C427" s="7" t="s">
        <v>24</v>
      </c>
      <c r="D427" s="18">
        <v>54.8</v>
      </c>
      <c r="E427" s="5">
        <v>43.8</v>
      </c>
      <c r="F427" s="6">
        <v>59.4</v>
      </c>
      <c r="G427" s="6">
        <v>39.1</v>
      </c>
    </row>
    <row r="428" spans="1:7" ht="12" customHeight="1" x14ac:dyDescent="0.25">
      <c r="A428" s="3" t="s">
        <v>860</v>
      </c>
      <c r="B428" s="3" t="s">
        <v>861</v>
      </c>
      <c r="C428" s="7" t="s">
        <v>24</v>
      </c>
      <c r="D428" s="18">
        <v>75.3</v>
      </c>
      <c r="E428" s="5">
        <v>23.8</v>
      </c>
      <c r="F428" s="6">
        <v>74.400000000000006</v>
      </c>
      <c r="G428" s="6">
        <v>24.6</v>
      </c>
    </row>
    <row r="429" spans="1:7" ht="12" customHeight="1" x14ac:dyDescent="0.25">
      <c r="A429" s="3" t="s">
        <v>862</v>
      </c>
      <c r="B429" s="3" t="s">
        <v>863</v>
      </c>
      <c r="C429" s="4" t="s">
        <v>9</v>
      </c>
      <c r="D429" s="18">
        <v>37.700000000000003</v>
      </c>
      <c r="E429" s="5">
        <v>61.3</v>
      </c>
      <c r="F429" s="6">
        <v>41.8</v>
      </c>
      <c r="G429" s="6">
        <v>57.2</v>
      </c>
    </row>
    <row r="430" spans="1:7" ht="12" customHeight="1" x14ac:dyDescent="0.25">
      <c r="A430" s="3" t="s">
        <v>864</v>
      </c>
      <c r="B430" s="3" t="s">
        <v>865</v>
      </c>
      <c r="C430" s="4" t="s">
        <v>9</v>
      </c>
      <c r="D430" s="18">
        <v>45.8</v>
      </c>
      <c r="E430" s="5">
        <v>53.1</v>
      </c>
      <c r="F430" s="6">
        <v>49.4</v>
      </c>
      <c r="G430" s="6">
        <v>49.3</v>
      </c>
    </row>
    <row r="431" spans="1:7" ht="12" customHeight="1" x14ac:dyDescent="0.25">
      <c r="A431" s="3" t="s">
        <v>866</v>
      </c>
      <c r="B431" s="3" t="s">
        <v>867</v>
      </c>
      <c r="C431" s="4" t="s">
        <v>9</v>
      </c>
      <c r="D431" s="18">
        <v>47.8</v>
      </c>
      <c r="E431" s="5">
        <v>50.9</v>
      </c>
      <c r="F431" s="6">
        <v>53.2</v>
      </c>
      <c r="G431" s="6">
        <v>45.3</v>
      </c>
    </row>
    <row r="432" spans="1:7" ht="12" customHeight="1" x14ac:dyDescent="0.25">
      <c r="A432" s="3" t="s">
        <v>868</v>
      </c>
      <c r="B432" s="3" t="s">
        <v>869</v>
      </c>
      <c r="C432" s="4" t="s">
        <v>9</v>
      </c>
      <c r="D432" s="18">
        <v>47.6</v>
      </c>
      <c r="E432" s="5">
        <v>51.3</v>
      </c>
      <c r="F432" s="6">
        <v>53.7</v>
      </c>
      <c r="G432" s="6">
        <v>45</v>
      </c>
    </row>
    <row r="433" spans="1:7" ht="12" customHeight="1" x14ac:dyDescent="0.25">
      <c r="A433" s="3" t="s">
        <v>870</v>
      </c>
      <c r="B433" s="3" t="s">
        <v>871</v>
      </c>
      <c r="C433" s="4" t="s">
        <v>9</v>
      </c>
      <c r="D433" s="5">
        <v>35.5</v>
      </c>
      <c r="E433" s="5">
        <v>62.2</v>
      </c>
      <c r="F433" s="6">
        <v>41.5</v>
      </c>
      <c r="G433" s="6">
        <v>56.7</v>
      </c>
    </row>
    <row r="434" spans="1:7" ht="12" customHeight="1" x14ac:dyDescent="0.25">
      <c r="A434" s="3" t="s">
        <v>872</v>
      </c>
      <c r="B434" s="3" t="s">
        <v>873</v>
      </c>
      <c r="C434" s="4" t="s">
        <v>9</v>
      </c>
      <c r="D434" s="5">
        <v>38</v>
      </c>
      <c r="E434" s="5">
        <v>60</v>
      </c>
      <c r="F434" s="6">
        <v>43.9</v>
      </c>
      <c r="G434" s="6">
        <v>54.7</v>
      </c>
    </row>
    <row r="435" spans="1:7" ht="12" customHeight="1" x14ac:dyDescent="0.25">
      <c r="A435" s="3" t="s">
        <v>874</v>
      </c>
      <c r="B435" s="3" t="s">
        <v>875</v>
      </c>
      <c r="C435" s="4" t="s">
        <v>9</v>
      </c>
      <c r="D435" s="5">
        <v>32.799999999999997</v>
      </c>
      <c r="E435" s="5">
        <v>65</v>
      </c>
      <c r="F435" s="6">
        <v>42.3</v>
      </c>
      <c r="G435" s="6">
        <v>55.7</v>
      </c>
    </row>
    <row r="436" spans="1:7" ht="12" customHeight="1" x14ac:dyDescent="0.25">
      <c r="A436" s="3" t="s">
        <v>876</v>
      </c>
      <c r="B436" s="3" t="s">
        <v>877</v>
      </c>
      <c r="C436" s="4" t="s">
        <v>9</v>
      </c>
      <c r="D436" s="18">
        <v>27.6</v>
      </c>
      <c r="E436" s="5">
        <v>68.2</v>
      </c>
      <c r="F436" s="6">
        <v>32.700000000000003</v>
      </c>
      <c r="G436" s="6">
        <v>65.2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6C68-E8F0-4347-8F3B-6F8688E790D4}">
  <dimension ref="A1:L437"/>
  <sheetViews>
    <sheetView tabSelected="1" workbookViewId="0">
      <selection activeCell="A2" sqref="A2"/>
    </sheetView>
  </sheetViews>
  <sheetFormatPr defaultColWidth="19.453125" defaultRowHeight="12.5" x14ac:dyDescent="0.25"/>
  <cols>
    <col min="1" max="1" width="6.6328125" bestFit="1" customWidth="1"/>
    <col min="2" max="2" width="6.453125" bestFit="1" customWidth="1"/>
    <col min="3" max="3" width="15.7265625" bestFit="1" customWidth="1"/>
    <col min="4" max="4" width="15.36328125" bestFit="1" customWidth="1"/>
    <col min="5" max="5" width="12.54296875" bestFit="1" customWidth="1"/>
    <col min="6" max="6" width="11.81640625" bestFit="1" customWidth="1"/>
    <col min="7" max="7" width="10.36328125" bestFit="1" customWidth="1"/>
    <col min="8" max="8" width="15.7265625" bestFit="1" customWidth="1"/>
    <col min="9" max="9" width="15.36328125" bestFit="1" customWidth="1"/>
    <col min="10" max="10" width="12.54296875" bestFit="1" customWidth="1"/>
    <col min="11" max="11" width="11.81640625" bestFit="1" customWidth="1"/>
    <col min="12" max="12" width="10.36328125" bestFit="1" customWidth="1"/>
  </cols>
  <sheetData>
    <row r="1" spans="1:12" ht="13" x14ac:dyDescent="0.3">
      <c r="A1" s="70" t="s">
        <v>1179</v>
      </c>
      <c r="B1" s="70"/>
      <c r="C1" s="70"/>
      <c r="D1" s="70"/>
      <c r="E1" s="70"/>
      <c r="F1" s="70"/>
      <c r="G1" s="70"/>
      <c r="H1" s="70"/>
    </row>
    <row r="2" spans="1:12" ht="26" x14ac:dyDescent="0.3">
      <c r="A2" s="1" t="s">
        <v>0</v>
      </c>
      <c r="B2" t="s">
        <v>0</v>
      </c>
      <c r="C2" t="s">
        <v>1180</v>
      </c>
      <c r="D2" t="s">
        <v>1181</v>
      </c>
      <c r="E2" s="71" t="s">
        <v>1182</v>
      </c>
      <c r="F2" s="71" t="s">
        <v>1183</v>
      </c>
      <c r="G2" t="s">
        <v>1184</v>
      </c>
      <c r="H2" t="s">
        <v>1185</v>
      </c>
      <c r="I2" t="s">
        <v>1186</v>
      </c>
      <c r="J2" s="71" t="s">
        <v>1187</v>
      </c>
      <c r="K2" s="71" t="s">
        <v>1188</v>
      </c>
      <c r="L2" t="s">
        <v>1189</v>
      </c>
    </row>
    <row r="3" spans="1:12" x14ac:dyDescent="0.25">
      <c r="A3" s="3" t="s">
        <v>7</v>
      </c>
      <c r="B3" t="s">
        <v>1172</v>
      </c>
      <c r="C3">
        <f>ROUND(VLOOKUP($A3,Results!$A$2:$I$437,4,FALSE),2)</f>
        <v>41.2</v>
      </c>
      <c r="D3">
        <f>ROUND(VLOOKUP($A3,Results!$A$2:$I$437,5,FALSE),2)</f>
        <v>55.3</v>
      </c>
      <c r="E3" s="72">
        <f>C3/SUM(C3:D3)*100</f>
        <v>42.694300518134717</v>
      </c>
      <c r="F3" s="72">
        <f>D3/SUM(C3:D3)*100</f>
        <v>57.305699481865283</v>
      </c>
      <c r="G3" s="72">
        <f>F3-E3+4</f>
        <v>18.611398963730565</v>
      </c>
      <c r="H3">
        <f>ROUND(VLOOKUP($A3,Results!$A$2:$I$437,6,FALSE),2)</f>
        <v>38.1</v>
      </c>
      <c r="I3">
        <f>ROUND(VLOOKUP($A3,Results!$A$2:$I$437,7,FALSE),2)</f>
        <v>59.7</v>
      </c>
      <c r="J3" s="72">
        <f>H3/SUM(H3:I3)*100</f>
        <v>38.957055214723923</v>
      </c>
      <c r="K3" s="72">
        <f>I3/SUM(H3:I3)*100</f>
        <v>61.042944785276063</v>
      </c>
      <c r="L3" s="72">
        <f>K3-J3+7.3</f>
        <v>29.385889570552141</v>
      </c>
    </row>
    <row r="4" spans="1:12" x14ac:dyDescent="0.25">
      <c r="A4" s="3" t="s">
        <v>10</v>
      </c>
      <c r="B4" t="s">
        <v>10</v>
      </c>
      <c r="C4">
        <f>ROUND(VLOOKUP($A4,Results!$A$2:$I$437,4,FALSE),2)</f>
        <v>37.39</v>
      </c>
      <c r="D4">
        <f>ROUND(VLOOKUP($A4,Results!$A$2:$I$437,5,FALSE),2)</f>
        <v>61.8</v>
      </c>
      <c r="E4" s="72">
        <f t="shared" ref="E4:E67" si="0">C4/SUM(C4:D4)*100</f>
        <v>37.695332190745034</v>
      </c>
      <c r="F4" s="72">
        <f t="shared" ref="F4:F67" si="1">D4/SUM(C4:D4)*100</f>
        <v>62.304667809254966</v>
      </c>
      <c r="G4" s="72">
        <f t="shared" ref="G4:G67" si="2">F4-E4+4</f>
        <v>28.609335618509931</v>
      </c>
      <c r="H4">
        <f>ROUND(VLOOKUP($A4,Results!$A$2:$I$437,6,FALSE),2)</f>
        <v>38.5</v>
      </c>
      <c r="I4">
        <f>ROUND(VLOOKUP($A4,Results!$A$2:$I$437,7,FALSE),2)</f>
        <v>60.9</v>
      </c>
      <c r="J4" s="72">
        <f t="shared" ref="J4:J67" si="3">H4/SUM(H4:I4)*100</f>
        <v>38.732394366197184</v>
      </c>
      <c r="K4" s="72">
        <f t="shared" ref="K4:K67" si="4">I4/SUM(H4:I4)*100</f>
        <v>61.267605633802816</v>
      </c>
      <c r="L4" s="72">
        <f t="shared" ref="L4:L67" si="5">K4-J4+7.3</f>
        <v>29.835211267605633</v>
      </c>
    </row>
    <row r="5" spans="1:12" x14ac:dyDescent="0.25">
      <c r="A5" s="3" t="s">
        <v>12</v>
      </c>
      <c r="B5" t="s">
        <v>12</v>
      </c>
      <c r="C5">
        <f>ROUND(VLOOKUP($A5,Results!$A$2:$I$437,4,FALSE),2)</f>
        <v>36.4</v>
      </c>
      <c r="D5">
        <f>ROUND(VLOOKUP($A5,Results!$A$2:$I$437,5,FALSE),2)</f>
        <v>62.9</v>
      </c>
      <c r="E5" s="72">
        <f t="shared" si="0"/>
        <v>36.656596173212485</v>
      </c>
      <c r="F5" s="72">
        <f t="shared" si="1"/>
        <v>63.343403826787515</v>
      </c>
      <c r="G5" s="72">
        <f t="shared" si="2"/>
        <v>30.68680765357503</v>
      </c>
      <c r="H5">
        <f>ROUND(VLOOKUP($A5,Results!$A$2:$I$437,6,FALSE),2)</f>
        <v>35</v>
      </c>
      <c r="I5">
        <f>ROUND(VLOOKUP($A5,Results!$A$2:$I$437,7,FALSE),2)</f>
        <v>64.5</v>
      </c>
      <c r="J5" s="72">
        <f t="shared" si="3"/>
        <v>35.175879396984925</v>
      </c>
      <c r="K5" s="72">
        <f t="shared" si="4"/>
        <v>64.824120603015075</v>
      </c>
      <c r="L5" s="72">
        <f t="shared" si="5"/>
        <v>36.948241206030147</v>
      </c>
    </row>
    <row r="6" spans="1:12" x14ac:dyDescent="0.25">
      <c r="A6" s="3" t="s">
        <v>14</v>
      </c>
      <c r="B6" t="s">
        <v>14</v>
      </c>
      <c r="C6">
        <f>ROUND(VLOOKUP($A6,Results!$A$2:$I$437,4,FALSE),2)</f>
        <v>36.799999999999997</v>
      </c>
      <c r="D6">
        <f>ROUND(VLOOKUP($A6,Results!$A$2:$I$437,5,FALSE),2)</f>
        <v>62.3</v>
      </c>
      <c r="E6" s="72">
        <f t="shared" si="0"/>
        <v>37.134207870837535</v>
      </c>
      <c r="F6" s="72">
        <f t="shared" si="1"/>
        <v>62.865792129162465</v>
      </c>
      <c r="G6" s="72">
        <f t="shared" si="2"/>
        <v>29.731584258324929</v>
      </c>
      <c r="H6">
        <f>ROUND(VLOOKUP($A6,Results!$A$2:$I$437,6,FALSE),2)</f>
        <v>36.6</v>
      </c>
      <c r="I6">
        <f>ROUND(VLOOKUP($A6,Results!$A$2:$I$437,7,FALSE),2)</f>
        <v>62.6</v>
      </c>
      <c r="J6" s="72">
        <f t="shared" si="3"/>
        <v>36.895161290322584</v>
      </c>
      <c r="K6" s="72">
        <f t="shared" si="4"/>
        <v>63.104838709677423</v>
      </c>
      <c r="L6" s="72">
        <f t="shared" si="5"/>
        <v>33.509677419354837</v>
      </c>
    </row>
    <row r="7" spans="1:12" x14ac:dyDescent="0.25">
      <c r="A7" s="3" t="s">
        <v>16</v>
      </c>
      <c r="B7" t="s">
        <v>16</v>
      </c>
      <c r="C7">
        <f>ROUND(VLOOKUP($A7,Results!$A$2:$I$437,4,FALSE),2)</f>
        <v>24</v>
      </c>
      <c r="D7">
        <f>ROUND(VLOOKUP($A7,Results!$A$2:$I$437,5,FALSE),2)</f>
        <v>74.8</v>
      </c>
      <c r="E7" s="72">
        <f t="shared" si="0"/>
        <v>24.291497975708502</v>
      </c>
      <c r="F7" s="72">
        <f t="shared" si="1"/>
        <v>75.708502024291505</v>
      </c>
      <c r="G7" s="72">
        <f t="shared" si="2"/>
        <v>55.417004048583003</v>
      </c>
      <c r="H7">
        <f>ROUND(VLOOKUP($A7,Results!$A$2:$I$437,6,FALSE),2)</f>
        <v>25.5</v>
      </c>
      <c r="I7">
        <f>ROUND(VLOOKUP($A7,Results!$A$2:$I$437,7,FALSE),2)</f>
        <v>73.3</v>
      </c>
      <c r="J7" s="72">
        <f t="shared" si="3"/>
        <v>25.809716599190285</v>
      </c>
      <c r="K7" s="72">
        <f t="shared" si="4"/>
        <v>74.190283400809719</v>
      </c>
      <c r="L7" s="72">
        <f t="shared" si="5"/>
        <v>55.680566801619435</v>
      </c>
    </row>
    <row r="8" spans="1:12" x14ac:dyDescent="0.25">
      <c r="A8" s="3" t="s">
        <v>18</v>
      </c>
      <c r="B8" t="s">
        <v>18</v>
      </c>
      <c r="C8">
        <f>ROUND(VLOOKUP($A8,Results!$A$2:$I$437,4,FALSE),2)</f>
        <v>34.9</v>
      </c>
      <c r="D8">
        <f>ROUND(VLOOKUP($A8,Results!$A$2:$I$437,5,FALSE),2)</f>
        <v>63.9</v>
      </c>
      <c r="E8" s="72">
        <f t="shared" si="0"/>
        <v>35.323886639676111</v>
      </c>
      <c r="F8" s="72">
        <f t="shared" si="1"/>
        <v>64.676113360323882</v>
      </c>
      <c r="G8" s="72">
        <f t="shared" si="2"/>
        <v>33.352226720647771</v>
      </c>
      <c r="H8">
        <f>ROUND(VLOOKUP($A8,Results!$A$2:$I$437,6,FALSE),2)</f>
        <v>36.299999999999997</v>
      </c>
      <c r="I8">
        <f>ROUND(VLOOKUP($A8,Results!$A$2:$I$437,7,FALSE),2)</f>
        <v>62.6</v>
      </c>
      <c r="J8" s="72">
        <f t="shared" si="3"/>
        <v>36.70374115267947</v>
      </c>
      <c r="K8" s="72">
        <f t="shared" si="4"/>
        <v>63.296258847320516</v>
      </c>
      <c r="L8" s="72">
        <f t="shared" si="5"/>
        <v>33.892517694641043</v>
      </c>
    </row>
    <row r="9" spans="1:12" x14ac:dyDescent="0.25">
      <c r="A9" s="3" t="s">
        <v>20</v>
      </c>
      <c r="B9" t="s">
        <v>20</v>
      </c>
      <c r="C9">
        <f>ROUND(VLOOKUP($A9,Results!$A$2:$I$437,4,FALSE),2)</f>
        <v>24.7</v>
      </c>
      <c r="D9">
        <f>ROUND(VLOOKUP($A9,Results!$A$2:$I$437,5,FALSE),2)</f>
        <v>74.3</v>
      </c>
      <c r="E9" s="72">
        <f t="shared" si="0"/>
        <v>24.949494949494948</v>
      </c>
      <c r="F9" s="72">
        <f t="shared" si="1"/>
        <v>75.050505050505052</v>
      </c>
      <c r="G9" s="72">
        <f t="shared" si="2"/>
        <v>54.101010101010104</v>
      </c>
      <c r="H9">
        <f>ROUND(VLOOKUP($A9,Results!$A$2:$I$437,6,FALSE),2)</f>
        <v>25</v>
      </c>
      <c r="I9">
        <f>ROUND(VLOOKUP($A9,Results!$A$2:$I$437,7,FALSE),2)</f>
        <v>74.099999999999994</v>
      </c>
      <c r="J9" s="72">
        <f t="shared" si="3"/>
        <v>25.227043390514631</v>
      </c>
      <c r="K9" s="72">
        <f t="shared" si="4"/>
        <v>74.772956609485362</v>
      </c>
      <c r="L9" s="72">
        <f t="shared" si="5"/>
        <v>56.845913218970729</v>
      </c>
    </row>
    <row r="10" spans="1:12" x14ac:dyDescent="0.25">
      <c r="A10" s="3" t="s">
        <v>22</v>
      </c>
      <c r="B10" t="s">
        <v>22</v>
      </c>
      <c r="C10">
        <f>ROUND(VLOOKUP($A10,Results!$A$2:$I$437,4,FALSE),2)</f>
        <v>72.400000000000006</v>
      </c>
      <c r="D10">
        <f>ROUND(VLOOKUP($A10,Results!$A$2:$I$437,5,FALSE),2)</f>
        <v>27.1</v>
      </c>
      <c r="E10" s="72">
        <f t="shared" si="0"/>
        <v>72.763819095477388</v>
      </c>
      <c r="F10" s="72">
        <f t="shared" si="1"/>
        <v>27.236180904522616</v>
      </c>
      <c r="G10" s="72">
        <f t="shared" si="2"/>
        <v>-41.527638190954775</v>
      </c>
      <c r="H10">
        <f>ROUND(VLOOKUP($A10,Results!$A$2:$I$437,6,FALSE),2)</f>
        <v>71.5</v>
      </c>
      <c r="I10">
        <f>ROUND(VLOOKUP($A10,Results!$A$2:$I$437,7,FALSE),2)</f>
        <v>28.1</v>
      </c>
      <c r="J10" s="72">
        <f t="shared" si="3"/>
        <v>71.787148594377513</v>
      </c>
      <c r="K10" s="72">
        <f t="shared" si="4"/>
        <v>28.212851405622491</v>
      </c>
      <c r="L10" s="72">
        <f t="shared" si="5"/>
        <v>-36.274297188755028</v>
      </c>
    </row>
    <row r="11" spans="1:12" x14ac:dyDescent="0.25">
      <c r="A11" s="3" t="s">
        <v>25</v>
      </c>
      <c r="B11" t="s">
        <v>25</v>
      </c>
      <c r="C11">
        <f>ROUND(VLOOKUP($A11,Results!$A$2:$I$437,4,FALSE),2)</f>
        <v>36.299999999999997</v>
      </c>
      <c r="D11">
        <f>ROUND(VLOOKUP($A11,Results!$A$2:$I$437,5,FALSE),2)</f>
        <v>61</v>
      </c>
      <c r="E11" s="72">
        <f t="shared" si="0"/>
        <v>37.307297019527233</v>
      </c>
      <c r="F11" s="72">
        <f t="shared" si="1"/>
        <v>62.692702980472767</v>
      </c>
      <c r="G11" s="72">
        <f t="shared" si="2"/>
        <v>29.385405960945533</v>
      </c>
      <c r="H11">
        <f>ROUND(VLOOKUP($A11,Results!$A$2:$I$437,6,FALSE),2)</f>
        <v>39.200000000000003</v>
      </c>
      <c r="I11">
        <f>ROUND(VLOOKUP($A11,Results!$A$2:$I$437,7,FALSE),2)</f>
        <v>58</v>
      </c>
      <c r="J11" s="72">
        <f t="shared" si="3"/>
        <v>40.329218106995881</v>
      </c>
      <c r="K11" s="72">
        <f t="shared" si="4"/>
        <v>59.670781893004111</v>
      </c>
      <c r="L11" s="72">
        <f t="shared" si="5"/>
        <v>26.641563786008231</v>
      </c>
    </row>
    <row r="12" spans="1:12" x14ac:dyDescent="0.25">
      <c r="A12" s="3" t="s">
        <v>27</v>
      </c>
      <c r="B12" t="s">
        <v>27</v>
      </c>
      <c r="C12">
        <f>ROUND(VLOOKUP($A12,Results!$A$2:$I$437,4,FALSE),2)</f>
        <v>42.9</v>
      </c>
      <c r="D12">
        <f>ROUND(VLOOKUP($A12,Results!$A$2:$I$437,5,FALSE),2)</f>
        <v>54.7</v>
      </c>
      <c r="E12" s="72">
        <f t="shared" si="0"/>
        <v>43.954918032786885</v>
      </c>
      <c r="F12" s="72">
        <f t="shared" si="1"/>
        <v>56.045081967213115</v>
      </c>
      <c r="G12" s="72">
        <f t="shared" si="2"/>
        <v>16.090163934426229</v>
      </c>
      <c r="H12">
        <f>ROUND(VLOOKUP($A12,Results!$A$2:$I$437,6,FALSE),2)</f>
        <v>44.3</v>
      </c>
      <c r="I12">
        <f>ROUND(VLOOKUP($A12,Results!$A$2:$I$437,7,FALSE),2)</f>
        <v>53.8</v>
      </c>
      <c r="J12" s="72">
        <f t="shared" si="3"/>
        <v>45.158002038735987</v>
      </c>
      <c r="K12" s="72">
        <f t="shared" si="4"/>
        <v>54.84199796126402</v>
      </c>
      <c r="L12" s="72">
        <f t="shared" si="5"/>
        <v>16.983995922528035</v>
      </c>
    </row>
    <row r="13" spans="1:12" x14ac:dyDescent="0.25">
      <c r="A13" s="3" t="s">
        <v>29</v>
      </c>
      <c r="B13" t="s">
        <v>29</v>
      </c>
      <c r="C13">
        <f>ROUND(VLOOKUP($A13,Results!$A$2:$I$437,4,FALSE),2)</f>
        <v>31.6</v>
      </c>
      <c r="D13">
        <f>ROUND(VLOOKUP($A13,Results!$A$2:$I$437,5,FALSE),2)</f>
        <v>65.5</v>
      </c>
      <c r="E13" s="72">
        <f t="shared" si="0"/>
        <v>32.543769309989706</v>
      </c>
      <c r="F13" s="72">
        <f t="shared" si="1"/>
        <v>67.456230690010301</v>
      </c>
      <c r="G13" s="72">
        <f t="shared" si="2"/>
        <v>38.912461380020595</v>
      </c>
      <c r="H13">
        <f>ROUND(VLOOKUP($A13,Results!$A$2:$I$437,6,FALSE),2)</f>
        <v>33.9</v>
      </c>
      <c r="I13">
        <f>ROUND(VLOOKUP($A13,Results!$A$2:$I$437,7,FALSE),2)</f>
        <v>63.7</v>
      </c>
      <c r="J13" s="72">
        <f t="shared" si="3"/>
        <v>34.733606557377051</v>
      </c>
      <c r="K13" s="72">
        <f t="shared" si="4"/>
        <v>65.266393442622956</v>
      </c>
      <c r="L13" s="72">
        <f t="shared" si="5"/>
        <v>37.832786885245902</v>
      </c>
    </row>
    <row r="14" spans="1:12" x14ac:dyDescent="0.25">
      <c r="A14" s="3" t="s">
        <v>31</v>
      </c>
      <c r="B14" t="s">
        <v>31</v>
      </c>
      <c r="C14">
        <f>ROUND(VLOOKUP($A14,Results!$A$2:$I$437,4,FALSE),2)</f>
        <v>35.9</v>
      </c>
      <c r="D14">
        <f>ROUND(VLOOKUP($A14,Results!$A$2:$I$437,5,FALSE),2)</f>
        <v>61.8</v>
      </c>
      <c r="E14" s="72">
        <f t="shared" si="0"/>
        <v>36.745138178096212</v>
      </c>
      <c r="F14" s="72">
        <f t="shared" si="1"/>
        <v>63.254861821903795</v>
      </c>
      <c r="G14" s="72">
        <f t="shared" si="2"/>
        <v>30.509723643807583</v>
      </c>
      <c r="H14">
        <f>ROUND(VLOOKUP($A14,Results!$A$2:$I$437,6,FALSE),2)</f>
        <v>37.4</v>
      </c>
      <c r="I14">
        <f>ROUND(VLOOKUP($A14,Results!$A$2:$I$437,7,FALSE),2)</f>
        <v>59.9</v>
      </c>
      <c r="J14" s="72">
        <f t="shared" si="3"/>
        <v>38.437821171634127</v>
      </c>
      <c r="K14" s="72">
        <f t="shared" si="4"/>
        <v>61.562178828365873</v>
      </c>
      <c r="L14" s="72">
        <f t="shared" si="5"/>
        <v>30.424357656731747</v>
      </c>
    </row>
    <row r="15" spans="1:12" x14ac:dyDescent="0.25">
      <c r="A15" s="3" t="s">
        <v>33</v>
      </c>
      <c r="B15" t="s">
        <v>33</v>
      </c>
      <c r="C15">
        <f>ROUND(VLOOKUP($A15,Results!$A$2:$I$437,4,FALSE),2)</f>
        <v>47.9</v>
      </c>
      <c r="D15">
        <f>ROUND(VLOOKUP($A15,Results!$A$2:$I$437,5,FALSE),2)</f>
        <v>50.4</v>
      </c>
      <c r="E15" s="72">
        <f t="shared" si="0"/>
        <v>48.728382502543234</v>
      </c>
      <c r="F15" s="72">
        <f t="shared" si="1"/>
        <v>51.271617497456766</v>
      </c>
      <c r="G15" s="72">
        <f t="shared" si="2"/>
        <v>6.5432349949135329</v>
      </c>
      <c r="H15">
        <f>ROUND(VLOOKUP($A15,Results!$A$2:$I$437,6,FALSE),2)</f>
        <v>47.8</v>
      </c>
      <c r="I15">
        <f>ROUND(VLOOKUP($A15,Results!$A$2:$I$437,7,FALSE),2)</f>
        <v>51</v>
      </c>
      <c r="J15" s="72">
        <f t="shared" si="3"/>
        <v>48.38056680161943</v>
      </c>
      <c r="K15" s="72">
        <f t="shared" si="4"/>
        <v>51.61943319838057</v>
      </c>
      <c r="L15" s="72">
        <f t="shared" si="5"/>
        <v>10.53886639676114</v>
      </c>
    </row>
    <row r="16" spans="1:12" x14ac:dyDescent="0.25">
      <c r="A16" s="3" t="s">
        <v>35</v>
      </c>
      <c r="B16" t="s">
        <v>35</v>
      </c>
      <c r="C16">
        <f>ROUND(VLOOKUP($A16,Results!$A$2:$I$437,4,FALSE),2)</f>
        <v>48.4</v>
      </c>
      <c r="D16">
        <f>ROUND(VLOOKUP($A16,Results!$A$2:$I$437,5,FALSE),2)</f>
        <v>49.9</v>
      </c>
      <c r="E16" s="72">
        <f t="shared" si="0"/>
        <v>49.237029501525939</v>
      </c>
      <c r="F16" s="72">
        <f t="shared" si="1"/>
        <v>50.762970498474061</v>
      </c>
      <c r="G16" s="72">
        <f t="shared" si="2"/>
        <v>5.5259409969481226</v>
      </c>
      <c r="H16">
        <f>ROUND(VLOOKUP($A16,Results!$A$2:$I$437,6,FALSE),2)</f>
        <v>48.9</v>
      </c>
      <c r="I16">
        <f>ROUND(VLOOKUP($A16,Results!$A$2:$I$437,7,FALSE),2)</f>
        <v>49.8</v>
      </c>
      <c r="J16" s="72">
        <f t="shared" si="3"/>
        <v>49.544072948328271</v>
      </c>
      <c r="K16" s="72">
        <f t="shared" si="4"/>
        <v>50.455927051671736</v>
      </c>
      <c r="L16" s="72">
        <f t="shared" si="5"/>
        <v>8.211854103343466</v>
      </c>
    </row>
    <row r="17" spans="1:12" x14ac:dyDescent="0.25">
      <c r="A17" s="3" t="s">
        <v>37</v>
      </c>
      <c r="B17" t="s">
        <v>37</v>
      </c>
      <c r="C17">
        <f>ROUND(VLOOKUP($A17,Results!$A$2:$I$437,4,FALSE),2)</f>
        <v>61.4</v>
      </c>
      <c r="D17">
        <f>ROUND(VLOOKUP($A17,Results!$A$2:$I$437,5,FALSE),2)</f>
        <v>36.9</v>
      </c>
      <c r="E17" s="72">
        <f t="shared" si="0"/>
        <v>62.461851475076301</v>
      </c>
      <c r="F17" s="72">
        <f t="shared" si="1"/>
        <v>37.538148524923706</v>
      </c>
      <c r="G17" s="72">
        <f t="shared" si="2"/>
        <v>-20.923702950152595</v>
      </c>
      <c r="H17">
        <f>ROUND(VLOOKUP($A17,Results!$A$2:$I$437,6,FALSE),2)</f>
        <v>58.2</v>
      </c>
      <c r="I17">
        <f>ROUND(VLOOKUP($A17,Results!$A$2:$I$437,7,FALSE),2)</f>
        <v>40.700000000000003</v>
      </c>
      <c r="J17" s="72">
        <f t="shared" si="3"/>
        <v>58.847320525783623</v>
      </c>
      <c r="K17" s="72">
        <f t="shared" si="4"/>
        <v>41.152679474216377</v>
      </c>
      <c r="L17" s="72">
        <f t="shared" si="5"/>
        <v>-10.394641051567245</v>
      </c>
    </row>
    <row r="18" spans="1:12" x14ac:dyDescent="0.25">
      <c r="A18" s="3" t="s">
        <v>39</v>
      </c>
      <c r="B18" t="s">
        <v>39</v>
      </c>
      <c r="C18">
        <f>ROUND(VLOOKUP($A18,Results!$A$2:$I$437,4,FALSE),2)</f>
        <v>31</v>
      </c>
      <c r="D18">
        <f>ROUND(VLOOKUP($A18,Results!$A$2:$I$437,5,FALSE),2)</f>
        <v>67.2</v>
      </c>
      <c r="E18" s="72">
        <f t="shared" si="0"/>
        <v>31.568228105906314</v>
      </c>
      <c r="F18" s="72">
        <f t="shared" si="1"/>
        <v>68.431771894093686</v>
      </c>
      <c r="G18" s="72">
        <f t="shared" si="2"/>
        <v>40.863543788187371</v>
      </c>
      <c r="H18">
        <f>ROUND(VLOOKUP($A18,Results!$A$2:$I$437,6,FALSE),2)</f>
        <v>34.4</v>
      </c>
      <c r="I18">
        <f>ROUND(VLOOKUP($A18,Results!$A$2:$I$437,7,FALSE),2)</f>
        <v>64.2</v>
      </c>
      <c r="J18" s="72">
        <f t="shared" si="3"/>
        <v>34.888438133874239</v>
      </c>
      <c r="K18" s="72">
        <f t="shared" si="4"/>
        <v>65.111561866125768</v>
      </c>
      <c r="L18" s="72">
        <f t="shared" si="5"/>
        <v>37.523123732251527</v>
      </c>
    </row>
    <row r="19" spans="1:12" x14ac:dyDescent="0.25">
      <c r="A19" s="3" t="s">
        <v>41</v>
      </c>
      <c r="B19" t="s">
        <v>41</v>
      </c>
      <c r="C19">
        <f>ROUND(VLOOKUP($A19,Results!$A$2:$I$437,4,FALSE),2)</f>
        <v>34.6</v>
      </c>
      <c r="D19">
        <f>ROUND(VLOOKUP($A19,Results!$A$2:$I$437,5,FALSE),2)</f>
        <v>63.8</v>
      </c>
      <c r="E19" s="72">
        <f t="shared" si="0"/>
        <v>35.162601626016261</v>
      </c>
      <c r="F19" s="72">
        <f t="shared" si="1"/>
        <v>64.837398373983731</v>
      </c>
      <c r="G19" s="72">
        <f t="shared" si="2"/>
        <v>33.67479674796747</v>
      </c>
      <c r="H19">
        <f>ROUND(VLOOKUP($A19,Results!$A$2:$I$437,6,FALSE),2)</f>
        <v>36.299999999999997</v>
      </c>
      <c r="I19">
        <f>ROUND(VLOOKUP($A19,Results!$A$2:$I$437,7,FALSE),2)</f>
        <v>62.6</v>
      </c>
      <c r="J19" s="72">
        <f t="shared" si="3"/>
        <v>36.70374115267947</v>
      </c>
      <c r="K19" s="72">
        <f t="shared" si="4"/>
        <v>63.296258847320516</v>
      </c>
      <c r="L19" s="72">
        <f t="shared" si="5"/>
        <v>33.892517694641043</v>
      </c>
    </row>
    <row r="20" spans="1:12" x14ac:dyDescent="0.25">
      <c r="A20" s="3" t="s">
        <v>43</v>
      </c>
      <c r="B20" t="s">
        <v>43</v>
      </c>
      <c r="C20">
        <f>ROUND(VLOOKUP($A20,Results!$A$2:$I$437,4,FALSE),2)</f>
        <v>38.799999999999997</v>
      </c>
      <c r="D20">
        <f>ROUND(VLOOKUP($A20,Results!$A$2:$I$437,5,FALSE),2)</f>
        <v>59.5</v>
      </c>
      <c r="E20" s="72">
        <f t="shared" si="0"/>
        <v>39.47100712105798</v>
      </c>
      <c r="F20" s="72">
        <f t="shared" si="1"/>
        <v>60.528992878942013</v>
      </c>
      <c r="G20" s="72">
        <f t="shared" si="2"/>
        <v>25.057985757884033</v>
      </c>
      <c r="H20">
        <f>ROUND(VLOOKUP($A20,Results!$A$2:$I$437,6,FALSE),2)</f>
        <v>41.2</v>
      </c>
      <c r="I20">
        <f>ROUND(VLOOKUP($A20,Results!$A$2:$I$437,7,FALSE),2)</f>
        <v>57.7</v>
      </c>
      <c r="J20" s="72">
        <f t="shared" si="3"/>
        <v>41.658240647118298</v>
      </c>
      <c r="K20" s="72">
        <f t="shared" si="4"/>
        <v>58.341759352881695</v>
      </c>
      <c r="L20" s="72">
        <f t="shared" si="5"/>
        <v>23.983518705763398</v>
      </c>
    </row>
    <row r="21" spans="1:12" x14ac:dyDescent="0.25">
      <c r="A21" s="3" t="s">
        <v>45</v>
      </c>
      <c r="B21" t="s">
        <v>45</v>
      </c>
      <c r="C21">
        <f>ROUND(VLOOKUP($A21,Results!$A$2:$I$437,4,FALSE),2)</f>
        <v>71.7</v>
      </c>
      <c r="D21">
        <f>ROUND(VLOOKUP($A21,Results!$A$2:$I$437,5,FALSE),2)</f>
        <v>26.5</v>
      </c>
      <c r="E21" s="72">
        <f t="shared" si="0"/>
        <v>73.014256619144604</v>
      </c>
      <c r="F21" s="72">
        <f t="shared" si="1"/>
        <v>26.985743380855396</v>
      </c>
      <c r="G21" s="72">
        <f t="shared" si="2"/>
        <v>-42.028513238289207</v>
      </c>
      <c r="H21">
        <f>ROUND(VLOOKUP($A21,Results!$A$2:$I$437,6,FALSE),2)</f>
        <v>64.7</v>
      </c>
      <c r="I21">
        <f>ROUND(VLOOKUP($A21,Results!$A$2:$I$437,7,FALSE),2)</f>
        <v>34.1</v>
      </c>
      <c r="J21" s="72">
        <f t="shared" si="3"/>
        <v>65.485829959514163</v>
      </c>
      <c r="K21" s="72">
        <f t="shared" si="4"/>
        <v>34.514170040485823</v>
      </c>
      <c r="L21" s="72">
        <f t="shared" si="5"/>
        <v>-23.67165991902834</v>
      </c>
    </row>
    <row r="22" spans="1:12" x14ac:dyDescent="0.25">
      <c r="A22" s="3" t="s">
        <v>47</v>
      </c>
      <c r="B22" t="s">
        <v>47</v>
      </c>
      <c r="C22">
        <f>ROUND(VLOOKUP($A22,Results!$A$2:$I$437,4,FALSE),2)</f>
        <v>36.9</v>
      </c>
      <c r="D22">
        <f>ROUND(VLOOKUP($A22,Results!$A$2:$I$437,5,FALSE),2)</f>
        <v>61.7</v>
      </c>
      <c r="E22" s="72">
        <f t="shared" si="0"/>
        <v>37.42393509127789</v>
      </c>
      <c r="F22" s="72">
        <f t="shared" si="1"/>
        <v>62.576064908722117</v>
      </c>
      <c r="G22" s="72">
        <f t="shared" si="2"/>
        <v>29.152129817444226</v>
      </c>
      <c r="H22">
        <f>ROUND(VLOOKUP($A22,Results!$A$2:$I$437,6,FALSE),2)</f>
        <v>38.4</v>
      </c>
      <c r="I22">
        <f>ROUND(VLOOKUP($A22,Results!$A$2:$I$437,7,FALSE),2)</f>
        <v>60.6</v>
      </c>
      <c r="J22" s="72">
        <f t="shared" si="3"/>
        <v>38.787878787878789</v>
      </c>
      <c r="K22" s="72">
        <f t="shared" si="4"/>
        <v>61.212121212121218</v>
      </c>
      <c r="L22" s="72">
        <f t="shared" si="5"/>
        <v>29.72424242424243</v>
      </c>
    </row>
    <row r="23" spans="1:12" x14ac:dyDescent="0.25">
      <c r="A23" s="3" t="s">
        <v>49</v>
      </c>
      <c r="B23" t="s">
        <v>49</v>
      </c>
      <c r="C23">
        <f>ROUND(VLOOKUP($A23,Results!$A$2:$I$437,4,FALSE),2)</f>
        <v>51.1</v>
      </c>
      <c r="D23">
        <f>ROUND(VLOOKUP($A23,Results!$A$2:$I$437,5,FALSE),2)</f>
        <v>46.6</v>
      </c>
      <c r="E23" s="72">
        <f t="shared" si="0"/>
        <v>52.302968270214947</v>
      </c>
      <c r="F23" s="72">
        <f t="shared" si="1"/>
        <v>47.697031729785053</v>
      </c>
      <c r="G23" s="72">
        <f t="shared" si="2"/>
        <v>-0.60593654042989442</v>
      </c>
      <c r="H23">
        <f>ROUND(VLOOKUP($A23,Results!$A$2:$I$437,6,FALSE),2)</f>
        <v>51.3</v>
      </c>
      <c r="I23">
        <f>ROUND(VLOOKUP($A23,Results!$A$2:$I$437,7,FALSE),2)</f>
        <v>47.4</v>
      </c>
      <c r="J23" s="72">
        <f t="shared" si="3"/>
        <v>51.975683890577507</v>
      </c>
      <c r="K23" s="72">
        <f t="shared" si="4"/>
        <v>48.0243161094225</v>
      </c>
      <c r="L23" s="72">
        <f t="shared" si="5"/>
        <v>3.3486322188449931</v>
      </c>
    </row>
    <row r="24" spans="1:12" x14ac:dyDescent="0.25">
      <c r="A24" s="3" t="s">
        <v>51</v>
      </c>
      <c r="B24" t="s">
        <v>51</v>
      </c>
      <c r="C24">
        <f>ROUND(VLOOKUP($A24,Results!$A$2:$I$437,4,FALSE),2)</f>
        <v>40.299999999999997</v>
      </c>
      <c r="D24">
        <f>ROUND(VLOOKUP($A24,Results!$A$2:$I$437,5,FALSE),2)</f>
        <v>56.6</v>
      </c>
      <c r="E24" s="72">
        <f t="shared" si="0"/>
        <v>41.589267285861709</v>
      </c>
      <c r="F24" s="72">
        <f t="shared" si="1"/>
        <v>58.410732714138277</v>
      </c>
      <c r="G24" s="72">
        <f t="shared" si="2"/>
        <v>20.821465428276568</v>
      </c>
      <c r="H24">
        <f>ROUND(VLOOKUP($A24,Results!$A$2:$I$437,6,FALSE),2)</f>
        <v>42</v>
      </c>
      <c r="I24">
        <f>ROUND(VLOOKUP($A24,Results!$A$2:$I$437,7,FALSE),2)</f>
        <v>53</v>
      </c>
      <c r="J24" s="72">
        <f t="shared" si="3"/>
        <v>44.210526315789473</v>
      </c>
      <c r="K24" s="72">
        <f t="shared" si="4"/>
        <v>55.78947368421052</v>
      </c>
      <c r="L24" s="72">
        <f t="shared" si="5"/>
        <v>18.878947368421048</v>
      </c>
    </row>
    <row r="25" spans="1:12" x14ac:dyDescent="0.25">
      <c r="A25" s="3" t="s">
        <v>53</v>
      </c>
      <c r="B25" t="s">
        <v>53</v>
      </c>
      <c r="C25">
        <f>ROUND(VLOOKUP($A25,Results!$A$2:$I$437,4,FALSE),2)</f>
        <v>69</v>
      </c>
      <c r="D25">
        <f>ROUND(VLOOKUP($A25,Results!$A$2:$I$437,5,FALSE),2)</f>
        <v>27</v>
      </c>
      <c r="E25" s="72">
        <f t="shared" si="0"/>
        <v>71.875</v>
      </c>
      <c r="F25" s="72">
        <f t="shared" si="1"/>
        <v>28.125</v>
      </c>
      <c r="G25" s="72">
        <f t="shared" si="2"/>
        <v>-39.75</v>
      </c>
      <c r="H25">
        <f>ROUND(VLOOKUP($A25,Results!$A$2:$I$437,6,FALSE),2)</f>
        <v>71</v>
      </c>
      <c r="I25">
        <f>ROUND(VLOOKUP($A25,Results!$A$2:$I$437,7,FALSE),2)</f>
        <v>25</v>
      </c>
      <c r="J25" s="72">
        <f t="shared" si="3"/>
        <v>73.958333333333343</v>
      </c>
      <c r="K25" s="72">
        <f t="shared" si="4"/>
        <v>26.041666666666668</v>
      </c>
      <c r="L25" s="72">
        <f t="shared" si="5"/>
        <v>-40.616666666666674</v>
      </c>
    </row>
    <row r="26" spans="1:12" x14ac:dyDescent="0.25">
      <c r="A26" s="3" t="s">
        <v>55</v>
      </c>
      <c r="B26" t="s">
        <v>55</v>
      </c>
      <c r="C26">
        <f>ROUND(VLOOKUP($A26,Results!$A$2:$I$437,4,FALSE),2)</f>
        <v>54.3</v>
      </c>
      <c r="D26">
        <f>ROUND(VLOOKUP($A26,Results!$A$2:$I$437,5,FALSE),2)</f>
        <v>43.1</v>
      </c>
      <c r="E26" s="72">
        <f t="shared" si="0"/>
        <v>55.74948665297741</v>
      </c>
      <c r="F26" s="72">
        <f t="shared" si="1"/>
        <v>44.250513347022583</v>
      </c>
      <c r="G26" s="72">
        <f t="shared" si="2"/>
        <v>-7.4989733059548271</v>
      </c>
      <c r="H26">
        <f>ROUND(VLOOKUP($A26,Results!$A$2:$I$437,6,FALSE),2)</f>
        <v>55</v>
      </c>
      <c r="I26">
        <f>ROUND(VLOOKUP($A26,Results!$A$2:$I$437,7,FALSE),2)</f>
        <v>42</v>
      </c>
      <c r="J26" s="72">
        <f t="shared" si="3"/>
        <v>56.701030927835049</v>
      </c>
      <c r="K26" s="72">
        <f t="shared" si="4"/>
        <v>43.298969072164951</v>
      </c>
      <c r="L26" s="72">
        <f t="shared" si="5"/>
        <v>-6.1020618556700983</v>
      </c>
    </row>
    <row r="27" spans="1:12" x14ac:dyDescent="0.25">
      <c r="A27" s="3" t="s">
        <v>57</v>
      </c>
      <c r="B27" t="s">
        <v>57</v>
      </c>
      <c r="C27">
        <f>ROUND(VLOOKUP($A27,Results!$A$2:$I$437,4,FALSE),2)</f>
        <v>39.5</v>
      </c>
      <c r="D27">
        <f>ROUND(VLOOKUP($A27,Results!$A$2:$I$437,5,FALSE),2)</f>
        <v>57.9</v>
      </c>
      <c r="E27" s="72">
        <f t="shared" si="0"/>
        <v>40.554414784394247</v>
      </c>
      <c r="F27" s="72">
        <f t="shared" si="1"/>
        <v>59.445585215605746</v>
      </c>
      <c r="G27" s="72">
        <f t="shared" si="2"/>
        <v>22.891170431211499</v>
      </c>
      <c r="H27">
        <f>ROUND(VLOOKUP($A27,Results!$A$2:$I$437,6,FALSE),2)</f>
        <v>43</v>
      </c>
      <c r="I27">
        <f>ROUND(VLOOKUP($A27,Results!$A$2:$I$437,7,FALSE),2)</f>
        <v>54</v>
      </c>
      <c r="J27" s="72">
        <f t="shared" si="3"/>
        <v>44.329896907216494</v>
      </c>
      <c r="K27" s="72">
        <f t="shared" si="4"/>
        <v>55.670103092783506</v>
      </c>
      <c r="L27" s="72">
        <f t="shared" si="5"/>
        <v>18.640206185567013</v>
      </c>
    </row>
    <row r="28" spans="1:12" x14ac:dyDescent="0.25">
      <c r="A28" s="3" t="s">
        <v>59</v>
      </c>
      <c r="B28" t="s">
        <v>59</v>
      </c>
      <c r="C28">
        <f>ROUND(VLOOKUP($A28,Results!$A$2:$I$437,4,FALSE),2)</f>
        <v>69.7</v>
      </c>
      <c r="D28">
        <f>ROUND(VLOOKUP($A28,Results!$A$2:$I$437,5,FALSE),2)</f>
        <v>27.5</v>
      </c>
      <c r="E28" s="72">
        <f t="shared" si="0"/>
        <v>71.707818930041157</v>
      </c>
      <c r="F28" s="72">
        <f t="shared" si="1"/>
        <v>28.292181069958851</v>
      </c>
      <c r="G28" s="72">
        <f t="shared" si="2"/>
        <v>-39.415637860082306</v>
      </c>
      <c r="H28">
        <f>ROUND(VLOOKUP($A28,Results!$A$2:$I$437,6,FALSE),2)</f>
        <v>70</v>
      </c>
      <c r="I28">
        <f>ROUND(VLOOKUP($A28,Results!$A$2:$I$437,7,FALSE),2)</f>
        <v>26</v>
      </c>
      <c r="J28" s="72">
        <f t="shared" si="3"/>
        <v>72.916666666666657</v>
      </c>
      <c r="K28" s="72">
        <f t="shared" si="4"/>
        <v>27.083333333333332</v>
      </c>
      <c r="L28" s="72">
        <f t="shared" si="5"/>
        <v>-38.533333333333331</v>
      </c>
    </row>
    <row r="29" spans="1:12" x14ac:dyDescent="0.25">
      <c r="A29" s="3" t="s">
        <v>61</v>
      </c>
      <c r="B29" t="s">
        <v>61</v>
      </c>
      <c r="C29">
        <f>ROUND(VLOOKUP($A29,Results!$A$2:$I$437,4,FALSE),2)</f>
        <v>69.099999999999994</v>
      </c>
      <c r="D29">
        <f>ROUND(VLOOKUP($A29,Results!$A$2:$I$437,5,FALSE),2)</f>
        <v>28.3</v>
      </c>
      <c r="E29" s="72">
        <f t="shared" si="0"/>
        <v>70.94455852156058</v>
      </c>
      <c r="F29" s="72">
        <f t="shared" si="1"/>
        <v>29.05544147843943</v>
      </c>
      <c r="G29" s="72">
        <f t="shared" si="2"/>
        <v>-37.889117043121146</v>
      </c>
      <c r="H29">
        <f>ROUND(VLOOKUP($A29,Results!$A$2:$I$437,6,FALSE),2)</f>
        <v>68</v>
      </c>
      <c r="I29">
        <f>ROUND(VLOOKUP($A29,Results!$A$2:$I$437,7,FALSE),2)</f>
        <v>29</v>
      </c>
      <c r="J29" s="72">
        <f t="shared" si="3"/>
        <v>70.103092783505147</v>
      </c>
      <c r="K29" s="72">
        <f t="shared" si="4"/>
        <v>29.896907216494846</v>
      </c>
      <c r="L29" s="72">
        <f t="shared" si="5"/>
        <v>-32.906185567010304</v>
      </c>
    </row>
    <row r="30" spans="1:12" x14ac:dyDescent="0.25">
      <c r="A30" s="3" t="s">
        <v>63</v>
      </c>
      <c r="B30" t="s">
        <v>63</v>
      </c>
      <c r="C30">
        <f>ROUND(VLOOKUP($A30,Results!$A$2:$I$437,4,FALSE),2)</f>
        <v>50.8</v>
      </c>
      <c r="D30">
        <f>ROUND(VLOOKUP($A30,Results!$A$2:$I$437,5,FALSE),2)</f>
        <v>46.8</v>
      </c>
      <c r="E30" s="72">
        <f t="shared" si="0"/>
        <v>52.049180327868847</v>
      </c>
      <c r="F30" s="72">
        <f t="shared" si="1"/>
        <v>47.950819672131146</v>
      </c>
      <c r="G30" s="72">
        <f t="shared" si="2"/>
        <v>-9.8360655737700142E-2</v>
      </c>
      <c r="H30">
        <f>ROUND(VLOOKUP($A30,Results!$A$2:$I$437,6,FALSE),2)</f>
        <v>51</v>
      </c>
      <c r="I30">
        <f>ROUND(VLOOKUP($A30,Results!$A$2:$I$437,7,FALSE),2)</f>
        <v>46</v>
      </c>
      <c r="J30" s="72">
        <f t="shared" si="3"/>
        <v>52.577319587628871</v>
      </c>
      <c r="K30" s="72">
        <f t="shared" si="4"/>
        <v>47.422680412371129</v>
      </c>
      <c r="L30" s="72">
        <f t="shared" si="5"/>
        <v>2.1453608247422578</v>
      </c>
    </row>
    <row r="31" spans="1:12" x14ac:dyDescent="0.25">
      <c r="A31" s="3" t="s">
        <v>65</v>
      </c>
      <c r="B31" t="s">
        <v>65</v>
      </c>
      <c r="C31">
        <f>ROUND(VLOOKUP($A31,Results!$A$2:$I$437,4,FALSE),2)</f>
        <v>41.7</v>
      </c>
      <c r="D31">
        <f>ROUND(VLOOKUP($A31,Results!$A$2:$I$437,5,FALSE),2)</f>
        <v>55.6</v>
      </c>
      <c r="E31" s="72">
        <f t="shared" si="0"/>
        <v>42.857142857142854</v>
      </c>
      <c r="F31" s="72">
        <f t="shared" si="1"/>
        <v>57.142857142857139</v>
      </c>
      <c r="G31" s="72">
        <f t="shared" si="2"/>
        <v>18.285714285714285</v>
      </c>
      <c r="H31">
        <f>ROUND(VLOOKUP($A31,Results!$A$2:$I$437,6,FALSE),2)</f>
        <v>42</v>
      </c>
      <c r="I31">
        <f>ROUND(VLOOKUP($A31,Results!$A$2:$I$437,7,FALSE),2)</f>
        <v>55</v>
      </c>
      <c r="J31" s="72">
        <f t="shared" si="3"/>
        <v>43.298969072164951</v>
      </c>
      <c r="K31" s="72">
        <f t="shared" si="4"/>
        <v>56.701030927835049</v>
      </c>
      <c r="L31" s="72">
        <f t="shared" si="5"/>
        <v>20.702061855670099</v>
      </c>
    </row>
    <row r="32" spans="1:12" x14ac:dyDescent="0.25">
      <c r="A32" s="3" t="s">
        <v>67</v>
      </c>
      <c r="B32" t="s">
        <v>67</v>
      </c>
      <c r="C32">
        <f>ROUND(VLOOKUP($A32,Results!$A$2:$I$437,4,FALSE),2)</f>
        <v>57.8</v>
      </c>
      <c r="D32">
        <f>ROUND(VLOOKUP($A32,Results!$A$2:$I$437,5,FALSE),2)</f>
        <v>40.1</v>
      </c>
      <c r="E32" s="72">
        <f t="shared" si="0"/>
        <v>59.03983656792645</v>
      </c>
      <c r="F32" s="72">
        <f t="shared" si="1"/>
        <v>40.960163432073543</v>
      </c>
      <c r="G32" s="72">
        <f t="shared" si="2"/>
        <v>-14.079673135852907</v>
      </c>
      <c r="H32">
        <f>ROUND(VLOOKUP($A32,Results!$A$2:$I$437,6,FALSE),2)</f>
        <v>56</v>
      </c>
      <c r="I32">
        <f>ROUND(VLOOKUP($A32,Results!$A$2:$I$437,7,FALSE),2)</f>
        <v>41</v>
      </c>
      <c r="J32" s="72">
        <f t="shared" si="3"/>
        <v>57.731958762886592</v>
      </c>
      <c r="K32" s="72">
        <f t="shared" si="4"/>
        <v>42.268041237113401</v>
      </c>
      <c r="L32" s="72">
        <f t="shared" si="5"/>
        <v>-8.16391752577319</v>
      </c>
    </row>
    <row r="33" spans="1:12" x14ac:dyDescent="0.25">
      <c r="A33" s="3" t="s">
        <v>69</v>
      </c>
      <c r="B33" t="s">
        <v>69</v>
      </c>
      <c r="C33">
        <f>ROUND(VLOOKUP($A33,Results!$A$2:$I$437,4,FALSE),2)</f>
        <v>50.6</v>
      </c>
      <c r="D33">
        <f>ROUND(VLOOKUP($A33,Results!$A$2:$I$437,5,FALSE),2)</f>
        <v>47</v>
      </c>
      <c r="E33" s="72">
        <f t="shared" si="0"/>
        <v>51.844262295081968</v>
      </c>
      <c r="F33" s="72">
        <f t="shared" si="1"/>
        <v>48.155737704918032</v>
      </c>
      <c r="G33" s="72">
        <f t="shared" si="2"/>
        <v>0.31147540983606348</v>
      </c>
      <c r="H33">
        <f>ROUND(VLOOKUP($A33,Results!$A$2:$I$437,6,FALSE),2)</f>
        <v>50</v>
      </c>
      <c r="I33">
        <f>ROUND(VLOOKUP($A33,Results!$A$2:$I$437,7,FALSE),2)</f>
        <v>47</v>
      </c>
      <c r="J33" s="72">
        <f t="shared" si="3"/>
        <v>51.546391752577314</v>
      </c>
      <c r="K33" s="72">
        <f t="shared" si="4"/>
        <v>48.453608247422679</v>
      </c>
      <c r="L33" s="72">
        <f t="shared" si="5"/>
        <v>4.2072164948453645</v>
      </c>
    </row>
    <row r="34" spans="1:12" x14ac:dyDescent="0.25">
      <c r="A34" s="3" t="s">
        <v>71</v>
      </c>
      <c r="B34" t="s">
        <v>71</v>
      </c>
      <c r="C34">
        <f>ROUND(VLOOKUP($A34,Results!$A$2:$I$437,4,FALSE),2)</f>
        <v>67.599999999999994</v>
      </c>
      <c r="D34">
        <f>ROUND(VLOOKUP($A34,Results!$A$2:$I$437,5,FALSE),2)</f>
        <v>30</v>
      </c>
      <c r="E34" s="72">
        <f t="shared" si="0"/>
        <v>69.26229508196721</v>
      </c>
      <c r="F34" s="72">
        <f t="shared" si="1"/>
        <v>30.737704918032787</v>
      </c>
      <c r="G34" s="72">
        <f t="shared" si="2"/>
        <v>-34.52459016393442</v>
      </c>
      <c r="H34">
        <f>ROUND(VLOOKUP($A34,Results!$A$2:$I$437,6,FALSE),2)</f>
        <v>69</v>
      </c>
      <c r="I34">
        <f>ROUND(VLOOKUP($A34,Results!$A$2:$I$437,7,FALSE),2)</f>
        <v>28</v>
      </c>
      <c r="J34" s="72">
        <f t="shared" si="3"/>
        <v>71.134020618556704</v>
      </c>
      <c r="K34" s="72">
        <f t="shared" si="4"/>
        <v>28.865979381443296</v>
      </c>
      <c r="L34" s="72">
        <f t="shared" si="5"/>
        <v>-34.968041237113411</v>
      </c>
    </row>
    <row r="35" spans="1:12" x14ac:dyDescent="0.25">
      <c r="A35" s="3" t="s">
        <v>73</v>
      </c>
      <c r="B35" t="s">
        <v>73</v>
      </c>
      <c r="C35">
        <f>ROUND(VLOOKUP($A35,Results!$A$2:$I$437,4,FALSE),2)</f>
        <v>84.1</v>
      </c>
      <c r="D35">
        <f>ROUND(VLOOKUP($A35,Results!$A$2:$I$437,5,FALSE),2)</f>
        <v>12.5</v>
      </c>
      <c r="E35" s="72">
        <f t="shared" si="0"/>
        <v>87.060041407867487</v>
      </c>
      <c r="F35" s="72">
        <f t="shared" si="1"/>
        <v>12.939958592132506</v>
      </c>
      <c r="G35" s="72">
        <f t="shared" si="2"/>
        <v>-70.120082815734975</v>
      </c>
      <c r="H35">
        <f>ROUND(VLOOKUP($A35,Results!$A$2:$I$437,6,FALSE),2)</f>
        <v>84</v>
      </c>
      <c r="I35">
        <f>ROUND(VLOOKUP($A35,Results!$A$2:$I$437,7,FALSE),2)</f>
        <v>13</v>
      </c>
      <c r="J35" s="72">
        <f t="shared" si="3"/>
        <v>86.597938144329902</v>
      </c>
      <c r="K35" s="72">
        <f t="shared" si="4"/>
        <v>13.402061855670103</v>
      </c>
      <c r="L35" s="72">
        <f t="shared" si="5"/>
        <v>-65.895876288659807</v>
      </c>
    </row>
    <row r="36" spans="1:12" x14ac:dyDescent="0.25">
      <c r="A36" s="3" t="s">
        <v>75</v>
      </c>
      <c r="B36" t="s">
        <v>75</v>
      </c>
      <c r="C36">
        <f>ROUND(VLOOKUP($A36,Results!$A$2:$I$437,4,FALSE),2)</f>
        <v>87.5</v>
      </c>
      <c r="D36">
        <f>ROUND(VLOOKUP($A36,Results!$A$2:$I$437,5,FALSE),2)</f>
        <v>9</v>
      </c>
      <c r="E36" s="72">
        <f t="shared" si="0"/>
        <v>90.673575129533674</v>
      </c>
      <c r="F36" s="72">
        <f t="shared" si="1"/>
        <v>9.3264248704663206</v>
      </c>
      <c r="G36" s="72">
        <f t="shared" si="2"/>
        <v>-77.347150259067348</v>
      </c>
      <c r="H36">
        <f>ROUND(VLOOKUP($A36,Results!$A$2:$I$437,6,FALSE),2)</f>
        <v>87</v>
      </c>
      <c r="I36">
        <f>ROUND(VLOOKUP($A36,Results!$A$2:$I$437,7,FALSE),2)</f>
        <v>10</v>
      </c>
      <c r="J36" s="72">
        <f t="shared" si="3"/>
        <v>89.690721649484544</v>
      </c>
      <c r="K36" s="72">
        <f t="shared" si="4"/>
        <v>10.309278350515463</v>
      </c>
      <c r="L36" s="72">
        <f t="shared" si="5"/>
        <v>-72.081443298969091</v>
      </c>
    </row>
    <row r="37" spans="1:12" x14ac:dyDescent="0.25">
      <c r="A37" s="3" t="s">
        <v>77</v>
      </c>
      <c r="B37" t="s">
        <v>77</v>
      </c>
      <c r="C37">
        <f>ROUND(VLOOKUP($A37,Results!$A$2:$I$437,4,FALSE),2)</f>
        <v>74.2</v>
      </c>
      <c r="D37">
        <f>ROUND(VLOOKUP($A37,Results!$A$2:$I$437,5,FALSE),2)</f>
        <v>23.6</v>
      </c>
      <c r="E37" s="72">
        <f t="shared" si="0"/>
        <v>75.869120654396724</v>
      </c>
      <c r="F37" s="72">
        <f t="shared" si="1"/>
        <v>24.130879345603269</v>
      </c>
      <c r="G37" s="72">
        <f t="shared" si="2"/>
        <v>-47.738241308793455</v>
      </c>
      <c r="H37">
        <f>ROUND(VLOOKUP($A37,Results!$A$2:$I$437,6,FALSE),2)</f>
        <v>73</v>
      </c>
      <c r="I37">
        <f>ROUND(VLOOKUP($A37,Results!$A$2:$I$437,7,FALSE),2)</f>
        <v>24</v>
      </c>
      <c r="J37" s="72">
        <f t="shared" si="3"/>
        <v>75.257731958762889</v>
      </c>
      <c r="K37" s="72">
        <f t="shared" si="4"/>
        <v>24.742268041237114</v>
      </c>
      <c r="L37" s="72">
        <f t="shared" si="5"/>
        <v>-43.215463917525781</v>
      </c>
    </row>
    <row r="38" spans="1:12" x14ac:dyDescent="0.25">
      <c r="A38" s="3" t="s">
        <v>79</v>
      </c>
      <c r="B38" t="s">
        <v>79</v>
      </c>
      <c r="C38">
        <f>ROUND(VLOOKUP($A38,Results!$A$2:$I$437,4,FALSE),2)</f>
        <v>68</v>
      </c>
      <c r="D38">
        <f>ROUND(VLOOKUP($A38,Results!$A$2:$I$437,5,FALSE),2)</f>
        <v>29.8</v>
      </c>
      <c r="E38" s="72">
        <f t="shared" si="0"/>
        <v>69.52965235173825</v>
      </c>
      <c r="F38" s="72">
        <f t="shared" si="1"/>
        <v>30.470347648261757</v>
      </c>
      <c r="G38" s="72">
        <f t="shared" si="2"/>
        <v>-35.059304703476492</v>
      </c>
      <c r="H38">
        <f>ROUND(VLOOKUP($A38,Results!$A$2:$I$437,6,FALSE),2)</f>
        <v>67</v>
      </c>
      <c r="I38">
        <f>ROUND(VLOOKUP($A38,Results!$A$2:$I$437,7,FALSE),2)</f>
        <v>30</v>
      </c>
      <c r="J38" s="72">
        <f t="shared" si="3"/>
        <v>69.072164948453604</v>
      </c>
      <c r="K38" s="72">
        <f t="shared" si="4"/>
        <v>30.927835051546392</v>
      </c>
      <c r="L38" s="72">
        <f t="shared" si="5"/>
        <v>-30.844329896907208</v>
      </c>
    </row>
    <row r="39" spans="1:12" x14ac:dyDescent="0.25">
      <c r="A39" s="3" t="s">
        <v>81</v>
      </c>
      <c r="B39" t="s">
        <v>81</v>
      </c>
      <c r="C39">
        <f>ROUND(VLOOKUP($A39,Results!$A$2:$I$437,4,FALSE),2)</f>
        <v>58.6</v>
      </c>
      <c r="D39">
        <f>ROUND(VLOOKUP($A39,Results!$A$2:$I$437,5,FALSE),2)</f>
        <v>39.4</v>
      </c>
      <c r="E39" s="72">
        <f t="shared" si="0"/>
        <v>59.795918367346943</v>
      </c>
      <c r="F39" s="72">
        <f t="shared" si="1"/>
        <v>40.204081632653057</v>
      </c>
      <c r="G39" s="72">
        <f t="shared" si="2"/>
        <v>-15.591836734693885</v>
      </c>
      <c r="H39">
        <f>ROUND(VLOOKUP($A39,Results!$A$2:$I$437,6,FALSE),2)</f>
        <v>57</v>
      </c>
      <c r="I39">
        <f>ROUND(VLOOKUP($A39,Results!$A$2:$I$437,7,FALSE),2)</f>
        <v>40</v>
      </c>
      <c r="J39" s="72">
        <f t="shared" si="3"/>
        <v>58.762886597938149</v>
      </c>
      <c r="K39" s="72">
        <f t="shared" si="4"/>
        <v>41.237113402061851</v>
      </c>
      <c r="L39" s="72">
        <f t="shared" si="5"/>
        <v>-10.225773195876297</v>
      </c>
    </row>
    <row r="40" spans="1:12" x14ac:dyDescent="0.25">
      <c r="A40" s="3" t="s">
        <v>83</v>
      </c>
      <c r="B40" t="s">
        <v>83</v>
      </c>
      <c r="C40">
        <f>ROUND(VLOOKUP($A40,Results!$A$2:$I$437,4,FALSE),2)</f>
        <v>71.900000000000006</v>
      </c>
      <c r="D40">
        <f>ROUND(VLOOKUP($A40,Results!$A$2:$I$437,5,FALSE),2)</f>
        <v>25.5</v>
      </c>
      <c r="E40" s="72">
        <f t="shared" si="0"/>
        <v>73.819301848049278</v>
      </c>
      <c r="F40" s="72">
        <f t="shared" si="1"/>
        <v>26.180698151950715</v>
      </c>
      <c r="G40" s="72">
        <f t="shared" si="2"/>
        <v>-43.638603696098563</v>
      </c>
      <c r="H40">
        <f>ROUND(VLOOKUP($A40,Results!$A$2:$I$437,6,FALSE),2)</f>
        <v>69</v>
      </c>
      <c r="I40">
        <f>ROUND(VLOOKUP($A40,Results!$A$2:$I$437,7,FALSE),2)</f>
        <v>28</v>
      </c>
      <c r="J40" s="72">
        <f t="shared" si="3"/>
        <v>71.134020618556704</v>
      </c>
      <c r="K40" s="72">
        <f t="shared" si="4"/>
        <v>28.865979381443296</v>
      </c>
      <c r="L40" s="72">
        <f t="shared" si="5"/>
        <v>-34.968041237113411</v>
      </c>
    </row>
    <row r="41" spans="1:12" x14ac:dyDescent="0.25">
      <c r="A41" s="3" t="s">
        <v>85</v>
      </c>
      <c r="B41" t="s">
        <v>85</v>
      </c>
      <c r="C41">
        <f>ROUND(VLOOKUP($A41,Results!$A$2:$I$437,4,FALSE),2)</f>
        <v>68.2</v>
      </c>
      <c r="D41">
        <f>ROUND(VLOOKUP($A41,Results!$A$2:$I$437,5,FALSE),2)</f>
        <v>28.9</v>
      </c>
      <c r="E41" s="72">
        <f t="shared" si="0"/>
        <v>70.236869207003096</v>
      </c>
      <c r="F41" s="72">
        <f t="shared" si="1"/>
        <v>29.763130792996911</v>
      </c>
      <c r="G41" s="72">
        <f t="shared" si="2"/>
        <v>-36.473738414006185</v>
      </c>
      <c r="H41">
        <f>ROUND(VLOOKUP($A41,Results!$A$2:$I$437,6,FALSE),2)</f>
        <v>70</v>
      </c>
      <c r="I41">
        <f>ROUND(VLOOKUP($A41,Results!$A$2:$I$437,7,FALSE),2)</f>
        <v>27</v>
      </c>
      <c r="J41" s="72">
        <f t="shared" si="3"/>
        <v>72.164948453608247</v>
      </c>
      <c r="K41" s="72">
        <f t="shared" si="4"/>
        <v>27.835051546391753</v>
      </c>
      <c r="L41" s="72">
        <f t="shared" si="5"/>
        <v>-37.029896907216497</v>
      </c>
    </row>
    <row r="42" spans="1:12" x14ac:dyDescent="0.25">
      <c r="A42" s="3" t="s">
        <v>87</v>
      </c>
      <c r="B42" t="s">
        <v>87</v>
      </c>
      <c r="C42">
        <f>ROUND(VLOOKUP($A42,Results!$A$2:$I$437,4,FALSE),2)</f>
        <v>71.2</v>
      </c>
      <c r="D42">
        <f>ROUND(VLOOKUP($A42,Results!$A$2:$I$437,5,FALSE),2)</f>
        <v>26.5</v>
      </c>
      <c r="E42" s="72">
        <f t="shared" si="0"/>
        <v>72.876151484135107</v>
      </c>
      <c r="F42" s="72">
        <f t="shared" si="1"/>
        <v>27.123848515864889</v>
      </c>
      <c r="G42" s="72">
        <f t="shared" si="2"/>
        <v>-41.752302968270214</v>
      </c>
      <c r="H42">
        <f>ROUND(VLOOKUP($A42,Results!$A$2:$I$437,6,FALSE),2)</f>
        <v>68</v>
      </c>
      <c r="I42">
        <f>ROUND(VLOOKUP($A42,Results!$A$2:$I$437,7,FALSE),2)</f>
        <v>29</v>
      </c>
      <c r="J42" s="72">
        <f t="shared" si="3"/>
        <v>70.103092783505147</v>
      </c>
      <c r="K42" s="72">
        <f t="shared" si="4"/>
        <v>29.896907216494846</v>
      </c>
      <c r="L42" s="72">
        <f t="shared" si="5"/>
        <v>-32.906185567010304</v>
      </c>
    </row>
    <row r="43" spans="1:12" x14ac:dyDescent="0.25">
      <c r="A43" s="3" t="s">
        <v>89</v>
      </c>
      <c r="B43" t="s">
        <v>89</v>
      </c>
      <c r="C43">
        <f>ROUND(VLOOKUP($A43,Results!$A$2:$I$437,4,FALSE),2)</f>
        <v>70.900000000000006</v>
      </c>
      <c r="D43">
        <f>ROUND(VLOOKUP($A43,Results!$A$2:$I$437,5,FALSE),2)</f>
        <v>26.2</v>
      </c>
      <c r="E43" s="72">
        <f t="shared" si="0"/>
        <v>73.017507723995877</v>
      </c>
      <c r="F43" s="72">
        <f t="shared" si="1"/>
        <v>26.982492276004116</v>
      </c>
      <c r="G43" s="72">
        <f t="shared" si="2"/>
        <v>-42.035015447991761</v>
      </c>
      <c r="H43">
        <f>ROUND(VLOOKUP($A43,Results!$A$2:$I$437,6,FALSE),2)</f>
        <v>71</v>
      </c>
      <c r="I43">
        <f>ROUND(VLOOKUP($A43,Results!$A$2:$I$437,7,FALSE),2)</f>
        <v>26</v>
      </c>
      <c r="J43" s="72">
        <f t="shared" si="3"/>
        <v>73.19587628865979</v>
      </c>
      <c r="K43" s="72">
        <f t="shared" si="4"/>
        <v>26.804123711340207</v>
      </c>
      <c r="L43" s="72">
        <f t="shared" si="5"/>
        <v>-39.091752577319582</v>
      </c>
    </row>
    <row r="44" spans="1:12" x14ac:dyDescent="0.25">
      <c r="A44" s="3" t="s">
        <v>91</v>
      </c>
      <c r="B44" t="s">
        <v>91</v>
      </c>
      <c r="C44">
        <f>ROUND(VLOOKUP($A44,Results!$A$2:$I$437,4,FALSE),2)</f>
        <v>54.6</v>
      </c>
      <c r="D44">
        <f>ROUND(VLOOKUP($A44,Results!$A$2:$I$437,5,FALSE),2)</f>
        <v>43.5</v>
      </c>
      <c r="E44" s="72">
        <f t="shared" si="0"/>
        <v>55.657492354740072</v>
      </c>
      <c r="F44" s="72">
        <f t="shared" si="1"/>
        <v>44.342507645259943</v>
      </c>
      <c r="G44" s="72">
        <f t="shared" si="2"/>
        <v>-7.3149847094801288</v>
      </c>
      <c r="H44">
        <f>ROUND(VLOOKUP($A44,Results!$A$2:$I$437,6,FALSE),2)</f>
        <v>52</v>
      </c>
      <c r="I44">
        <f>ROUND(VLOOKUP($A44,Results!$A$2:$I$437,7,FALSE),2)</f>
        <v>46</v>
      </c>
      <c r="J44" s="72">
        <f t="shared" si="3"/>
        <v>53.061224489795919</v>
      </c>
      <c r="K44" s="72">
        <f t="shared" si="4"/>
        <v>46.938775510204081</v>
      </c>
      <c r="L44" s="72">
        <f t="shared" si="5"/>
        <v>1.1775510204081625</v>
      </c>
    </row>
    <row r="45" spans="1:12" x14ac:dyDescent="0.25">
      <c r="A45" s="3" t="s">
        <v>93</v>
      </c>
      <c r="B45" t="s">
        <v>93</v>
      </c>
      <c r="C45">
        <f>ROUND(VLOOKUP($A45,Results!$A$2:$I$437,4,FALSE),2)</f>
        <v>41.6</v>
      </c>
      <c r="D45">
        <f>ROUND(VLOOKUP($A45,Results!$A$2:$I$437,5,FALSE),2)</f>
        <v>56.6</v>
      </c>
      <c r="E45" s="72">
        <f t="shared" si="0"/>
        <v>42.36252545824847</v>
      </c>
      <c r="F45" s="72">
        <f t="shared" si="1"/>
        <v>57.63747454175153</v>
      </c>
      <c r="G45" s="72">
        <f t="shared" si="2"/>
        <v>19.27494908350306</v>
      </c>
      <c r="H45">
        <f>ROUND(VLOOKUP($A45,Results!$A$2:$I$437,6,FALSE),2)</f>
        <v>42</v>
      </c>
      <c r="I45">
        <f>ROUND(VLOOKUP($A45,Results!$A$2:$I$437,7,FALSE),2)</f>
        <v>55</v>
      </c>
      <c r="J45" s="72">
        <f t="shared" si="3"/>
        <v>43.298969072164951</v>
      </c>
      <c r="K45" s="72">
        <f t="shared" si="4"/>
        <v>56.701030927835049</v>
      </c>
      <c r="L45" s="72">
        <f t="shared" si="5"/>
        <v>20.702061855670099</v>
      </c>
    </row>
    <row r="46" spans="1:12" x14ac:dyDescent="0.25">
      <c r="A46" s="3" t="s">
        <v>95</v>
      </c>
      <c r="B46" t="s">
        <v>95</v>
      </c>
      <c r="C46">
        <f>ROUND(VLOOKUP($A46,Results!$A$2:$I$437,4,FALSE),2)</f>
        <v>36.1</v>
      </c>
      <c r="D46">
        <f>ROUND(VLOOKUP($A46,Results!$A$2:$I$437,5,FALSE),2)</f>
        <v>61.5</v>
      </c>
      <c r="E46" s="72">
        <f t="shared" si="0"/>
        <v>36.98770491803279</v>
      </c>
      <c r="F46" s="72">
        <f t="shared" si="1"/>
        <v>63.012295081967217</v>
      </c>
      <c r="G46" s="72">
        <f t="shared" si="2"/>
        <v>30.024590163934427</v>
      </c>
      <c r="H46">
        <f>ROUND(VLOOKUP($A46,Results!$A$2:$I$437,6,FALSE),2)</f>
        <v>36</v>
      </c>
      <c r="I46">
        <f>ROUND(VLOOKUP($A46,Results!$A$2:$I$437,7,FALSE),2)</f>
        <v>61</v>
      </c>
      <c r="J46" s="72">
        <f t="shared" si="3"/>
        <v>37.113402061855673</v>
      </c>
      <c r="K46" s="72">
        <f t="shared" si="4"/>
        <v>62.886597938144327</v>
      </c>
      <c r="L46" s="72">
        <f t="shared" si="5"/>
        <v>33.073195876288651</v>
      </c>
    </row>
    <row r="47" spans="1:12" x14ac:dyDescent="0.25">
      <c r="A47" s="3" t="s">
        <v>97</v>
      </c>
      <c r="B47" t="s">
        <v>97</v>
      </c>
      <c r="C47">
        <f>ROUND(VLOOKUP($A47,Results!$A$2:$I$437,4,FALSE),2)</f>
        <v>54.1</v>
      </c>
      <c r="D47">
        <f>ROUND(VLOOKUP($A47,Results!$A$2:$I$437,5,FALSE),2)</f>
        <v>43.1</v>
      </c>
      <c r="E47" s="72">
        <f t="shared" si="0"/>
        <v>55.65843621399177</v>
      </c>
      <c r="F47" s="72">
        <f t="shared" si="1"/>
        <v>44.34156378600823</v>
      </c>
      <c r="G47" s="72">
        <f t="shared" si="2"/>
        <v>-7.3168724279835402</v>
      </c>
      <c r="H47">
        <f>ROUND(VLOOKUP($A47,Results!$A$2:$I$437,6,FALSE),2)</f>
        <v>56</v>
      </c>
      <c r="I47">
        <f>ROUND(VLOOKUP($A47,Results!$A$2:$I$437,7,FALSE),2)</f>
        <v>41</v>
      </c>
      <c r="J47" s="72">
        <f t="shared" si="3"/>
        <v>57.731958762886592</v>
      </c>
      <c r="K47" s="72">
        <f t="shared" si="4"/>
        <v>42.268041237113401</v>
      </c>
      <c r="L47" s="72">
        <f t="shared" si="5"/>
        <v>-8.16391752577319</v>
      </c>
    </row>
    <row r="48" spans="1:12" x14ac:dyDescent="0.25">
      <c r="A48" s="3" t="s">
        <v>99</v>
      </c>
      <c r="B48" t="s">
        <v>99</v>
      </c>
      <c r="C48">
        <f>ROUND(VLOOKUP($A48,Results!$A$2:$I$437,4,FALSE),2)</f>
        <v>47.8</v>
      </c>
      <c r="D48">
        <f>ROUND(VLOOKUP($A48,Results!$A$2:$I$437,5,FALSE),2)</f>
        <v>49.7</v>
      </c>
      <c r="E48" s="72">
        <f t="shared" si="0"/>
        <v>49.025641025641022</v>
      </c>
      <c r="F48" s="72">
        <f t="shared" si="1"/>
        <v>50.974358974358978</v>
      </c>
      <c r="G48" s="72">
        <f t="shared" si="2"/>
        <v>5.948717948717956</v>
      </c>
      <c r="H48">
        <f>ROUND(VLOOKUP($A48,Results!$A$2:$I$437,6,FALSE),2)</f>
        <v>49</v>
      </c>
      <c r="I48">
        <f>ROUND(VLOOKUP($A48,Results!$A$2:$I$437,7,FALSE),2)</f>
        <v>48</v>
      </c>
      <c r="J48" s="72">
        <f t="shared" si="3"/>
        <v>50.515463917525771</v>
      </c>
      <c r="K48" s="72">
        <f t="shared" si="4"/>
        <v>49.484536082474229</v>
      </c>
      <c r="L48" s="72">
        <f t="shared" si="5"/>
        <v>6.2690721649484571</v>
      </c>
    </row>
    <row r="49" spans="1:12" x14ac:dyDescent="0.25">
      <c r="A49" s="3" t="s">
        <v>101</v>
      </c>
      <c r="B49" t="s">
        <v>101</v>
      </c>
      <c r="C49">
        <f>ROUND(VLOOKUP($A49,Results!$A$2:$I$437,4,FALSE),2)</f>
        <v>54</v>
      </c>
      <c r="D49">
        <f>ROUND(VLOOKUP($A49,Results!$A$2:$I$437,5,FALSE),2)</f>
        <v>43.7</v>
      </c>
      <c r="E49" s="72">
        <f t="shared" si="0"/>
        <v>55.271238485158648</v>
      </c>
      <c r="F49" s="72">
        <f t="shared" si="1"/>
        <v>44.728761514841352</v>
      </c>
      <c r="G49" s="72">
        <f t="shared" si="2"/>
        <v>-6.5424769703172956</v>
      </c>
      <c r="H49">
        <f>ROUND(VLOOKUP($A49,Results!$A$2:$I$437,6,FALSE),2)</f>
        <v>56</v>
      </c>
      <c r="I49">
        <f>ROUND(VLOOKUP($A49,Results!$A$2:$I$437,7,FALSE),2)</f>
        <v>41</v>
      </c>
      <c r="J49" s="72">
        <f t="shared" si="3"/>
        <v>57.731958762886592</v>
      </c>
      <c r="K49" s="72">
        <f t="shared" si="4"/>
        <v>42.268041237113401</v>
      </c>
      <c r="L49" s="72">
        <f t="shared" si="5"/>
        <v>-8.16391752577319</v>
      </c>
    </row>
    <row r="50" spans="1:12" x14ac:dyDescent="0.25">
      <c r="A50" s="3" t="s">
        <v>103</v>
      </c>
      <c r="B50" t="s">
        <v>103</v>
      </c>
      <c r="C50">
        <f>ROUND(VLOOKUP($A50,Results!$A$2:$I$437,4,FALSE),2)</f>
        <v>62.6</v>
      </c>
      <c r="D50">
        <f>ROUND(VLOOKUP($A50,Results!$A$2:$I$437,5,FALSE),2)</f>
        <v>35</v>
      </c>
      <c r="E50" s="72">
        <f t="shared" si="0"/>
        <v>64.139344262295083</v>
      </c>
      <c r="F50" s="72">
        <f t="shared" si="1"/>
        <v>35.860655737704924</v>
      </c>
      <c r="G50" s="72">
        <f t="shared" si="2"/>
        <v>-24.278688524590159</v>
      </c>
      <c r="H50">
        <f>ROUND(VLOOKUP($A50,Results!$A$2:$I$437,6,FALSE),2)</f>
        <v>61</v>
      </c>
      <c r="I50">
        <f>ROUND(VLOOKUP($A50,Results!$A$2:$I$437,7,FALSE),2)</f>
        <v>35</v>
      </c>
      <c r="J50" s="72">
        <f t="shared" si="3"/>
        <v>63.541666666666664</v>
      </c>
      <c r="K50" s="72">
        <f t="shared" si="4"/>
        <v>36.458333333333329</v>
      </c>
      <c r="L50" s="72">
        <f t="shared" si="5"/>
        <v>-19.783333333333335</v>
      </c>
    </row>
    <row r="51" spans="1:12" x14ac:dyDescent="0.25">
      <c r="A51" s="3" t="s">
        <v>105</v>
      </c>
      <c r="B51" t="s">
        <v>105</v>
      </c>
      <c r="C51">
        <f>ROUND(VLOOKUP($A51,Results!$A$2:$I$437,4,FALSE),2)</f>
        <v>70.3</v>
      </c>
      <c r="D51">
        <f>ROUND(VLOOKUP($A51,Results!$A$2:$I$437,5,FALSE),2)</f>
        <v>26.5</v>
      </c>
      <c r="E51" s="72">
        <f t="shared" si="0"/>
        <v>72.623966942148755</v>
      </c>
      <c r="F51" s="72">
        <f t="shared" si="1"/>
        <v>27.376033057851242</v>
      </c>
      <c r="G51" s="72">
        <f t="shared" si="2"/>
        <v>-41.24793388429751</v>
      </c>
      <c r="H51">
        <f>ROUND(VLOOKUP($A51,Results!$A$2:$I$437,6,FALSE),2)</f>
        <v>70</v>
      </c>
      <c r="I51">
        <f>ROUND(VLOOKUP($A51,Results!$A$2:$I$437,7,FALSE),2)</f>
        <v>26</v>
      </c>
      <c r="J51" s="72">
        <f t="shared" si="3"/>
        <v>72.916666666666657</v>
      </c>
      <c r="K51" s="72">
        <f t="shared" si="4"/>
        <v>27.083333333333332</v>
      </c>
      <c r="L51" s="72">
        <f t="shared" si="5"/>
        <v>-38.533333333333331</v>
      </c>
    </row>
    <row r="52" spans="1:12" x14ac:dyDescent="0.25">
      <c r="A52" s="3" t="s">
        <v>107</v>
      </c>
      <c r="B52" t="s">
        <v>107</v>
      </c>
      <c r="C52">
        <f>ROUND(VLOOKUP($A52,Results!$A$2:$I$437,4,FALSE),2)</f>
        <v>77</v>
      </c>
      <c r="D52">
        <f>ROUND(VLOOKUP($A52,Results!$A$2:$I$437,5,FALSE),2)</f>
        <v>20.5</v>
      </c>
      <c r="E52" s="72">
        <f t="shared" si="0"/>
        <v>78.974358974358978</v>
      </c>
      <c r="F52" s="72">
        <f t="shared" si="1"/>
        <v>21.025641025641026</v>
      </c>
      <c r="G52" s="72">
        <f t="shared" si="2"/>
        <v>-53.948717948717956</v>
      </c>
      <c r="H52">
        <f>ROUND(VLOOKUP($A52,Results!$A$2:$I$437,6,FALSE),2)</f>
        <v>74</v>
      </c>
      <c r="I52">
        <f>ROUND(VLOOKUP($A52,Results!$A$2:$I$437,7,FALSE),2)</f>
        <v>23</v>
      </c>
      <c r="J52" s="72">
        <f t="shared" si="3"/>
        <v>76.288659793814432</v>
      </c>
      <c r="K52" s="72">
        <f t="shared" si="4"/>
        <v>23.711340206185564</v>
      </c>
      <c r="L52" s="72">
        <f t="shared" si="5"/>
        <v>-45.277319587628867</v>
      </c>
    </row>
    <row r="53" spans="1:12" x14ac:dyDescent="0.25">
      <c r="A53" s="3" t="s">
        <v>109</v>
      </c>
      <c r="B53" t="s">
        <v>109</v>
      </c>
      <c r="C53">
        <f>ROUND(VLOOKUP($A53,Results!$A$2:$I$437,4,FALSE),2)</f>
        <v>65.3</v>
      </c>
      <c r="D53">
        <f>ROUND(VLOOKUP($A53,Results!$A$2:$I$437,5,FALSE),2)</f>
        <v>32.1</v>
      </c>
      <c r="E53" s="72">
        <f t="shared" si="0"/>
        <v>67.043121149897317</v>
      </c>
      <c r="F53" s="72">
        <f t="shared" si="1"/>
        <v>32.956878850102669</v>
      </c>
      <c r="G53" s="72">
        <f t="shared" si="2"/>
        <v>-30.086242299794648</v>
      </c>
      <c r="H53">
        <f>ROUND(VLOOKUP($A53,Results!$A$2:$I$437,6,FALSE),2)</f>
        <v>66</v>
      </c>
      <c r="I53">
        <f>ROUND(VLOOKUP($A53,Results!$A$2:$I$437,7,FALSE),2)</f>
        <v>31</v>
      </c>
      <c r="J53" s="72">
        <f t="shared" si="3"/>
        <v>68.041237113402062</v>
      </c>
      <c r="K53" s="72">
        <f t="shared" si="4"/>
        <v>31.958762886597935</v>
      </c>
      <c r="L53" s="72">
        <f t="shared" si="5"/>
        <v>-28.782474226804123</v>
      </c>
    </row>
    <row r="54" spans="1:12" x14ac:dyDescent="0.25">
      <c r="A54" s="3" t="s">
        <v>111</v>
      </c>
      <c r="B54" t="s">
        <v>111</v>
      </c>
      <c r="C54">
        <f>ROUND(VLOOKUP($A54,Results!$A$2:$I$437,4,FALSE),2)</f>
        <v>57.2</v>
      </c>
      <c r="D54">
        <f>ROUND(VLOOKUP($A54,Results!$A$2:$I$437,5,FALSE),2)</f>
        <v>40.6</v>
      </c>
      <c r="E54" s="72">
        <f t="shared" si="0"/>
        <v>58.486707566462158</v>
      </c>
      <c r="F54" s="72">
        <f t="shared" si="1"/>
        <v>41.513292433537828</v>
      </c>
      <c r="G54" s="72">
        <f t="shared" si="2"/>
        <v>-12.97341513292433</v>
      </c>
      <c r="H54">
        <f>ROUND(VLOOKUP($A54,Results!$A$2:$I$437,6,FALSE),2)</f>
        <v>56</v>
      </c>
      <c r="I54">
        <f>ROUND(VLOOKUP($A54,Results!$A$2:$I$437,7,FALSE),2)</f>
        <v>41</v>
      </c>
      <c r="J54" s="72">
        <f t="shared" si="3"/>
        <v>57.731958762886592</v>
      </c>
      <c r="K54" s="72">
        <f t="shared" si="4"/>
        <v>42.268041237113401</v>
      </c>
      <c r="L54" s="72">
        <f t="shared" si="5"/>
        <v>-8.16391752577319</v>
      </c>
    </row>
    <row r="55" spans="1:12" x14ac:dyDescent="0.25">
      <c r="A55" s="3" t="s">
        <v>113</v>
      </c>
      <c r="B55" t="s">
        <v>113</v>
      </c>
      <c r="C55">
        <f>ROUND(VLOOKUP($A55,Results!$A$2:$I$437,4,FALSE),2)</f>
        <v>65.2</v>
      </c>
      <c r="D55">
        <f>ROUND(VLOOKUP($A55,Results!$A$2:$I$437,5,FALSE),2)</f>
        <v>32.5</v>
      </c>
      <c r="E55" s="72">
        <f t="shared" si="0"/>
        <v>66.734902763561919</v>
      </c>
      <c r="F55" s="72">
        <f t="shared" si="1"/>
        <v>33.265097236438073</v>
      </c>
      <c r="G55" s="72">
        <f t="shared" si="2"/>
        <v>-29.469805527123846</v>
      </c>
      <c r="H55">
        <f>ROUND(VLOOKUP($A55,Results!$A$2:$I$437,6,FALSE),2)</f>
        <v>62</v>
      </c>
      <c r="I55">
        <f>ROUND(VLOOKUP($A55,Results!$A$2:$I$437,7,FALSE),2)</f>
        <v>35</v>
      </c>
      <c r="J55" s="72">
        <f t="shared" si="3"/>
        <v>63.917525773195869</v>
      </c>
      <c r="K55" s="72">
        <f t="shared" si="4"/>
        <v>36.082474226804123</v>
      </c>
      <c r="L55" s="72">
        <f t="shared" si="5"/>
        <v>-20.535051546391745</v>
      </c>
    </row>
    <row r="56" spans="1:12" x14ac:dyDescent="0.25">
      <c r="A56" s="3" t="s">
        <v>115</v>
      </c>
      <c r="B56" t="s">
        <v>115</v>
      </c>
      <c r="C56">
        <f>ROUND(VLOOKUP($A56,Results!$A$2:$I$437,4,FALSE),2)</f>
        <v>60.6</v>
      </c>
      <c r="D56">
        <f>ROUND(VLOOKUP($A56,Results!$A$2:$I$437,5,FALSE),2)</f>
        <v>36.799999999999997</v>
      </c>
      <c r="E56" s="72">
        <f t="shared" si="0"/>
        <v>62.217659137576995</v>
      </c>
      <c r="F56" s="72">
        <f t="shared" si="1"/>
        <v>37.782340862422991</v>
      </c>
      <c r="G56" s="72">
        <f t="shared" si="2"/>
        <v>-20.435318275154003</v>
      </c>
      <c r="H56">
        <f>ROUND(VLOOKUP($A56,Results!$A$2:$I$437,6,FALSE),2)</f>
        <v>64</v>
      </c>
      <c r="I56">
        <f>ROUND(VLOOKUP($A56,Results!$A$2:$I$437,7,FALSE),2)</f>
        <v>33</v>
      </c>
      <c r="J56" s="72">
        <f t="shared" si="3"/>
        <v>65.979381443298962</v>
      </c>
      <c r="K56" s="72">
        <f t="shared" si="4"/>
        <v>34.020618556701031</v>
      </c>
      <c r="L56" s="72">
        <f t="shared" si="5"/>
        <v>-24.65876288659793</v>
      </c>
    </row>
    <row r="57" spans="1:12" x14ac:dyDescent="0.25">
      <c r="A57" s="3" t="s">
        <v>117</v>
      </c>
      <c r="B57" t="s">
        <v>117</v>
      </c>
      <c r="C57">
        <f>ROUND(VLOOKUP($A57,Results!$A$2:$I$437,4,FALSE),2)</f>
        <v>83</v>
      </c>
      <c r="D57">
        <f>ROUND(VLOOKUP($A57,Results!$A$2:$I$437,5,FALSE),2)</f>
        <v>14.1</v>
      </c>
      <c r="E57" s="72">
        <f t="shared" si="0"/>
        <v>85.478887744593209</v>
      </c>
      <c r="F57" s="72">
        <f t="shared" si="1"/>
        <v>14.521112255406798</v>
      </c>
      <c r="G57" s="72">
        <f t="shared" si="2"/>
        <v>-66.957775489186417</v>
      </c>
      <c r="H57">
        <f>ROUND(VLOOKUP($A57,Results!$A$2:$I$437,6,FALSE),2)</f>
        <v>77</v>
      </c>
      <c r="I57">
        <f>ROUND(VLOOKUP($A57,Results!$A$2:$I$437,7,FALSE),2)</f>
        <v>19</v>
      </c>
      <c r="J57" s="72">
        <f t="shared" si="3"/>
        <v>80.208333333333343</v>
      </c>
      <c r="K57" s="72">
        <f t="shared" si="4"/>
        <v>19.791666666666664</v>
      </c>
      <c r="L57" s="72">
        <f t="shared" si="5"/>
        <v>-53.116666666666681</v>
      </c>
    </row>
    <row r="58" spans="1:12" x14ac:dyDescent="0.25">
      <c r="A58" s="3" t="s">
        <v>119</v>
      </c>
      <c r="B58" t="s">
        <v>119</v>
      </c>
      <c r="C58">
        <f>ROUND(VLOOKUP($A58,Results!$A$2:$I$437,4,FALSE),2)</f>
        <v>67.400000000000006</v>
      </c>
      <c r="D58">
        <f>ROUND(VLOOKUP($A58,Results!$A$2:$I$437,5,FALSE),2)</f>
        <v>30.6</v>
      </c>
      <c r="E58" s="72">
        <f t="shared" si="0"/>
        <v>68.775510204081641</v>
      </c>
      <c r="F58" s="72">
        <f t="shared" si="1"/>
        <v>31.22448979591837</v>
      </c>
      <c r="G58" s="72">
        <f t="shared" si="2"/>
        <v>-33.551020408163268</v>
      </c>
      <c r="H58">
        <f>ROUND(VLOOKUP($A58,Results!$A$2:$I$437,6,FALSE),2)</f>
        <v>64</v>
      </c>
      <c r="I58">
        <f>ROUND(VLOOKUP($A58,Results!$A$2:$I$437,7,FALSE),2)</f>
        <v>32</v>
      </c>
      <c r="J58" s="72">
        <f t="shared" si="3"/>
        <v>66.666666666666657</v>
      </c>
      <c r="K58" s="72">
        <f t="shared" si="4"/>
        <v>33.333333333333329</v>
      </c>
      <c r="L58" s="72">
        <f t="shared" si="5"/>
        <v>-26.033333333333328</v>
      </c>
    </row>
    <row r="59" spans="1:12" x14ac:dyDescent="0.25">
      <c r="A59" s="3" t="s">
        <v>121</v>
      </c>
      <c r="B59" t="s">
        <v>121</v>
      </c>
      <c r="C59">
        <f>ROUND(VLOOKUP($A59,Results!$A$2:$I$437,4,FALSE),2)</f>
        <v>50.7</v>
      </c>
      <c r="D59">
        <f>ROUND(VLOOKUP($A59,Results!$A$2:$I$437,5,FALSE),2)</f>
        <v>47.5</v>
      </c>
      <c r="E59" s="72">
        <f t="shared" si="0"/>
        <v>51.629327902240327</v>
      </c>
      <c r="F59" s="72">
        <f t="shared" si="1"/>
        <v>48.370672097759673</v>
      </c>
      <c r="G59" s="72">
        <f t="shared" si="2"/>
        <v>0.74134419551934627</v>
      </c>
      <c r="H59">
        <f>ROUND(VLOOKUP($A59,Results!$A$2:$I$437,6,FALSE),2)</f>
        <v>50</v>
      </c>
      <c r="I59">
        <f>ROUND(VLOOKUP($A59,Results!$A$2:$I$437,7,FALSE),2)</f>
        <v>47</v>
      </c>
      <c r="J59" s="72">
        <f t="shared" si="3"/>
        <v>51.546391752577314</v>
      </c>
      <c r="K59" s="72">
        <f t="shared" si="4"/>
        <v>48.453608247422679</v>
      </c>
      <c r="L59" s="72">
        <f t="shared" si="5"/>
        <v>4.2072164948453645</v>
      </c>
    </row>
    <row r="60" spans="1:12" x14ac:dyDescent="0.25">
      <c r="A60" s="3" t="s">
        <v>123</v>
      </c>
      <c r="B60" t="s">
        <v>123</v>
      </c>
      <c r="C60">
        <f>ROUND(VLOOKUP($A60,Results!$A$2:$I$437,4,FALSE),2)</f>
        <v>84.9</v>
      </c>
      <c r="D60">
        <f>ROUND(VLOOKUP($A60,Results!$A$2:$I$437,5,FALSE),2)</f>
        <v>12.7</v>
      </c>
      <c r="E60" s="72">
        <f t="shared" si="0"/>
        <v>86.987704918032776</v>
      </c>
      <c r="F60" s="72">
        <f t="shared" si="1"/>
        <v>13.012295081967212</v>
      </c>
      <c r="G60" s="72">
        <f t="shared" si="2"/>
        <v>-69.975409836065566</v>
      </c>
      <c r="H60">
        <f>ROUND(VLOOKUP($A60,Results!$A$2:$I$437,6,FALSE),2)</f>
        <v>84</v>
      </c>
      <c r="I60">
        <f>ROUND(VLOOKUP($A60,Results!$A$2:$I$437,7,FALSE),2)</f>
        <v>13</v>
      </c>
      <c r="J60" s="72">
        <f t="shared" si="3"/>
        <v>86.597938144329902</v>
      </c>
      <c r="K60" s="72">
        <f t="shared" si="4"/>
        <v>13.402061855670103</v>
      </c>
      <c r="L60" s="72">
        <f t="shared" si="5"/>
        <v>-65.895876288659807</v>
      </c>
    </row>
    <row r="61" spans="1:12" x14ac:dyDescent="0.25">
      <c r="A61" s="3" t="s">
        <v>125</v>
      </c>
      <c r="B61" t="s">
        <v>125</v>
      </c>
      <c r="C61">
        <f>ROUND(VLOOKUP($A61,Results!$A$2:$I$437,4,FALSE),2)</f>
        <v>64.900000000000006</v>
      </c>
      <c r="D61">
        <f>ROUND(VLOOKUP($A61,Results!$A$2:$I$437,5,FALSE),2)</f>
        <v>33</v>
      </c>
      <c r="E61" s="72">
        <f t="shared" si="0"/>
        <v>66.292134831460686</v>
      </c>
      <c r="F61" s="72">
        <f t="shared" si="1"/>
        <v>33.707865168539328</v>
      </c>
      <c r="G61" s="72">
        <f t="shared" si="2"/>
        <v>-28.584269662921358</v>
      </c>
      <c r="H61">
        <f>ROUND(VLOOKUP($A61,Results!$A$2:$I$437,6,FALSE),2)</f>
        <v>61</v>
      </c>
      <c r="I61">
        <f>ROUND(VLOOKUP($A61,Results!$A$2:$I$437,7,FALSE),2)</f>
        <v>35</v>
      </c>
      <c r="J61" s="72">
        <f t="shared" si="3"/>
        <v>63.541666666666664</v>
      </c>
      <c r="K61" s="72">
        <f t="shared" si="4"/>
        <v>36.458333333333329</v>
      </c>
      <c r="L61" s="72">
        <f t="shared" si="5"/>
        <v>-19.783333333333335</v>
      </c>
    </row>
    <row r="62" spans="1:12" x14ac:dyDescent="0.25">
      <c r="A62" s="3" t="s">
        <v>127</v>
      </c>
      <c r="B62" t="s">
        <v>127</v>
      </c>
      <c r="C62">
        <f>ROUND(VLOOKUP($A62,Results!$A$2:$I$437,4,FALSE),2)</f>
        <v>47.1</v>
      </c>
      <c r="D62">
        <f>ROUND(VLOOKUP($A62,Results!$A$2:$I$437,5,FALSE),2)</f>
        <v>50.8</v>
      </c>
      <c r="E62" s="72">
        <f t="shared" si="0"/>
        <v>48.110316649642492</v>
      </c>
      <c r="F62" s="72">
        <f t="shared" si="1"/>
        <v>51.889683350357508</v>
      </c>
      <c r="G62" s="72">
        <f t="shared" si="2"/>
        <v>7.7793667007150162</v>
      </c>
      <c r="H62">
        <f>ROUND(VLOOKUP($A62,Results!$A$2:$I$437,6,FALSE),2)</f>
        <v>47</v>
      </c>
      <c r="I62">
        <f>ROUND(VLOOKUP($A62,Results!$A$2:$I$437,7,FALSE),2)</f>
        <v>49</v>
      </c>
      <c r="J62" s="72">
        <f t="shared" si="3"/>
        <v>48.958333333333329</v>
      </c>
      <c r="K62" s="72">
        <f t="shared" si="4"/>
        <v>51.041666666666664</v>
      </c>
      <c r="L62" s="72">
        <f t="shared" si="5"/>
        <v>9.3833333333333364</v>
      </c>
    </row>
    <row r="63" spans="1:12" x14ac:dyDescent="0.25">
      <c r="A63" s="3" t="s">
        <v>129</v>
      </c>
      <c r="B63" t="s">
        <v>129</v>
      </c>
      <c r="C63">
        <f>ROUND(VLOOKUP($A63,Results!$A$2:$I$437,4,FALSE),2)</f>
        <v>81.5</v>
      </c>
      <c r="D63">
        <f>ROUND(VLOOKUP($A63,Results!$A$2:$I$437,5,FALSE),2)</f>
        <v>16.5</v>
      </c>
      <c r="E63" s="72">
        <f t="shared" si="0"/>
        <v>83.16326530612244</v>
      </c>
      <c r="F63" s="72">
        <f t="shared" si="1"/>
        <v>16.836734693877549</v>
      </c>
      <c r="G63" s="72">
        <f t="shared" si="2"/>
        <v>-62.326530612244895</v>
      </c>
      <c r="H63">
        <f>ROUND(VLOOKUP($A63,Results!$A$2:$I$437,6,FALSE),2)</f>
        <v>77</v>
      </c>
      <c r="I63">
        <f>ROUND(VLOOKUP($A63,Results!$A$2:$I$437,7,FALSE),2)</f>
        <v>19</v>
      </c>
      <c r="J63" s="72">
        <f t="shared" si="3"/>
        <v>80.208333333333343</v>
      </c>
      <c r="K63" s="72">
        <f t="shared" si="4"/>
        <v>19.791666666666664</v>
      </c>
      <c r="L63" s="72">
        <f t="shared" si="5"/>
        <v>-53.116666666666681</v>
      </c>
    </row>
    <row r="64" spans="1:12" x14ac:dyDescent="0.25">
      <c r="A64" s="3" t="s">
        <v>131</v>
      </c>
      <c r="B64" t="s">
        <v>131</v>
      </c>
      <c r="C64">
        <f>ROUND(VLOOKUP($A64,Results!$A$2:$I$437,4,FALSE),2)</f>
        <v>61.5</v>
      </c>
      <c r="D64">
        <f>ROUND(VLOOKUP($A64,Results!$A$2:$I$437,5,FALSE),2)</f>
        <v>36.299999999999997</v>
      </c>
      <c r="E64" s="72">
        <f t="shared" si="0"/>
        <v>62.883435582822088</v>
      </c>
      <c r="F64" s="72">
        <f t="shared" si="1"/>
        <v>37.116564417177912</v>
      </c>
      <c r="G64" s="72">
        <f t="shared" si="2"/>
        <v>-21.766871165644176</v>
      </c>
      <c r="H64">
        <f>ROUND(VLOOKUP($A64,Results!$A$2:$I$437,6,FALSE),2)</f>
        <v>59</v>
      </c>
      <c r="I64">
        <f>ROUND(VLOOKUP($A64,Results!$A$2:$I$437,7,FALSE),2)</f>
        <v>38</v>
      </c>
      <c r="J64" s="72">
        <f t="shared" si="3"/>
        <v>60.824742268041234</v>
      </c>
      <c r="K64" s="72">
        <f t="shared" si="4"/>
        <v>39.175257731958766</v>
      </c>
      <c r="L64" s="72">
        <f t="shared" si="5"/>
        <v>-14.349484536082468</v>
      </c>
    </row>
    <row r="65" spans="1:12" x14ac:dyDescent="0.25">
      <c r="A65" s="3" t="s">
        <v>133</v>
      </c>
      <c r="B65" t="s">
        <v>133</v>
      </c>
      <c r="C65">
        <f>ROUND(VLOOKUP($A65,Results!$A$2:$I$437,4,FALSE),2)</f>
        <v>41.4</v>
      </c>
      <c r="D65">
        <f>ROUND(VLOOKUP($A65,Results!$A$2:$I$437,5,FALSE),2)</f>
        <v>56.5</v>
      </c>
      <c r="E65" s="72">
        <f t="shared" si="0"/>
        <v>42.288049029622059</v>
      </c>
      <c r="F65" s="72">
        <f t="shared" si="1"/>
        <v>57.711950970377934</v>
      </c>
      <c r="G65" s="72">
        <f t="shared" si="2"/>
        <v>19.423901940755876</v>
      </c>
      <c r="H65">
        <f>ROUND(VLOOKUP($A65,Results!$A$2:$I$437,6,FALSE),2)</f>
        <v>43</v>
      </c>
      <c r="I65">
        <f>ROUND(VLOOKUP($A65,Results!$A$2:$I$437,7,FALSE),2)</f>
        <v>54</v>
      </c>
      <c r="J65" s="72">
        <f t="shared" si="3"/>
        <v>44.329896907216494</v>
      </c>
      <c r="K65" s="72">
        <f t="shared" si="4"/>
        <v>55.670103092783506</v>
      </c>
      <c r="L65" s="72">
        <f t="shared" si="5"/>
        <v>18.640206185567013</v>
      </c>
    </row>
    <row r="66" spans="1:12" x14ac:dyDescent="0.25">
      <c r="A66" s="3" t="s">
        <v>135</v>
      </c>
      <c r="B66" t="s">
        <v>135</v>
      </c>
      <c r="C66">
        <f>ROUND(VLOOKUP($A66,Results!$A$2:$I$437,4,FALSE),2)</f>
        <v>78</v>
      </c>
      <c r="D66">
        <f>ROUND(VLOOKUP($A66,Results!$A$2:$I$437,5,FALSE),2)</f>
        <v>20</v>
      </c>
      <c r="E66" s="72">
        <f t="shared" si="0"/>
        <v>79.591836734693871</v>
      </c>
      <c r="F66" s="72">
        <f t="shared" si="1"/>
        <v>20.408163265306122</v>
      </c>
      <c r="G66" s="72">
        <f t="shared" si="2"/>
        <v>-55.183673469387749</v>
      </c>
      <c r="H66">
        <f>ROUND(VLOOKUP($A66,Results!$A$2:$I$437,6,FALSE),2)</f>
        <v>75</v>
      </c>
      <c r="I66">
        <f>ROUND(VLOOKUP($A66,Results!$A$2:$I$437,7,FALSE),2)</f>
        <v>22</v>
      </c>
      <c r="J66" s="72">
        <f t="shared" si="3"/>
        <v>77.319587628865989</v>
      </c>
      <c r="K66" s="72">
        <f t="shared" si="4"/>
        <v>22.680412371134022</v>
      </c>
      <c r="L66" s="72">
        <f t="shared" si="5"/>
        <v>-47.339175257731966</v>
      </c>
    </row>
    <row r="67" spans="1:12" x14ac:dyDescent="0.25">
      <c r="A67" s="3" t="s">
        <v>137</v>
      </c>
      <c r="B67" t="s">
        <v>137</v>
      </c>
      <c r="C67">
        <f>ROUND(VLOOKUP($A67,Results!$A$2:$I$437,4,FALSE),2)</f>
        <v>84.7</v>
      </c>
      <c r="D67">
        <f>ROUND(VLOOKUP($A67,Results!$A$2:$I$437,5,FALSE),2)</f>
        <v>13.6</v>
      </c>
      <c r="E67" s="72">
        <f t="shared" si="0"/>
        <v>86.1648016276704</v>
      </c>
      <c r="F67" s="72">
        <f t="shared" si="1"/>
        <v>13.835198372329604</v>
      </c>
      <c r="G67" s="72">
        <f t="shared" si="2"/>
        <v>-68.3296032553408</v>
      </c>
      <c r="H67">
        <f>ROUND(VLOOKUP($A67,Results!$A$2:$I$437,6,FALSE),2)</f>
        <v>81</v>
      </c>
      <c r="I67">
        <f>ROUND(VLOOKUP($A67,Results!$A$2:$I$437,7,FALSE),2)</f>
        <v>16</v>
      </c>
      <c r="J67" s="72">
        <f t="shared" si="3"/>
        <v>83.505154639175259</v>
      </c>
      <c r="K67" s="72">
        <f t="shared" si="4"/>
        <v>16.494845360824741</v>
      </c>
      <c r="L67" s="72">
        <f t="shared" si="5"/>
        <v>-59.710309278350522</v>
      </c>
    </row>
    <row r="68" spans="1:12" x14ac:dyDescent="0.25">
      <c r="A68" s="3" t="s">
        <v>139</v>
      </c>
      <c r="B68" t="s">
        <v>139</v>
      </c>
      <c r="C68">
        <f>ROUND(VLOOKUP($A68,Results!$A$2:$I$437,4,FALSE),2)</f>
        <v>43</v>
      </c>
      <c r="D68">
        <f>ROUND(VLOOKUP($A68,Results!$A$2:$I$437,5,FALSE),2)</f>
        <v>54.8</v>
      </c>
      <c r="E68" s="72">
        <f t="shared" ref="E68:E131" si="6">C68/SUM(C68:D68)*100</f>
        <v>43.967280163599185</v>
      </c>
      <c r="F68" s="72">
        <f t="shared" ref="F68:F131" si="7">D68/SUM(C68:D68)*100</f>
        <v>56.032719836400815</v>
      </c>
      <c r="G68" s="72">
        <f t="shared" ref="G68:G131" si="8">F68-E68+4</f>
        <v>16.065439672801631</v>
      </c>
      <c r="H68">
        <f>ROUND(VLOOKUP($A68,Results!$A$2:$I$437,6,FALSE),2)</f>
        <v>46</v>
      </c>
      <c r="I68">
        <f>ROUND(VLOOKUP($A68,Results!$A$2:$I$437,7,FALSE),2)</f>
        <v>51</v>
      </c>
      <c r="J68" s="72">
        <f t="shared" ref="J68:J131" si="9">H68/SUM(H68:I68)*100</f>
        <v>47.422680412371129</v>
      </c>
      <c r="K68" s="72">
        <f t="shared" ref="K68:K131" si="10">I68/SUM(H68:I68)*100</f>
        <v>52.577319587628871</v>
      </c>
      <c r="L68" s="72">
        <f t="shared" ref="L68:L131" si="11">K68-J68+7.3</f>
        <v>12.454639175257743</v>
      </c>
    </row>
    <row r="69" spans="1:12" x14ac:dyDescent="0.25">
      <c r="A69" s="3" t="s">
        <v>141</v>
      </c>
      <c r="B69" t="s">
        <v>141</v>
      </c>
      <c r="C69">
        <f>ROUND(VLOOKUP($A69,Results!$A$2:$I$437,4,FALSE),2)</f>
        <v>61.4</v>
      </c>
      <c r="D69">
        <f>ROUND(VLOOKUP($A69,Results!$A$2:$I$437,5,FALSE),2)</f>
        <v>36.200000000000003</v>
      </c>
      <c r="E69" s="72">
        <f t="shared" si="6"/>
        <v>62.909836065573778</v>
      </c>
      <c r="F69" s="72">
        <f t="shared" si="7"/>
        <v>37.090163934426236</v>
      </c>
      <c r="G69" s="72">
        <f t="shared" si="8"/>
        <v>-21.819672131147541</v>
      </c>
      <c r="H69">
        <f>ROUND(VLOOKUP($A69,Results!$A$2:$I$437,6,FALSE),2)</f>
        <v>58</v>
      </c>
      <c r="I69">
        <f>ROUND(VLOOKUP($A69,Results!$A$2:$I$437,7,FALSE),2)</f>
        <v>39</v>
      </c>
      <c r="J69" s="72">
        <f t="shared" si="9"/>
        <v>59.793814432989691</v>
      </c>
      <c r="K69" s="72">
        <f t="shared" si="10"/>
        <v>40.206185567010309</v>
      </c>
      <c r="L69" s="72">
        <f t="shared" si="11"/>
        <v>-12.287628865979382</v>
      </c>
    </row>
    <row r="70" spans="1:12" x14ac:dyDescent="0.25">
      <c r="A70" s="3" t="s">
        <v>143</v>
      </c>
      <c r="B70" t="s">
        <v>143</v>
      </c>
      <c r="C70">
        <f>ROUND(VLOOKUP($A70,Results!$A$2:$I$437,4,FALSE),2)</f>
        <v>60</v>
      </c>
      <c r="D70">
        <f>ROUND(VLOOKUP($A70,Results!$A$2:$I$437,5,FALSE),2)</f>
        <v>37.5</v>
      </c>
      <c r="E70" s="72">
        <f t="shared" si="6"/>
        <v>61.53846153846154</v>
      </c>
      <c r="F70" s="72">
        <f t="shared" si="7"/>
        <v>38.461538461538467</v>
      </c>
      <c r="G70" s="72">
        <f t="shared" si="8"/>
        <v>-19.076923076923073</v>
      </c>
      <c r="H70">
        <f>ROUND(VLOOKUP($A70,Results!$A$2:$I$437,6,FALSE),2)</f>
        <v>58</v>
      </c>
      <c r="I70">
        <f>ROUND(VLOOKUP($A70,Results!$A$2:$I$437,7,FALSE),2)</f>
        <v>39</v>
      </c>
      <c r="J70" s="72">
        <f t="shared" si="9"/>
        <v>59.793814432989691</v>
      </c>
      <c r="K70" s="72">
        <f t="shared" si="10"/>
        <v>40.206185567010309</v>
      </c>
      <c r="L70" s="72">
        <f t="shared" si="11"/>
        <v>-12.287628865979382</v>
      </c>
    </row>
    <row r="71" spans="1:12" x14ac:dyDescent="0.25">
      <c r="A71" s="3" t="s">
        <v>145</v>
      </c>
      <c r="B71" t="s">
        <v>145</v>
      </c>
      <c r="C71">
        <f>ROUND(VLOOKUP($A71,Results!$A$2:$I$437,4,FALSE),2)</f>
        <v>43</v>
      </c>
      <c r="D71">
        <f>ROUND(VLOOKUP($A71,Results!$A$2:$I$437,5,FALSE),2)</f>
        <v>54.7</v>
      </c>
      <c r="E71" s="72">
        <f t="shared" si="6"/>
        <v>44.012282497441149</v>
      </c>
      <c r="F71" s="72">
        <f t="shared" si="7"/>
        <v>55.987717502558851</v>
      </c>
      <c r="G71" s="72">
        <f t="shared" si="8"/>
        <v>15.975435005117703</v>
      </c>
      <c r="H71">
        <f>ROUND(VLOOKUP($A71,Results!$A$2:$I$437,6,FALSE),2)</f>
        <v>46</v>
      </c>
      <c r="I71">
        <f>ROUND(VLOOKUP($A71,Results!$A$2:$I$437,7,FALSE),2)</f>
        <v>51</v>
      </c>
      <c r="J71" s="72">
        <f t="shared" si="9"/>
        <v>47.422680412371129</v>
      </c>
      <c r="K71" s="72">
        <f t="shared" si="10"/>
        <v>52.577319587628871</v>
      </c>
      <c r="L71" s="72">
        <f t="shared" si="11"/>
        <v>12.454639175257743</v>
      </c>
    </row>
    <row r="72" spans="1:12" x14ac:dyDescent="0.25">
      <c r="A72" s="3" t="s">
        <v>147</v>
      </c>
      <c r="B72" t="s">
        <v>147</v>
      </c>
      <c r="C72">
        <f>ROUND(VLOOKUP($A72,Results!$A$2:$I$437,4,FALSE),2)</f>
        <v>45.7</v>
      </c>
      <c r="D72">
        <f>ROUND(VLOOKUP($A72,Results!$A$2:$I$437,5,FALSE),2)</f>
        <v>52.4</v>
      </c>
      <c r="E72" s="72">
        <f t="shared" si="6"/>
        <v>46.585117227319067</v>
      </c>
      <c r="F72" s="72">
        <f t="shared" si="7"/>
        <v>53.41488277268094</v>
      </c>
      <c r="G72" s="72">
        <f t="shared" si="8"/>
        <v>10.829765545361873</v>
      </c>
      <c r="H72">
        <f>ROUND(VLOOKUP($A72,Results!$A$2:$I$437,6,FALSE),2)</f>
        <v>49</v>
      </c>
      <c r="I72">
        <f>ROUND(VLOOKUP($A72,Results!$A$2:$I$437,7,FALSE),2)</f>
        <v>48</v>
      </c>
      <c r="J72" s="72">
        <f t="shared" si="9"/>
        <v>50.515463917525771</v>
      </c>
      <c r="K72" s="72">
        <f t="shared" si="10"/>
        <v>49.484536082474229</v>
      </c>
      <c r="L72" s="72">
        <f t="shared" si="11"/>
        <v>6.2690721649484571</v>
      </c>
    </row>
    <row r="73" spans="1:12" x14ac:dyDescent="0.25">
      <c r="A73" s="3" t="s">
        <v>149</v>
      </c>
      <c r="B73" t="s">
        <v>149</v>
      </c>
      <c r="C73">
        <f>ROUND(VLOOKUP($A73,Results!$A$2:$I$437,4,FALSE),2)</f>
        <v>37.6</v>
      </c>
      <c r="D73">
        <f>ROUND(VLOOKUP($A73,Results!$A$2:$I$437,5,FALSE),2)</f>
        <v>60.4</v>
      </c>
      <c r="E73" s="72">
        <f t="shared" si="6"/>
        <v>38.367346938775512</v>
      </c>
      <c r="F73" s="72">
        <f t="shared" si="7"/>
        <v>61.632653061224488</v>
      </c>
      <c r="G73" s="72">
        <f t="shared" si="8"/>
        <v>27.265306122448976</v>
      </c>
      <c r="H73">
        <f>ROUND(VLOOKUP($A73,Results!$A$2:$I$437,6,FALSE),2)</f>
        <v>39</v>
      </c>
      <c r="I73">
        <f>ROUND(VLOOKUP($A73,Results!$A$2:$I$437,7,FALSE),2)</f>
        <v>58</v>
      </c>
      <c r="J73" s="72">
        <f t="shared" si="9"/>
        <v>40.206185567010309</v>
      </c>
      <c r="K73" s="72">
        <f t="shared" si="10"/>
        <v>59.793814432989691</v>
      </c>
      <c r="L73" s="72">
        <f t="shared" si="11"/>
        <v>26.887628865979384</v>
      </c>
    </row>
    <row r="74" spans="1:12" x14ac:dyDescent="0.25">
      <c r="A74" s="3" t="s">
        <v>151</v>
      </c>
      <c r="B74" t="s">
        <v>151</v>
      </c>
      <c r="C74">
        <f>ROUND(VLOOKUP($A74,Results!$A$2:$I$437,4,FALSE),2)</f>
        <v>69.400000000000006</v>
      </c>
      <c r="D74">
        <f>ROUND(VLOOKUP($A74,Results!$A$2:$I$437,5,FALSE),2)</f>
        <v>28.9</v>
      </c>
      <c r="E74" s="72">
        <f t="shared" si="6"/>
        <v>70.600203458799598</v>
      </c>
      <c r="F74" s="72">
        <f t="shared" si="7"/>
        <v>29.399796541200402</v>
      </c>
      <c r="G74" s="72">
        <f t="shared" si="8"/>
        <v>-37.200406917599196</v>
      </c>
      <c r="H74">
        <f>ROUND(VLOOKUP($A74,Results!$A$2:$I$437,6,FALSE),2)</f>
        <v>65</v>
      </c>
      <c r="I74">
        <f>ROUND(VLOOKUP($A74,Results!$A$2:$I$437,7,FALSE),2)</f>
        <v>32</v>
      </c>
      <c r="J74" s="72">
        <f t="shared" si="9"/>
        <v>67.010309278350505</v>
      </c>
      <c r="K74" s="72">
        <f t="shared" si="10"/>
        <v>32.989690721649481</v>
      </c>
      <c r="L74" s="72">
        <f t="shared" si="11"/>
        <v>-26.720618556701023</v>
      </c>
    </row>
    <row r="75" spans="1:12" x14ac:dyDescent="0.25">
      <c r="A75" s="3" t="s">
        <v>153</v>
      </c>
      <c r="B75" t="s">
        <v>153</v>
      </c>
      <c r="C75">
        <f>ROUND(VLOOKUP($A75,Results!$A$2:$I$437,4,FALSE),2)</f>
        <v>52.1</v>
      </c>
      <c r="D75">
        <f>ROUND(VLOOKUP($A75,Results!$A$2:$I$437,5,FALSE),2)</f>
        <v>45.7</v>
      </c>
      <c r="E75" s="72">
        <f t="shared" si="6"/>
        <v>53.2719836400818</v>
      </c>
      <c r="F75" s="72">
        <f t="shared" si="7"/>
        <v>46.728016359918193</v>
      </c>
      <c r="G75" s="72">
        <f t="shared" si="8"/>
        <v>-2.5439672801636064</v>
      </c>
      <c r="H75">
        <f>ROUND(VLOOKUP($A75,Results!$A$2:$I$437,6,FALSE),2)</f>
        <v>55</v>
      </c>
      <c r="I75">
        <f>ROUND(VLOOKUP($A75,Results!$A$2:$I$437,7,FALSE),2)</f>
        <v>43</v>
      </c>
      <c r="J75" s="72">
        <f t="shared" si="9"/>
        <v>56.12244897959183</v>
      </c>
      <c r="K75" s="72">
        <f t="shared" si="10"/>
        <v>43.877551020408163</v>
      </c>
      <c r="L75" s="72">
        <f t="shared" si="11"/>
        <v>-4.9448979591836677</v>
      </c>
    </row>
    <row r="76" spans="1:12" x14ac:dyDescent="0.25">
      <c r="A76" s="3" t="s">
        <v>155</v>
      </c>
      <c r="B76" t="s">
        <v>155</v>
      </c>
      <c r="C76">
        <f>ROUND(VLOOKUP($A76,Results!$A$2:$I$437,4,FALSE),2)</f>
        <v>61.4</v>
      </c>
      <c r="D76">
        <f>ROUND(VLOOKUP($A76,Results!$A$2:$I$437,5,FALSE),2)</f>
        <v>36.4</v>
      </c>
      <c r="E76" s="72">
        <f t="shared" si="6"/>
        <v>62.781186094069533</v>
      </c>
      <c r="F76" s="72">
        <f t="shared" si="7"/>
        <v>37.218813905930467</v>
      </c>
      <c r="G76" s="72">
        <f t="shared" si="8"/>
        <v>-21.562372188139065</v>
      </c>
      <c r="H76">
        <f>ROUND(VLOOKUP($A76,Results!$A$2:$I$437,6,FALSE),2)</f>
        <v>61</v>
      </c>
      <c r="I76">
        <f>ROUND(VLOOKUP($A76,Results!$A$2:$I$437,7,FALSE),2)</f>
        <v>36</v>
      </c>
      <c r="J76" s="72">
        <f t="shared" si="9"/>
        <v>62.886597938144327</v>
      </c>
      <c r="K76" s="72">
        <f t="shared" si="10"/>
        <v>37.113402061855673</v>
      </c>
      <c r="L76" s="72">
        <f t="shared" si="11"/>
        <v>-18.473195876288653</v>
      </c>
    </row>
    <row r="77" spans="1:12" x14ac:dyDescent="0.25">
      <c r="A77" s="3" t="s">
        <v>157</v>
      </c>
      <c r="B77" t="s">
        <v>157</v>
      </c>
      <c r="C77">
        <f>ROUND(VLOOKUP($A77,Results!$A$2:$I$437,4,FALSE),2)</f>
        <v>69</v>
      </c>
      <c r="D77">
        <f>ROUND(VLOOKUP($A77,Results!$A$2:$I$437,5,FALSE),2)</f>
        <v>28.8</v>
      </c>
      <c r="E77" s="72">
        <f t="shared" si="6"/>
        <v>70.552147239263803</v>
      </c>
      <c r="F77" s="72">
        <f t="shared" si="7"/>
        <v>29.447852760736197</v>
      </c>
      <c r="G77" s="72">
        <f t="shared" si="8"/>
        <v>-37.104294478527606</v>
      </c>
      <c r="H77">
        <f>ROUND(VLOOKUP($A77,Results!$A$2:$I$437,6,FALSE),2)</f>
        <v>70.900000000000006</v>
      </c>
      <c r="I77">
        <f>ROUND(VLOOKUP($A77,Results!$A$2:$I$437,7,FALSE),2)</f>
        <v>27.6</v>
      </c>
      <c r="J77" s="72">
        <f t="shared" si="9"/>
        <v>71.979695431472095</v>
      </c>
      <c r="K77" s="72">
        <f t="shared" si="10"/>
        <v>28.020304568527919</v>
      </c>
      <c r="L77" s="72">
        <f t="shared" si="11"/>
        <v>-36.659390862944178</v>
      </c>
    </row>
    <row r="78" spans="1:12" x14ac:dyDescent="0.25">
      <c r="A78" s="3" t="s">
        <v>159</v>
      </c>
      <c r="B78" t="s">
        <v>159</v>
      </c>
      <c r="C78">
        <f>ROUND(VLOOKUP($A78,Results!$A$2:$I$437,4,FALSE),2)</f>
        <v>57.9</v>
      </c>
      <c r="D78">
        <f>ROUND(VLOOKUP($A78,Results!$A$2:$I$437,5,FALSE),2)</f>
        <v>39.5</v>
      </c>
      <c r="E78" s="72">
        <f t="shared" si="6"/>
        <v>59.445585215605746</v>
      </c>
      <c r="F78" s="72">
        <f t="shared" si="7"/>
        <v>40.554414784394247</v>
      </c>
      <c r="G78" s="72">
        <f t="shared" si="8"/>
        <v>-14.891170431211499</v>
      </c>
      <c r="H78">
        <f>ROUND(VLOOKUP($A78,Results!$A$2:$I$437,6,FALSE),2)</f>
        <v>61.2</v>
      </c>
      <c r="I78">
        <f>ROUND(VLOOKUP($A78,Results!$A$2:$I$437,7,FALSE),2)</f>
        <v>37.200000000000003</v>
      </c>
      <c r="J78" s="72">
        <f t="shared" si="9"/>
        <v>62.195121951219512</v>
      </c>
      <c r="K78" s="72">
        <f t="shared" si="10"/>
        <v>37.804878048780488</v>
      </c>
      <c r="L78" s="72">
        <f t="shared" si="11"/>
        <v>-17.090243902439024</v>
      </c>
    </row>
    <row r="79" spans="1:12" x14ac:dyDescent="0.25">
      <c r="A79" s="3" t="s">
        <v>161</v>
      </c>
      <c r="B79" t="s">
        <v>161</v>
      </c>
      <c r="C79">
        <f>ROUND(VLOOKUP($A79,Results!$A$2:$I$437,4,FALSE),2)</f>
        <v>45.8</v>
      </c>
      <c r="D79">
        <f>ROUND(VLOOKUP($A79,Results!$A$2:$I$437,5,FALSE),2)</f>
        <v>51.8</v>
      </c>
      <c r="E79" s="72">
        <f t="shared" si="6"/>
        <v>46.92622950819672</v>
      </c>
      <c r="F79" s="72">
        <f t="shared" si="7"/>
        <v>53.073770491803273</v>
      </c>
      <c r="G79" s="72">
        <f t="shared" si="8"/>
        <v>10.147540983606554</v>
      </c>
      <c r="H79">
        <f>ROUND(VLOOKUP($A79,Results!$A$2:$I$437,6,FALSE),2)</f>
        <v>48.4</v>
      </c>
      <c r="I79">
        <f>ROUND(VLOOKUP($A79,Results!$A$2:$I$437,7,FALSE),2)</f>
        <v>49.9</v>
      </c>
      <c r="J79" s="72">
        <f t="shared" si="9"/>
        <v>49.237029501525939</v>
      </c>
      <c r="K79" s="72">
        <f t="shared" si="10"/>
        <v>50.762970498474061</v>
      </c>
      <c r="L79" s="72">
        <f t="shared" si="11"/>
        <v>8.8259409969481233</v>
      </c>
    </row>
    <row r="80" spans="1:12" x14ac:dyDescent="0.25">
      <c r="A80" s="3" t="s">
        <v>163</v>
      </c>
      <c r="B80" t="s">
        <v>163</v>
      </c>
      <c r="C80">
        <f>ROUND(VLOOKUP($A80,Results!$A$2:$I$437,4,FALSE),2)</f>
        <v>39.200000000000003</v>
      </c>
      <c r="D80">
        <f>ROUND(VLOOKUP($A80,Results!$A$2:$I$437,5,FALSE),2)</f>
        <v>58.5</v>
      </c>
      <c r="E80" s="72">
        <f t="shared" si="6"/>
        <v>40.122824974411465</v>
      </c>
      <c r="F80" s="72">
        <f t="shared" si="7"/>
        <v>59.877175025588535</v>
      </c>
      <c r="G80" s="72">
        <f t="shared" si="8"/>
        <v>23.75435005117707</v>
      </c>
      <c r="H80">
        <f>ROUND(VLOOKUP($A80,Results!$A$2:$I$437,6,FALSE),2)</f>
        <v>41.9</v>
      </c>
      <c r="I80">
        <f>ROUND(VLOOKUP($A80,Results!$A$2:$I$437,7,FALSE),2)</f>
        <v>56.4</v>
      </c>
      <c r="J80" s="72">
        <f t="shared" si="9"/>
        <v>42.624618514750765</v>
      </c>
      <c r="K80" s="72">
        <f t="shared" si="10"/>
        <v>57.375381485249235</v>
      </c>
      <c r="L80" s="72">
        <f t="shared" si="11"/>
        <v>22.050762970498472</v>
      </c>
    </row>
    <row r="81" spans="1:12" x14ac:dyDescent="0.25">
      <c r="A81" s="3" t="s">
        <v>165</v>
      </c>
      <c r="B81" t="s">
        <v>165</v>
      </c>
      <c r="C81">
        <f>ROUND(VLOOKUP($A81,Results!$A$2:$I$437,4,FALSE),2)</f>
        <v>38.299999999999997</v>
      </c>
      <c r="D81">
        <f>ROUND(VLOOKUP($A81,Results!$A$2:$I$437,5,FALSE),2)</f>
        <v>59.1</v>
      </c>
      <c r="E81" s="72">
        <f t="shared" si="6"/>
        <v>39.322381930184804</v>
      </c>
      <c r="F81" s="72">
        <f t="shared" si="7"/>
        <v>60.677618069815196</v>
      </c>
      <c r="G81" s="72">
        <f t="shared" si="8"/>
        <v>25.355236139630392</v>
      </c>
      <c r="H81">
        <f>ROUND(VLOOKUP($A81,Results!$A$2:$I$437,6,FALSE),2)</f>
        <v>39.700000000000003</v>
      </c>
      <c r="I81">
        <f>ROUND(VLOOKUP($A81,Results!$A$2:$I$437,7,FALSE),2)</f>
        <v>58.8</v>
      </c>
      <c r="J81" s="72">
        <f t="shared" si="9"/>
        <v>40.304568527918782</v>
      </c>
      <c r="K81" s="72">
        <f t="shared" si="10"/>
        <v>59.695431472081218</v>
      </c>
      <c r="L81" s="72">
        <f t="shared" si="11"/>
        <v>26.690862944162436</v>
      </c>
    </row>
    <row r="82" spans="1:12" x14ac:dyDescent="0.25">
      <c r="A82" s="3" t="s">
        <v>167</v>
      </c>
      <c r="B82" t="s">
        <v>167</v>
      </c>
      <c r="C82">
        <f>ROUND(VLOOKUP($A82,Results!$A$2:$I$437,4,FALSE),2)</f>
        <v>51.6</v>
      </c>
      <c r="D82">
        <f>ROUND(VLOOKUP($A82,Results!$A$2:$I$437,5,FALSE),2)</f>
        <v>46.5</v>
      </c>
      <c r="E82" s="72">
        <f t="shared" si="6"/>
        <v>52.599388379204889</v>
      </c>
      <c r="F82" s="72">
        <f t="shared" si="7"/>
        <v>47.400611620795111</v>
      </c>
      <c r="G82" s="72">
        <f t="shared" si="8"/>
        <v>-1.1987767584097782</v>
      </c>
      <c r="H82">
        <f>ROUND(VLOOKUP($A82,Results!$A$2:$I$437,6,FALSE),2)</f>
        <v>53.6</v>
      </c>
      <c r="I82">
        <f>ROUND(VLOOKUP($A82,Results!$A$2:$I$437,7,FALSE),2)</f>
        <v>44.9</v>
      </c>
      <c r="J82" s="72">
        <f t="shared" si="9"/>
        <v>54.416243654822338</v>
      </c>
      <c r="K82" s="72">
        <f t="shared" si="10"/>
        <v>45.583756345177662</v>
      </c>
      <c r="L82" s="72">
        <f t="shared" si="11"/>
        <v>-1.5324873096446767</v>
      </c>
    </row>
    <row r="83" spans="1:12" x14ac:dyDescent="0.25">
      <c r="A83" s="3" t="s">
        <v>169</v>
      </c>
      <c r="B83" t="s">
        <v>169</v>
      </c>
      <c r="C83">
        <f>ROUND(VLOOKUP($A83,Results!$A$2:$I$437,4,FALSE),2)</f>
        <v>56.1</v>
      </c>
      <c r="D83">
        <f>ROUND(VLOOKUP($A83,Results!$A$2:$I$437,5,FALSE),2)</f>
        <v>41.3</v>
      </c>
      <c r="E83" s="72">
        <f t="shared" si="6"/>
        <v>57.597535934291578</v>
      </c>
      <c r="F83" s="72">
        <f t="shared" si="7"/>
        <v>42.402464065708415</v>
      </c>
      <c r="G83" s="72">
        <f t="shared" si="8"/>
        <v>-11.195071868583163</v>
      </c>
      <c r="H83">
        <f>ROUND(VLOOKUP($A83,Results!$A$2:$I$437,6,FALSE),2)</f>
        <v>57.4</v>
      </c>
      <c r="I83">
        <f>ROUND(VLOOKUP($A83,Results!$A$2:$I$437,7,FALSE),2)</f>
        <v>40.700000000000003</v>
      </c>
      <c r="J83" s="72">
        <f t="shared" si="9"/>
        <v>58.511722731906225</v>
      </c>
      <c r="K83" s="72">
        <f t="shared" si="10"/>
        <v>41.488277268093789</v>
      </c>
      <c r="L83" s="72">
        <f t="shared" si="11"/>
        <v>-9.7234454638124355</v>
      </c>
    </row>
    <row r="84" spans="1:12" x14ac:dyDescent="0.25">
      <c r="A84" s="3" t="s">
        <v>171</v>
      </c>
      <c r="B84" t="s">
        <v>171</v>
      </c>
      <c r="C84">
        <f>ROUND(VLOOKUP($A84,Results!$A$2:$I$437,4,FALSE),2)</f>
        <v>63.3</v>
      </c>
      <c r="D84">
        <f>ROUND(VLOOKUP($A84,Results!$A$2:$I$437,5,FALSE),2)</f>
        <v>35.6</v>
      </c>
      <c r="E84" s="72">
        <f t="shared" si="6"/>
        <v>64.004044489383205</v>
      </c>
      <c r="F84" s="72">
        <f t="shared" si="7"/>
        <v>35.995955510616781</v>
      </c>
      <c r="G84" s="72">
        <f t="shared" si="8"/>
        <v>-24.008088978766423</v>
      </c>
      <c r="H84">
        <f>ROUND(VLOOKUP($A84,Results!$A$2:$I$437,6,FALSE),2)</f>
        <v>65.8</v>
      </c>
      <c r="I84">
        <f>ROUND(VLOOKUP($A84,Results!$A$2:$I$437,7,FALSE),2)</f>
        <v>32.9</v>
      </c>
      <c r="J84" s="72">
        <f t="shared" si="9"/>
        <v>66.666666666666671</v>
      </c>
      <c r="K84" s="72">
        <f t="shared" si="10"/>
        <v>33.333333333333336</v>
      </c>
      <c r="L84" s="72">
        <f t="shared" si="11"/>
        <v>-26.033333333333335</v>
      </c>
    </row>
    <row r="85" spans="1:12" x14ac:dyDescent="0.25">
      <c r="A85" s="3" t="s">
        <v>173</v>
      </c>
      <c r="B85" t="s">
        <v>173</v>
      </c>
      <c r="C85">
        <f>ROUND(VLOOKUP($A85,Results!$A$2:$I$437,4,FALSE),2)</f>
        <v>55.9</v>
      </c>
      <c r="D85">
        <f>ROUND(VLOOKUP($A85,Results!$A$2:$I$437,5,FALSE),2)</f>
        <v>42.6</v>
      </c>
      <c r="E85" s="72">
        <f t="shared" si="6"/>
        <v>56.751269035532992</v>
      </c>
      <c r="F85" s="72">
        <f t="shared" si="7"/>
        <v>43.248730964467008</v>
      </c>
      <c r="G85" s="72">
        <f t="shared" si="8"/>
        <v>-9.5025380710659846</v>
      </c>
      <c r="H85">
        <f>ROUND(VLOOKUP($A85,Results!$A$2:$I$437,6,FALSE),2)</f>
        <v>58.6</v>
      </c>
      <c r="I85">
        <f>ROUND(VLOOKUP($A85,Results!$A$2:$I$437,7,FALSE),2)</f>
        <v>40</v>
      </c>
      <c r="J85" s="72">
        <f t="shared" si="9"/>
        <v>59.43204868154158</v>
      </c>
      <c r="K85" s="72">
        <f t="shared" si="10"/>
        <v>40.56795131845842</v>
      </c>
      <c r="L85" s="72">
        <f t="shared" si="11"/>
        <v>-11.56409736308316</v>
      </c>
    </row>
    <row r="86" spans="1:12" x14ac:dyDescent="0.25">
      <c r="A86" s="3" t="s">
        <v>175</v>
      </c>
      <c r="B86" t="s">
        <v>175</v>
      </c>
      <c r="C86">
        <f>ROUND(VLOOKUP($A86,Results!$A$2:$I$437,4,FALSE),2)</f>
        <v>62.6</v>
      </c>
      <c r="D86">
        <f>ROUND(VLOOKUP($A86,Results!$A$2:$I$437,5,FALSE),2)</f>
        <v>36.299999999999997</v>
      </c>
      <c r="E86" s="72">
        <f t="shared" si="6"/>
        <v>63.296258847320516</v>
      </c>
      <c r="F86" s="72">
        <f t="shared" si="7"/>
        <v>36.70374115267947</v>
      </c>
      <c r="G86" s="72">
        <f t="shared" si="8"/>
        <v>-22.592517694641046</v>
      </c>
      <c r="H86">
        <f>ROUND(VLOOKUP($A86,Results!$A$2:$I$437,6,FALSE),2)</f>
        <v>62.6</v>
      </c>
      <c r="I86">
        <f>ROUND(VLOOKUP($A86,Results!$A$2:$I$437,7,FALSE),2)</f>
        <v>36.200000000000003</v>
      </c>
      <c r="J86" s="72">
        <f t="shared" si="9"/>
        <v>63.360323886639669</v>
      </c>
      <c r="K86" s="72">
        <f t="shared" si="10"/>
        <v>36.639676113360323</v>
      </c>
      <c r="L86" s="72">
        <f t="shared" si="11"/>
        <v>-19.420647773279345</v>
      </c>
    </row>
    <row r="87" spans="1:12" x14ac:dyDescent="0.25">
      <c r="A87" s="3" t="s">
        <v>177</v>
      </c>
      <c r="B87" t="s">
        <v>177</v>
      </c>
      <c r="C87">
        <f>ROUND(VLOOKUP($A87,Results!$A$2:$I$437,4,FALSE),2)</f>
        <v>55.1</v>
      </c>
      <c r="D87">
        <f>ROUND(VLOOKUP($A87,Results!$A$2:$I$437,5,FALSE),2)</f>
        <v>44</v>
      </c>
      <c r="E87" s="72">
        <f t="shared" si="6"/>
        <v>55.600403632694253</v>
      </c>
      <c r="F87" s="72">
        <f t="shared" si="7"/>
        <v>44.399596367305755</v>
      </c>
      <c r="G87" s="72">
        <f t="shared" si="8"/>
        <v>-7.200807265388498</v>
      </c>
      <c r="H87">
        <f>ROUND(VLOOKUP($A87,Results!$A$2:$I$437,6,FALSE),2)</f>
        <v>59.6</v>
      </c>
      <c r="I87">
        <f>ROUND(VLOOKUP($A87,Results!$A$2:$I$437,7,FALSE),2)</f>
        <v>39.700000000000003</v>
      </c>
      <c r="J87" s="72">
        <f t="shared" si="9"/>
        <v>60.020140986908352</v>
      </c>
      <c r="K87" s="72">
        <f t="shared" si="10"/>
        <v>39.979859013091641</v>
      </c>
      <c r="L87" s="72">
        <f t="shared" si="11"/>
        <v>-12.74028197381671</v>
      </c>
    </row>
    <row r="88" spans="1:12" x14ac:dyDescent="0.25">
      <c r="A88" s="3" t="s">
        <v>179</v>
      </c>
      <c r="B88" t="s">
        <v>179</v>
      </c>
      <c r="C88">
        <f>ROUND(VLOOKUP($A88,Results!$A$2:$I$437,4,FALSE),2)</f>
        <v>53.5</v>
      </c>
      <c r="D88">
        <f>ROUND(VLOOKUP($A88,Results!$A$2:$I$437,5,FALSE),2)</f>
        <v>45.3</v>
      </c>
      <c r="E88" s="72">
        <f t="shared" si="6"/>
        <v>54.149797570850197</v>
      </c>
      <c r="F88" s="72">
        <f t="shared" si="7"/>
        <v>45.850202429149796</v>
      </c>
      <c r="G88" s="72">
        <f t="shared" si="8"/>
        <v>-4.2995951417004008</v>
      </c>
      <c r="H88">
        <f>ROUND(VLOOKUP($A88,Results!$A$2:$I$437,6,FALSE),2)</f>
        <v>56.4</v>
      </c>
      <c r="I88">
        <f>ROUND(VLOOKUP($A88,Results!$A$2:$I$437,7,FALSE),2)</f>
        <v>42.4</v>
      </c>
      <c r="J88" s="72">
        <f t="shared" si="9"/>
        <v>57.085020242914972</v>
      </c>
      <c r="K88" s="72">
        <f t="shared" si="10"/>
        <v>42.914979757085021</v>
      </c>
      <c r="L88" s="72">
        <f t="shared" si="11"/>
        <v>-6.8700404858299509</v>
      </c>
    </row>
    <row r="89" spans="1:12" x14ac:dyDescent="0.25">
      <c r="A89" s="3" t="s">
        <v>181</v>
      </c>
      <c r="B89" t="s">
        <v>1173</v>
      </c>
      <c r="C89">
        <f>ROUND(VLOOKUP($A89,Results!$A$2:$I$437,4,FALSE),2)</f>
        <v>58.6</v>
      </c>
      <c r="D89">
        <f>ROUND(VLOOKUP($A89,Results!$A$2:$I$437,5,FALSE),2)</f>
        <v>40</v>
      </c>
      <c r="E89" s="72">
        <f t="shared" si="6"/>
        <v>59.43204868154158</v>
      </c>
      <c r="F89" s="72">
        <f t="shared" si="7"/>
        <v>40.56795131845842</v>
      </c>
      <c r="G89" s="72">
        <f t="shared" si="8"/>
        <v>-14.864097363083161</v>
      </c>
      <c r="H89">
        <f>ROUND(VLOOKUP($A89,Results!$A$2:$I$437,6,FALSE),2)</f>
        <v>61.9</v>
      </c>
      <c r="I89">
        <f>ROUND(VLOOKUP($A89,Results!$A$2:$I$437,7,FALSE),2)</f>
        <v>36.9</v>
      </c>
      <c r="J89" s="72">
        <f t="shared" si="9"/>
        <v>62.651821862348179</v>
      </c>
      <c r="K89" s="72">
        <f t="shared" si="10"/>
        <v>37.348178137651821</v>
      </c>
      <c r="L89" s="72">
        <f t="shared" si="11"/>
        <v>-18.003643724696357</v>
      </c>
    </row>
    <row r="90" spans="1:12" x14ac:dyDescent="0.25">
      <c r="A90" s="3" t="s">
        <v>183</v>
      </c>
      <c r="B90" t="s">
        <v>183</v>
      </c>
      <c r="C90">
        <f>ROUND(VLOOKUP($A90,Results!$A$2:$I$437,4,FALSE),2)</f>
        <v>30.2</v>
      </c>
      <c r="D90">
        <f>ROUND(VLOOKUP($A90,Results!$A$2:$I$437,5,FALSE),2)</f>
        <v>68.7</v>
      </c>
      <c r="E90" s="72">
        <f t="shared" si="6"/>
        <v>30.535894843276033</v>
      </c>
      <c r="F90" s="72">
        <f t="shared" si="7"/>
        <v>69.46410515672396</v>
      </c>
      <c r="G90" s="72">
        <f t="shared" si="8"/>
        <v>42.928210313447927</v>
      </c>
      <c r="H90">
        <f>ROUND(VLOOKUP($A90,Results!$A$2:$I$437,6,FALSE),2)</f>
        <v>32.1</v>
      </c>
      <c r="I90">
        <f>ROUND(VLOOKUP($A90,Results!$A$2:$I$437,7,FALSE),2)</f>
        <v>67</v>
      </c>
      <c r="J90" s="72">
        <f t="shared" si="9"/>
        <v>32.391523713420789</v>
      </c>
      <c r="K90" s="72">
        <f t="shared" si="10"/>
        <v>67.608476286579219</v>
      </c>
      <c r="L90" s="72">
        <f t="shared" si="11"/>
        <v>42.516952573158427</v>
      </c>
    </row>
    <row r="91" spans="1:12" x14ac:dyDescent="0.25">
      <c r="A91" s="3" t="s">
        <v>185</v>
      </c>
      <c r="B91" t="s">
        <v>185</v>
      </c>
      <c r="C91">
        <f>ROUND(VLOOKUP($A91,Results!$A$2:$I$437,4,FALSE),2)</f>
        <v>46.5</v>
      </c>
      <c r="D91">
        <f>ROUND(VLOOKUP($A91,Results!$A$2:$I$437,5,FALSE),2)</f>
        <v>52.3</v>
      </c>
      <c r="E91" s="72">
        <f t="shared" si="6"/>
        <v>47.064777327935225</v>
      </c>
      <c r="F91" s="72">
        <f t="shared" si="7"/>
        <v>52.935222672064775</v>
      </c>
      <c r="G91" s="72">
        <f t="shared" si="8"/>
        <v>9.8704453441295499</v>
      </c>
      <c r="H91">
        <f>ROUND(VLOOKUP($A91,Results!$A$2:$I$437,6,FALSE),2)</f>
        <v>47.1</v>
      </c>
      <c r="I91">
        <f>ROUND(VLOOKUP($A91,Results!$A$2:$I$437,7,FALSE),2)</f>
        <v>52</v>
      </c>
      <c r="J91" s="72">
        <f t="shared" si="9"/>
        <v>47.527749747729573</v>
      </c>
      <c r="K91" s="72">
        <f t="shared" si="10"/>
        <v>52.472250252270435</v>
      </c>
      <c r="L91" s="72">
        <f t="shared" si="11"/>
        <v>12.244500504540863</v>
      </c>
    </row>
    <row r="92" spans="1:12" x14ac:dyDescent="0.25">
      <c r="A92" s="3" t="s">
        <v>187</v>
      </c>
      <c r="B92" t="s">
        <v>187</v>
      </c>
      <c r="C92">
        <f>ROUND(VLOOKUP($A92,Results!$A$2:$I$437,4,FALSE),2)</f>
        <v>37.4</v>
      </c>
      <c r="D92">
        <f>ROUND(VLOOKUP($A92,Results!$A$2:$I$437,5,FALSE),2)</f>
        <v>61.5</v>
      </c>
      <c r="E92" s="72">
        <f t="shared" si="6"/>
        <v>37.815975733063695</v>
      </c>
      <c r="F92" s="72">
        <f t="shared" si="7"/>
        <v>62.184024266936298</v>
      </c>
      <c r="G92" s="72">
        <f t="shared" si="8"/>
        <v>28.368048533872603</v>
      </c>
      <c r="H92">
        <f>ROUND(VLOOKUP($A92,Results!$A$2:$I$437,6,FALSE),2)</f>
        <v>39.6</v>
      </c>
      <c r="I92">
        <f>ROUND(VLOOKUP($A92,Results!$A$2:$I$437,7,FALSE),2)</f>
        <v>59.3</v>
      </c>
      <c r="J92" s="72">
        <f t="shared" si="9"/>
        <v>40.040444893832152</v>
      </c>
      <c r="K92" s="72">
        <f t="shared" si="10"/>
        <v>59.959555106167841</v>
      </c>
      <c r="L92" s="72">
        <f t="shared" si="11"/>
        <v>27.219110212335689</v>
      </c>
    </row>
    <row r="93" spans="1:12" x14ac:dyDescent="0.25">
      <c r="A93" s="3" t="s">
        <v>189</v>
      </c>
      <c r="B93" t="s">
        <v>189</v>
      </c>
      <c r="C93">
        <f>ROUND(VLOOKUP($A93,Results!$A$2:$I$437,4,FALSE),2)</f>
        <v>35.4</v>
      </c>
      <c r="D93">
        <f>ROUND(VLOOKUP($A93,Results!$A$2:$I$437,5,FALSE),2)</f>
        <v>63.7</v>
      </c>
      <c r="E93" s="72">
        <f t="shared" si="6"/>
        <v>35.721493440968722</v>
      </c>
      <c r="F93" s="72">
        <f t="shared" si="7"/>
        <v>64.278506559031285</v>
      </c>
      <c r="G93" s="72">
        <f t="shared" si="8"/>
        <v>32.557013118062564</v>
      </c>
      <c r="H93">
        <f>ROUND(VLOOKUP($A93,Results!$A$2:$I$437,6,FALSE),2)</f>
        <v>36.6</v>
      </c>
      <c r="I93">
        <f>ROUND(VLOOKUP($A93,Results!$A$2:$I$437,7,FALSE),2)</f>
        <v>62.7</v>
      </c>
      <c r="J93" s="72">
        <f t="shared" si="9"/>
        <v>36.858006042296068</v>
      </c>
      <c r="K93" s="72">
        <f t="shared" si="10"/>
        <v>63.141993957703924</v>
      </c>
      <c r="L93" s="72">
        <f t="shared" si="11"/>
        <v>33.583987915407853</v>
      </c>
    </row>
    <row r="94" spans="1:12" x14ac:dyDescent="0.25">
      <c r="A94" s="3" t="s">
        <v>191</v>
      </c>
      <c r="B94" t="s">
        <v>191</v>
      </c>
      <c r="C94">
        <f>ROUND(VLOOKUP($A94,Results!$A$2:$I$437,4,FALSE),2)</f>
        <v>71.2</v>
      </c>
      <c r="D94">
        <f>ROUND(VLOOKUP($A94,Results!$A$2:$I$437,5,FALSE),2)</f>
        <v>28.1</v>
      </c>
      <c r="E94" s="72">
        <f t="shared" si="6"/>
        <v>71.701913393756286</v>
      </c>
      <c r="F94" s="72">
        <f t="shared" si="7"/>
        <v>28.298086606243704</v>
      </c>
      <c r="G94" s="72">
        <f t="shared" si="8"/>
        <v>-39.403826787512585</v>
      </c>
      <c r="H94">
        <f>ROUND(VLOOKUP($A94,Results!$A$2:$I$437,6,FALSE),2)</f>
        <v>70.599999999999994</v>
      </c>
      <c r="I94">
        <f>ROUND(VLOOKUP($A94,Results!$A$2:$I$437,7,FALSE),2)</f>
        <v>28.8</v>
      </c>
      <c r="J94" s="72">
        <f t="shared" si="9"/>
        <v>71.026156941649901</v>
      </c>
      <c r="K94" s="72">
        <f t="shared" si="10"/>
        <v>28.973843058350102</v>
      </c>
      <c r="L94" s="72">
        <f t="shared" si="11"/>
        <v>-34.752313883299806</v>
      </c>
    </row>
    <row r="95" spans="1:12" x14ac:dyDescent="0.25">
      <c r="A95" s="3" t="s">
        <v>193</v>
      </c>
      <c r="B95" t="s">
        <v>193</v>
      </c>
      <c r="C95">
        <f>ROUND(VLOOKUP($A95,Results!$A$2:$I$437,4,FALSE),2)</f>
        <v>41.4</v>
      </c>
      <c r="D95">
        <f>ROUND(VLOOKUP($A95,Results!$A$2:$I$437,5,FALSE),2)</f>
        <v>57.7</v>
      </c>
      <c r="E95" s="72">
        <f t="shared" si="6"/>
        <v>41.775983854692235</v>
      </c>
      <c r="F95" s="72">
        <f t="shared" si="7"/>
        <v>58.224016145307779</v>
      </c>
      <c r="G95" s="72">
        <f t="shared" si="8"/>
        <v>20.448032290615544</v>
      </c>
      <c r="H95">
        <f>ROUND(VLOOKUP($A95,Results!$A$2:$I$437,6,FALSE),2)</f>
        <v>45.6</v>
      </c>
      <c r="I95">
        <f>ROUND(VLOOKUP($A95,Results!$A$2:$I$437,7,FALSE),2)</f>
        <v>53.6</v>
      </c>
      <c r="J95" s="72">
        <f t="shared" si="9"/>
        <v>45.967741935483872</v>
      </c>
      <c r="K95" s="72">
        <f t="shared" si="10"/>
        <v>54.032258064516128</v>
      </c>
      <c r="L95" s="72">
        <f t="shared" si="11"/>
        <v>15.364516129032257</v>
      </c>
    </row>
    <row r="96" spans="1:12" x14ac:dyDescent="0.25">
      <c r="A96" s="3" t="s">
        <v>195</v>
      </c>
      <c r="B96" t="s">
        <v>195</v>
      </c>
      <c r="C96">
        <f>ROUND(VLOOKUP($A96,Results!$A$2:$I$437,4,FALSE),2)</f>
        <v>47.1</v>
      </c>
      <c r="D96">
        <f>ROUND(VLOOKUP($A96,Results!$A$2:$I$437,5,FALSE),2)</f>
        <v>51.8</v>
      </c>
      <c r="E96" s="72">
        <f t="shared" si="6"/>
        <v>47.623862487360967</v>
      </c>
      <c r="F96" s="72">
        <f t="shared" si="7"/>
        <v>52.376137512639019</v>
      </c>
      <c r="G96" s="72">
        <f t="shared" si="8"/>
        <v>8.7522750252780526</v>
      </c>
      <c r="H96">
        <f>ROUND(VLOOKUP($A96,Results!$A$2:$I$437,6,FALSE),2)</f>
        <v>49.2</v>
      </c>
      <c r="I96">
        <f>ROUND(VLOOKUP($A96,Results!$A$2:$I$437,7,FALSE),2)</f>
        <v>50</v>
      </c>
      <c r="J96" s="72">
        <f t="shared" si="9"/>
        <v>49.596774193548384</v>
      </c>
      <c r="K96" s="72">
        <f t="shared" si="10"/>
        <v>50.403225806451616</v>
      </c>
      <c r="L96" s="72">
        <f t="shared" si="11"/>
        <v>8.106451612903232</v>
      </c>
    </row>
    <row r="97" spans="1:12" x14ac:dyDescent="0.25">
      <c r="A97" s="3" t="s">
        <v>197</v>
      </c>
      <c r="B97" t="s">
        <v>197</v>
      </c>
      <c r="C97">
        <f>ROUND(VLOOKUP($A97,Results!$A$2:$I$437,4,FALSE),2)</f>
        <v>42.2</v>
      </c>
      <c r="D97">
        <f>ROUND(VLOOKUP($A97,Results!$A$2:$I$437,5,FALSE),2)</f>
        <v>56.8</v>
      </c>
      <c r="E97" s="72">
        <f t="shared" si="6"/>
        <v>42.62626262626263</v>
      </c>
      <c r="F97" s="72">
        <f t="shared" si="7"/>
        <v>57.373737373737363</v>
      </c>
      <c r="G97" s="72">
        <f t="shared" si="8"/>
        <v>18.747474747474733</v>
      </c>
      <c r="H97">
        <f>ROUND(VLOOKUP($A97,Results!$A$2:$I$437,6,FALSE),2)</f>
        <v>44</v>
      </c>
      <c r="I97">
        <f>ROUND(VLOOKUP($A97,Results!$A$2:$I$437,7,FALSE),2)</f>
        <v>55.1</v>
      </c>
      <c r="J97" s="72">
        <f t="shared" si="9"/>
        <v>44.399596367305755</v>
      </c>
      <c r="K97" s="72">
        <f t="shared" si="10"/>
        <v>55.600403632694253</v>
      </c>
      <c r="L97" s="72">
        <f t="shared" si="11"/>
        <v>18.500807265388499</v>
      </c>
    </row>
    <row r="98" spans="1:12" x14ac:dyDescent="0.25">
      <c r="A98" s="3" t="s">
        <v>199</v>
      </c>
      <c r="B98" t="s">
        <v>199</v>
      </c>
      <c r="C98">
        <f>ROUND(VLOOKUP($A98,Results!$A$2:$I$437,4,FALSE),2)</f>
        <v>61.9</v>
      </c>
      <c r="D98">
        <f>ROUND(VLOOKUP($A98,Results!$A$2:$I$437,5,FALSE),2)</f>
        <v>37.200000000000003</v>
      </c>
      <c r="E98" s="72">
        <f t="shared" si="6"/>
        <v>62.462159434914234</v>
      </c>
      <c r="F98" s="72">
        <f t="shared" si="7"/>
        <v>37.53784056508578</v>
      </c>
      <c r="G98" s="72">
        <f t="shared" si="8"/>
        <v>-20.924318869828454</v>
      </c>
      <c r="H98">
        <f>ROUND(VLOOKUP($A98,Results!$A$2:$I$437,6,FALSE),2)</f>
        <v>60.3</v>
      </c>
      <c r="I98">
        <f>ROUND(VLOOKUP($A98,Results!$A$2:$I$437,7,FALSE),2)</f>
        <v>39.1</v>
      </c>
      <c r="J98" s="72">
        <f t="shared" si="9"/>
        <v>60.663983903420515</v>
      </c>
      <c r="K98" s="72">
        <f t="shared" si="10"/>
        <v>39.336016096579471</v>
      </c>
      <c r="L98" s="72">
        <f t="shared" si="11"/>
        <v>-14.027967806841044</v>
      </c>
    </row>
    <row r="99" spans="1:12" x14ac:dyDescent="0.25">
      <c r="A99" s="3" t="s">
        <v>201</v>
      </c>
      <c r="B99" t="s">
        <v>201</v>
      </c>
      <c r="C99">
        <f>ROUND(VLOOKUP($A99,Results!$A$2:$I$437,4,FALSE),2)</f>
        <v>45.7</v>
      </c>
      <c r="D99">
        <f>ROUND(VLOOKUP($A99,Results!$A$2:$I$437,5,FALSE),2)</f>
        <v>53.4</v>
      </c>
      <c r="E99" s="72">
        <f t="shared" si="6"/>
        <v>46.115035317860752</v>
      </c>
      <c r="F99" s="72">
        <f t="shared" si="7"/>
        <v>53.884964682139255</v>
      </c>
      <c r="G99" s="72">
        <f t="shared" si="8"/>
        <v>11.769929364278504</v>
      </c>
      <c r="H99">
        <f>ROUND(VLOOKUP($A99,Results!$A$2:$I$437,6,FALSE),2)</f>
        <v>47.2</v>
      </c>
      <c r="I99">
        <f>ROUND(VLOOKUP($A99,Results!$A$2:$I$437,7,FALSE),2)</f>
        <v>52</v>
      </c>
      <c r="J99" s="72">
        <f t="shared" si="9"/>
        <v>47.580645161290327</v>
      </c>
      <c r="K99" s="72">
        <f t="shared" si="10"/>
        <v>52.419354838709673</v>
      </c>
      <c r="L99" s="72">
        <f t="shared" si="11"/>
        <v>12.138709677419346</v>
      </c>
    </row>
    <row r="100" spans="1:12" x14ac:dyDescent="0.25">
      <c r="A100" s="3" t="s">
        <v>203</v>
      </c>
      <c r="B100" t="s">
        <v>203</v>
      </c>
      <c r="C100">
        <f>ROUND(VLOOKUP($A100,Results!$A$2:$I$437,4,FALSE),2)</f>
        <v>40.200000000000003</v>
      </c>
      <c r="D100">
        <f>ROUND(VLOOKUP($A100,Results!$A$2:$I$437,5,FALSE),2)</f>
        <v>58.8</v>
      </c>
      <c r="E100" s="72">
        <f t="shared" si="6"/>
        <v>40.606060606060609</v>
      </c>
      <c r="F100" s="72">
        <f t="shared" si="7"/>
        <v>59.393939393939391</v>
      </c>
      <c r="G100" s="72">
        <f t="shared" si="8"/>
        <v>22.787878787878782</v>
      </c>
      <c r="H100">
        <f>ROUND(VLOOKUP($A100,Results!$A$2:$I$437,6,FALSE),2)</f>
        <v>43.1</v>
      </c>
      <c r="I100">
        <f>ROUND(VLOOKUP($A100,Results!$A$2:$I$437,7,FALSE),2)</f>
        <v>55.9</v>
      </c>
      <c r="J100" s="72">
        <f t="shared" si="9"/>
        <v>43.535353535353536</v>
      </c>
      <c r="K100" s="72">
        <f t="shared" si="10"/>
        <v>56.464646464646464</v>
      </c>
      <c r="L100" s="72">
        <f t="shared" si="11"/>
        <v>20.229292929292928</v>
      </c>
    </row>
    <row r="101" spans="1:12" x14ac:dyDescent="0.25">
      <c r="A101" s="3" t="s">
        <v>205</v>
      </c>
      <c r="B101" t="s">
        <v>205</v>
      </c>
      <c r="C101">
        <f>ROUND(VLOOKUP($A101,Results!$A$2:$I$437,4,FALSE),2)</f>
        <v>44.8</v>
      </c>
      <c r="D101">
        <f>ROUND(VLOOKUP($A101,Results!$A$2:$I$437,5,FALSE),2)</f>
        <v>54</v>
      </c>
      <c r="E101" s="72">
        <f t="shared" si="6"/>
        <v>45.344129554655872</v>
      </c>
      <c r="F101" s="72">
        <f t="shared" si="7"/>
        <v>54.655870445344135</v>
      </c>
      <c r="G101" s="72">
        <f t="shared" si="8"/>
        <v>13.311740890688263</v>
      </c>
      <c r="H101">
        <f>ROUND(VLOOKUP($A101,Results!$A$2:$I$437,6,FALSE),2)</f>
        <v>46.8</v>
      </c>
      <c r="I101">
        <f>ROUND(VLOOKUP($A101,Results!$A$2:$I$437,7,FALSE),2)</f>
        <v>52.2</v>
      </c>
      <c r="J101" s="72">
        <f t="shared" si="9"/>
        <v>47.272727272727273</v>
      </c>
      <c r="K101" s="72">
        <f t="shared" si="10"/>
        <v>52.727272727272734</v>
      </c>
      <c r="L101" s="72">
        <f t="shared" si="11"/>
        <v>12.754545454545461</v>
      </c>
    </row>
    <row r="102" spans="1:12" x14ac:dyDescent="0.25">
      <c r="A102" s="3" t="s">
        <v>207</v>
      </c>
      <c r="B102" t="s">
        <v>207</v>
      </c>
      <c r="C102">
        <f>ROUND(VLOOKUP($A102,Results!$A$2:$I$437,4,FALSE),2)</f>
        <v>50.1</v>
      </c>
      <c r="D102">
        <f>ROUND(VLOOKUP($A102,Results!$A$2:$I$437,5,FALSE),2)</f>
        <v>48.6</v>
      </c>
      <c r="E102" s="72">
        <f t="shared" si="6"/>
        <v>50.759878419452889</v>
      </c>
      <c r="F102" s="72">
        <f t="shared" si="7"/>
        <v>49.240121580547111</v>
      </c>
      <c r="G102" s="72">
        <f t="shared" si="8"/>
        <v>2.4802431610942222</v>
      </c>
      <c r="H102">
        <f>ROUND(VLOOKUP($A102,Results!$A$2:$I$437,6,FALSE),2)</f>
        <v>51.3</v>
      </c>
      <c r="I102">
        <f>ROUND(VLOOKUP($A102,Results!$A$2:$I$437,7,FALSE),2)</f>
        <v>47.5</v>
      </c>
      <c r="J102" s="72">
        <f t="shared" si="9"/>
        <v>51.92307692307692</v>
      </c>
      <c r="K102" s="72">
        <f t="shared" si="10"/>
        <v>48.07692307692308</v>
      </c>
      <c r="L102" s="72">
        <f t="shared" si="11"/>
        <v>3.4538461538461602</v>
      </c>
    </row>
    <row r="103" spans="1:12" x14ac:dyDescent="0.25">
      <c r="A103" s="3" t="s">
        <v>209</v>
      </c>
      <c r="B103" t="s">
        <v>209</v>
      </c>
      <c r="C103">
        <f>ROUND(VLOOKUP($A103,Results!$A$2:$I$437,4,FALSE),2)</f>
        <v>65.099999999999994</v>
      </c>
      <c r="D103">
        <f>ROUND(VLOOKUP($A103,Results!$A$2:$I$437,5,FALSE),2)</f>
        <v>34</v>
      </c>
      <c r="E103" s="72">
        <f t="shared" si="6"/>
        <v>65.691220988900099</v>
      </c>
      <c r="F103" s="72">
        <f t="shared" si="7"/>
        <v>34.308779011099901</v>
      </c>
      <c r="G103" s="72">
        <f t="shared" si="8"/>
        <v>-27.382441977800198</v>
      </c>
      <c r="H103">
        <f>ROUND(VLOOKUP($A103,Results!$A$2:$I$437,6,FALSE),2)</f>
        <v>65.2</v>
      </c>
      <c r="I103">
        <f>ROUND(VLOOKUP($A103,Results!$A$2:$I$437,7,FALSE),2)</f>
        <v>34</v>
      </c>
      <c r="J103" s="72">
        <f t="shared" si="9"/>
        <v>65.725806451612897</v>
      </c>
      <c r="K103" s="72">
        <f t="shared" si="10"/>
        <v>34.274193548387096</v>
      </c>
      <c r="L103" s="72">
        <f t="shared" si="11"/>
        <v>-24.1516129032258</v>
      </c>
    </row>
    <row r="104" spans="1:12" x14ac:dyDescent="0.25">
      <c r="A104" s="3" t="s">
        <v>211</v>
      </c>
      <c r="B104" t="s">
        <v>211</v>
      </c>
      <c r="C104">
        <f>ROUND(VLOOKUP($A104,Results!$A$2:$I$437,4,FALSE),2)</f>
        <v>45.6</v>
      </c>
      <c r="D104">
        <f>ROUND(VLOOKUP($A104,Results!$A$2:$I$437,5,FALSE),2)</f>
        <v>53.3</v>
      </c>
      <c r="E104" s="72">
        <f t="shared" si="6"/>
        <v>46.107178968655205</v>
      </c>
      <c r="F104" s="72">
        <f t="shared" si="7"/>
        <v>53.892821031344781</v>
      </c>
      <c r="G104" s="72">
        <f t="shared" si="8"/>
        <v>11.785642062689575</v>
      </c>
      <c r="H104">
        <f>ROUND(VLOOKUP($A104,Results!$A$2:$I$437,6,FALSE),2)</f>
        <v>46.1</v>
      </c>
      <c r="I104">
        <f>ROUND(VLOOKUP($A104,Results!$A$2:$I$437,7,FALSE),2)</f>
        <v>53.1</v>
      </c>
      <c r="J104" s="72">
        <f t="shared" si="9"/>
        <v>46.471774193548384</v>
      </c>
      <c r="K104" s="72">
        <f t="shared" si="10"/>
        <v>53.528225806451616</v>
      </c>
      <c r="L104" s="72">
        <f t="shared" si="11"/>
        <v>14.356451612903232</v>
      </c>
    </row>
    <row r="105" spans="1:12" x14ac:dyDescent="0.25">
      <c r="A105" s="3" t="s">
        <v>213</v>
      </c>
      <c r="B105" t="s">
        <v>213</v>
      </c>
      <c r="C105">
        <f>ROUND(VLOOKUP($A105,Results!$A$2:$I$437,4,FALSE),2)</f>
        <v>44.9</v>
      </c>
      <c r="D105">
        <f>ROUND(VLOOKUP($A105,Results!$A$2:$I$437,5,FALSE),2)</f>
        <v>54.2</v>
      </c>
      <c r="E105" s="72">
        <f t="shared" si="6"/>
        <v>45.307769929364277</v>
      </c>
      <c r="F105" s="72">
        <f t="shared" si="7"/>
        <v>54.69223007063573</v>
      </c>
      <c r="G105" s="72">
        <f t="shared" si="8"/>
        <v>13.384460141271454</v>
      </c>
      <c r="H105">
        <f>ROUND(VLOOKUP($A105,Results!$A$2:$I$437,6,FALSE),2)</f>
        <v>48.2</v>
      </c>
      <c r="I105">
        <f>ROUND(VLOOKUP($A105,Results!$A$2:$I$437,7,FALSE),2)</f>
        <v>50.9</v>
      </c>
      <c r="J105" s="72">
        <f t="shared" si="9"/>
        <v>48.637739656912217</v>
      </c>
      <c r="K105" s="72">
        <f t="shared" si="10"/>
        <v>51.362260343087797</v>
      </c>
      <c r="L105" s="72">
        <f t="shared" si="11"/>
        <v>10.024520686175581</v>
      </c>
    </row>
    <row r="106" spans="1:12" x14ac:dyDescent="0.25">
      <c r="A106" s="3" t="s">
        <v>215</v>
      </c>
      <c r="B106" t="s">
        <v>215</v>
      </c>
      <c r="C106">
        <f>ROUND(VLOOKUP($A106,Results!$A$2:$I$437,4,FALSE),2)</f>
        <v>41.2</v>
      </c>
      <c r="D106">
        <f>ROUND(VLOOKUP($A106,Results!$A$2:$I$437,5,FALSE),2)</f>
        <v>57.9</v>
      </c>
      <c r="E106" s="72">
        <f t="shared" si="6"/>
        <v>41.574167507568113</v>
      </c>
      <c r="F106" s="72">
        <f t="shared" si="7"/>
        <v>58.425832492431887</v>
      </c>
      <c r="G106" s="72">
        <f t="shared" si="8"/>
        <v>20.851664984863774</v>
      </c>
      <c r="H106">
        <f>ROUND(VLOOKUP($A106,Results!$A$2:$I$437,6,FALSE),2)</f>
        <v>43.2</v>
      </c>
      <c r="I106">
        <f>ROUND(VLOOKUP($A106,Results!$A$2:$I$437,7,FALSE),2)</f>
        <v>55.9</v>
      </c>
      <c r="J106" s="72">
        <f t="shared" si="9"/>
        <v>43.592330978809294</v>
      </c>
      <c r="K106" s="72">
        <f t="shared" si="10"/>
        <v>56.407669021190721</v>
      </c>
      <c r="L106" s="72">
        <f t="shared" si="11"/>
        <v>20.115338042381428</v>
      </c>
    </row>
    <row r="107" spans="1:12" x14ac:dyDescent="0.25">
      <c r="A107" s="3" t="s">
        <v>217</v>
      </c>
      <c r="B107" t="s">
        <v>217</v>
      </c>
      <c r="C107">
        <f>ROUND(VLOOKUP($A107,Results!$A$2:$I$437,4,FALSE),2)</f>
        <v>47.6</v>
      </c>
      <c r="D107">
        <f>ROUND(VLOOKUP($A107,Results!$A$2:$I$437,5,FALSE),2)</f>
        <v>51.7</v>
      </c>
      <c r="E107" s="72">
        <f t="shared" si="6"/>
        <v>47.935548841893251</v>
      </c>
      <c r="F107" s="72">
        <f t="shared" si="7"/>
        <v>52.064451158106742</v>
      </c>
      <c r="G107" s="72">
        <f t="shared" si="8"/>
        <v>8.128902316213491</v>
      </c>
      <c r="H107">
        <f>ROUND(VLOOKUP($A107,Results!$A$2:$I$437,6,FALSE),2)</f>
        <v>51.2</v>
      </c>
      <c r="I107">
        <f>ROUND(VLOOKUP($A107,Results!$A$2:$I$437,7,FALSE),2)</f>
        <v>48.1</v>
      </c>
      <c r="J107" s="72">
        <f t="shared" si="9"/>
        <v>51.560926485397786</v>
      </c>
      <c r="K107" s="72">
        <f t="shared" si="10"/>
        <v>48.439073514602207</v>
      </c>
      <c r="L107" s="72">
        <f t="shared" si="11"/>
        <v>4.1781470292044203</v>
      </c>
    </row>
    <row r="108" spans="1:12" x14ac:dyDescent="0.25">
      <c r="A108" s="3" t="s">
        <v>219</v>
      </c>
      <c r="B108" t="s">
        <v>219</v>
      </c>
      <c r="C108">
        <f>ROUND(VLOOKUP($A108,Results!$A$2:$I$437,4,FALSE),2)</f>
        <v>38.799999999999997</v>
      </c>
      <c r="D108">
        <f>ROUND(VLOOKUP($A108,Results!$A$2:$I$437,5,FALSE),2)</f>
        <v>60.6</v>
      </c>
      <c r="E108" s="72">
        <f t="shared" si="6"/>
        <v>39.034205231388327</v>
      </c>
      <c r="F108" s="72">
        <f t="shared" si="7"/>
        <v>60.965794768611673</v>
      </c>
      <c r="G108" s="72">
        <f t="shared" si="8"/>
        <v>25.931589537223346</v>
      </c>
      <c r="H108">
        <f>ROUND(VLOOKUP($A108,Results!$A$2:$I$437,6,FALSE),2)</f>
        <v>42.4</v>
      </c>
      <c r="I108">
        <f>ROUND(VLOOKUP($A108,Results!$A$2:$I$437,7,FALSE),2)</f>
        <v>56.9</v>
      </c>
      <c r="J108" s="72">
        <f t="shared" si="9"/>
        <v>42.698892245720039</v>
      </c>
      <c r="K108" s="72">
        <f t="shared" si="10"/>
        <v>57.301107754279954</v>
      </c>
      <c r="L108" s="72">
        <f t="shared" si="11"/>
        <v>21.902215508559916</v>
      </c>
    </row>
    <row r="109" spans="1:12" x14ac:dyDescent="0.25">
      <c r="A109" s="3" t="s">
        <v>221</v>
      </c>
      <c r="B109" t="s">
        <v>221</v>
      </c>
      <c r="C109">
        <f>ROUND(VLOOKUP($A109,Results!$A$2:$I$437,4,FALSE),2)</f>
        <v>82.6</v>
      </c>
      <c r="D109">
        <f>ROUND(VLOOKUP($A109,Results!$A$2:$I$437,5,FALSE),2)</f>
        <v>17</v>
      </c>
      <c r="E109" s="72">
        <f t="shared" si="6"/>
        <v>82.931726907630519</v>
      </c>
      <c r="F109" s="72">
        <f t="shared" si="7"/>
        <v>17.068273092369481</v>
      </c>
      <c r="G109" s="72">
        <f t="shared" si="8"/>
        <v>-61.863453815261039</v>
      </c>
      <c r="H109">
        <f>ROUND(VLOOKUP($A109,Results!$A$2:$I$437,6,FALSE),2)</f>
        <v>80.5</v>
      </c>
      <c r="I109">
        <f>ROUND(VLOOKUP($A109,Results!$A$2:$I$437,7,FALSE),2)</f>
        <v>19.100000000000001</v>
      </c>
      <c r="J109" s="72">
        <f t="shared" si="9"/>
        <v>80.823293172690768</v>
      </c>
      <c r="K109" s="72">
        <f t="shared" si="10"/>
        <v>19.176706827309239</v>
      </c>
      <c r="L109" s="72">
        <f t="shared" si="11"/>
        <v>-54.346586345381532</v>
      </c>
    </row>
    <row r="110" spans="1:12" x14ac:dyDescent="0.25">
      <c r="A110" s="3" t="s">
        <v>223</v>
      </c>
      <c r="B110" t="s">
        <v>223</v>
      </c>
      <c r="C110">
        <f>ROUND(VLOOKUP($A110,Results!$A$2:$I$437,4,FALSE),2)</f>
        <v>60.6</v>
      </c>
      <c r="D110">
        <f>ROUND(VLOOKUP($A110,Results!$A$2:$I$437,5,FALSE),2)</f>
        <v>38.9</v>
      </c>
      <c r="E110" s="72">
        <f t="shared" si="6"/>
        <v>60.904522613065325</v>
      </c>
      <c r="F110" s="72">
        <f t="shared" si="7"/>
        <v>39.095477386934675</v>
      </c>
      <c r="G110" s="72">
        <f t="shared" si="8"/>
        <v>-17.80904522613065</v>
      </c>
      <c r="H110">
        <f>ROUND(VLOOKUP($A110,Results!$A$2:$I$437,6,FALSE),2)</f>
        <v>63.6</v>
      </c>
      <c r="I110">
        <f>ROUND(VLOOKUP($A110,Results!$A$2:$I$437,7,FALSE),2)</f>
        <v>35.9</v>
      </c>
      <c r="J110" s="72">
        <f t="shared" si="9"/>
        <v>63.91959798994975</v>
      </c>
      <c r="K110" s="72">
        <f t="shared" si="10"/>
        <v>36.08040201005025</v>
      </c>
      <c r="L110" s="72">
        <f t="shared" si="11"/>
        <v>-20.5391959798995</v>
      </c>
    </row>
    <row r="111" spans="1:12" x14ac:dyDescent="0.25">
      <c r="A111" s="3" t="s">
        <v>225</v>
      </c>
      <c r="B111" t="s">
        <v>225</v>
      </c>
      <c r="C111">
        <f>ROUND(VLOOKUP($A111,Results!$A$2:$I$437,4,FALSE),2)</f>
        <v>54.4</v>
      </c>
      <c r="D111">
        <f>ROUND(VLOOKUP($A111,Results!$A$2:$I$437,5,FALSE),2)</f>
        <v>44.9</v>
      </c>
      <c r="E111" s="72">
        <f t="shared" si="6"/>
        <v>54.783484390735147</v>
      </c>
      <c r="F111" s="72">
        <f t="shared" si="7"/>
        <v>45.216515609264853</v>
      </c>
      <c r="G111" s="72">
        <f t="shared" si="8"/>
        <v>-5.5669687814702939</v>
      </c>
      <c r="H111">
        <f>ROUND(VLOOKUP($A111,Results!$A$2:$I$437,6,FALSE),2)</f>
        <v>56.8</v>
      </c>
      <c r="I111">
        <f>ROUND(VLOOKUP($A111,Results!$A$2:$I$437,7,FALSE),2)</f>
        <v>42.6</v>
      </c>
      <c r="J111" s="72">
        <f t="shared" si="9"/>
        <v>57.142857142857139</v>
      </c>
      <c r="K111" s="72">
        <f t="shared" si="10"/>
        <v>42.857142857142854</v>
      </c>
      <c r="L111" s="72">
        <f t="shared" si="11"/>
        <v>-6.9857142857142849</v>
      </c>
    </row>
    <row r="112" spans="1:12" x14ac:dyDescent="0.25">
      <c r="A112" s="3" t="s">
        <v>227</v>
      </c>
      <c r="B112" t="s">
        <v>227</v>
      </c>
      <c r="C112">
        <f>ROUND(VLOOKUP($A112,Results!$A$2:$I$437,4,FALSE),2)</f>
        <v>61.5</v>
      </c>
      <c r="D112">
        <f>ROUND(VLOOKUP($A112,Results!$A$2:$I$437,5,FALSE),2)</f>
        <v>37.9</v>
      </c>
      <c r="E112" s="72">
        <f t="shared" si="6"/>
        <v>61.87122736418511</v>
      </c>
      <c r="F112" s="72">
        <f t="shared" si="7"/>
        <v>38.128772635814883</v>
      </c>
      <c r="G112" s="72">
        <f t="shared" si="8"/>
        <v>-19.742454728370227</v>
      </c>
      <c r="H112">
        <f>ROUND(VLOOKUP($A112,Results!$A$2:$I$437,6,FALSE),2)</f>
        <v>61.9</v>
      </c>
      <c r="I112">
        <f>ROUND(VLOOKUP($A112,Results!$A$2:$I$437,7,FALSE),2)</f>
        <v>37.6</v>
      </c>
      <c r="J112" s="72">
        <f t="shared" si="9"/>
        <v>62.211055276381913</v>
      </c>
      <c r="K112" s="72">
        <f t="shared" si="10"/>
        <v>37.788944723618087</v>
      </c>
      <c r="L112" s="72">
        <f t="shared" si="11"/>
        <v>-17.122110552763825</v>
      </c>
    </row>
    <row r="113" spans="1:12" x14ac:dyDescent="0.25">
      <c r="A113" s="3" t="s">
        <v>229</v>
      </c>
      <c r="B113" t="s">
        <v>229</v>
      </c>
      <c r="C113">
        <f>ROUND(VLOOKUP($A113,Results!$A$2:$I$437,4,FALSE),2)</f>
        <v>87.5</v>
      </c>
      <c r="D113">
        <f>ROUND(VLOOKUP($A113,Results!$A$2:$I$437,5,FALSE),2)</f>
        <v>12.1</v>
      </c>
      <c r="E113" s="72">
        <f t="shared" si="6"/>
        <v>87.851405622489963</v>
      </c>
      <c r="F113" s="72">
        <f t="shared" si="7"/>
        <v>12.14859437751004</v>
      </c>
      <c r="G113" s="72">
        <f t="shared" si="8"/>
        <v>-71.702811244979927</v>
      </c>
      <c r="H113">
        <f>ROUND(VLOOKUP($A113,Results!$A$2:$I$437,6,FALSE),2)</f>
        <v>86.2</v>
      </c>
      <c r="I113">
        <f>ROUND(VLOOKUP($A113,Results!$A$2:$I$437,7,FALSE),2)</f>
        <v>13.5</v>
      </c>
      <c r="J113" s="72">
        <f t="shared" si="9"/>
        <v>86.45937813440321</v>
      </c>
      <c r="K113" s="72">
        <f t="shared" si="10"/>
        <v>13.54062186559679</v>
      </c>
      <c r="L113" s="72">
        <f t="shared" si="11"/>
        <v>-65.618756268806422</v>
      </c>
    </row>
    <row r="114" spans="1:12" x14ac:dyDescent="0.25">
      <c r="A114" s="3" t="s">
        <v>231</v>
      </c>
      <c r="B114" t="s">
        <v>231</v>
      </c>
      <c r="C114">
        <f>ROUND(VLOOKUP($A114,Results!$A$2:$I$437,4,FALSE),2)</f>
        <v>48.7</v>
      </c>
      <c r="D114">
        <f>ROUND(VLOOKUP($A114,Results!$A$2:$I$437,5,FALSE),2)</f>
        <v>50.8</v>
      </c>
      <c r="E114" s="72">
        <f t="shared" si="6"/>
        <v>48.944723618090457</v>
      </c>
      <c r="F114" s="72">
        <f t="shared" si="7"/>
        <v>51.055276381909543</v>
      </c>
      <c r="G114" s="72">
        <f t="shared" si="8"/>
        <v>6.1105527638190864</v>
      </c>
      <c r="H114">
        <f>ROUND(VLOOKUP($A114,Results!$A$2:$I$437,6,FALSE),2)</f>
        <v>45.6</v>
      </c>
      <c r="I114">
        <f>ROUND(VLOOKUP($A114,Results!$A$2:$I$437,7,FALSE),2)</f>
        <v>54</v>
      </c>
      <c r="J114" s="72">
        <f t="shared" si="9"/>
        <v>45.783132530120483</v>
      </c>
      <c r="K114" s="72">
        <f t="shared" si="10"/>
        <v>54.216867469879524</v>
      </c>
      <c r="L114" s="72">
        <f t="shared" si="11"/>
        <v>15.733734939759042</v>
      </c>
    </row>
    <row r="115" spans="1:12" x14ac:dyDescent="0.25">
      <c r="A115" s="3" t="s">
        <v>233</v>
      </c>
      <c r="B115" t="s">
        <v>233</v>
      </c>
      <c r="C115">
        <f>ROUND(VLOOKUP($A115,Results!$A$2:$I$437,4,FALSE),2)</f>
        <v>53.1</v>
      </c>
      <c r="D115">
        <f>ROUND(VLOOKUP($A115,Results!$A$2:$I$437,5,FALSE),2)</f>
        <v>46.4</v>
      </c>
      <c r="E115" s="72">
        <f t="shared" si="6"/>
        <v>53.366834170854268</v>
      </c>
      <c r="F115" s="72">
        <f t="shared" si="7"/>
        <v>46.633165829145732</v>
      </c>
      <c r="G115" s="72">
        <f t="shared" si="8"/>
        <v>-2.7336683417085368</v>
      </c>
      <c r="H115">
        <f>ROUND(VLOOKUP($A115,Results!$A$2:$I$437,6,FALSE),2)</f>
        <v>49.6</v>
      </c>
      <c r="I115">
        <f>ROUND(VLOOKUP($A115,Results!$A$2:$I$437,7,FALSE),2)</f>
        <v>50</v>
      </c>
      <c r="J115" s="72">
        <f t="shared" si="9"/>
        <v>49.799196787148595</v>
      </c>
      <c r="K115" s="72">
        <f t="shared" si="10"/>
        <v>50.200803212851412</v>
      </c>
      <c r="L115" s="72">
        <f t="shared" si="11"/>
        <v>7.7016064257028161</v>
      </c>
    </row>
    <row r="116" spans="1:12" x14ac:dyDescent="0.25">
      <c r="A116" s="3" t="s">
        <v>235</v>
      </c>
      <c r="B116" t="s">
        <v>235</v>
      </c>
      <c r="C116">
        <f>ROUND(VLOOKUP($A116,Results!$A$2:$I$437,4,FALSE),2)</f>
        <v>53.1</v>
      </c>
      <c r="D116">
        <f>ROUND(VLOOKUP($A116,Results!$A$2:$I$437,5,FALSE),2)</f>
        <v>46.4</v>
      </c>
      <c r="E116" s="72">
        <f t="shared" si="6"/>
        <v>53.366834170854268</v>
      </c>
      <c r="F116" s="72">
        <f t="shared" si="7"/>
        <v>46.633165829145732</v>
      </c>
      <c r="G116" s="72">
        <f t="shared" si="8"/>
        <v>-2.7336683417085368</v>
      </c>
      <c r="H116">
        <f>ROUND(VLOOKUP($A116,Results!$A$2:$I$437,6,FALSE),2)</f>
        <v>48.6</v>
      </c>
      <c r="I116">
        <f>ROUND(VLOOKUP($A116,Results!$A$2:$I$437,7,FALSE),2)</f>
        <v>51</v>
      </c>
      <c r="J116" s="72">
        <f t="shared" si="9"/>
        <v>48.795180722891565</v>
      </c>
      <c r="K116" s="72">
        <f t="shared" si="10"/>
        <v>51.204819277108435</v>
      </c>
      <c r="L116" s="72">
        <f t="shared" si="11"/>
        <v>9.7096385542168697</v>
      </c>
    </row>
    <row r="117" spans="1:12" x14ac:dyDescent="0.25">
      <c r="A117" s="3" t="s">
        <v>237</v>
      </c>
      <c r="B117" t="s">
        <v>237</v>
      </c>
      <c r="C117">
        <f>ROUND(VLOOKUP($A117,Results!$A$2:$I$437,4,FALSE),2)</f>
        <v>43</v>
      </c>
      <c r="D117">
        <f>ROUND(VLOOKUP($A117,Results!$A$2:$I$437,5,FALSE),2)</f>
        <v>55.9</v>
      </c>
      <c r="E117" s="72">
        <f t="shared" si="6"/>
        <v>43.478260869565219</v>
      </c>
      <c r="F117" s="72">
        <f t="shared" si="7"/>
        <v>56.521739130434781</v>
      </c>
      <c r="G117" s="72">
        <f t="shared" si="8"/>
        <v>17.043478260869563</v>
      </c>
      <c r="H117">
        <f>ROUND(VLOOKUP($A117,Results!$A$2:$I$437,6,FALSE),2)</f>
        <v>44.4</v>
      </c>
      <c r="I117">
        <f>ROUND(VLOOKUP($A117,Results!$A$2:$I$437,7,FALSE),2)</f>
        <v>55</v>
      </c>
      <c r="J117" s="72">
        <f t="shared" si="9"/>
        <v>44.668008048289735</v>
      </c>
      <c r="K117" s="72">
        <f t="shared" si="10"/>
        <v>55.331991951710258</v>
      </c>
      <c r="L117" s="72">
        <f t="shared" si="11"/>
        <v>17.963983903420523</v>
      </c>
    </row>
    <row r="118" spans="1:12" x14ac:dyDescent="0.25">
      <c r="A118" s="3" t="s">
        <v>239</v>
      </c>
      <c r="B118" t="s">
        <v>239</v>
      </c>
      <c r="C118">
        <f>ROUND(VLOOKUP($A118,Results!$A$2:$I$437,4,FALSE),2)</f>
        <v>58.6</v>
      </c>
      <c r="D118">
        <f>ROUND(VLOOKUP($A118,Results!$A$2:$I$437,5,FALSE),2)</f>
        <v>40.799999999999997</v>
      </c>
      <c r="E118" s="72">
        <f t="shared" si="6"/>
        <v>58.95372233400402</v>
      </c>
      <c r="F118" s="72">
        <f t="shared" si="7"/>
        <v>41.046277665995973</v>
      </c>
      <c r="G118" s="72">
        <f t="shared" si="8"/>
        <v>-13.907444668008047</v>
      </c>
      <c r="H118">
        <f>ROUND(VLOOKUP($A118,Results!$A$2:$I$437,6,FALSE),2)</f>
        <v>57.9</v>
      </c>
      <c r="I118">
        <f>ROUND(VLOOKUP($A118,Results!$A$2:$I$437,7,FALSE),2)</f>
        <v>41.6</v>
      </c>
      <c r="J118" s="72">
        <f t="shared" si="9"/>
        <v>58.190954773869343</v>
      </c>
      <c r="K118" s="72">
        <f t="shared" si="10"/>
        <v>41.809045226130657</v>
      </c>
      <c r="L118" s="72">
        <f t="shared" si="11"/>
        <v>-9.081909547738686</v>
      </c>
    </row>
    <row r="119" spans="1:12" x14ac:dyDescent="0.25">
      <c r="A119" s="3" t="s">
        <v>241</v>
      </c>
      <c r="B119" t="s">
        <v>241</v>
      </c>
      <c r="C119">
        <f>ROUND(VLOOKUP($A119,Results!$A$2:$I$437,4,FALSE),2)</f>
        <v>33</v>
      </c>
      <c r="D119">
        <f>ROUND(VLOOKUP($A119,Results!$A$2:$I$437,5,FALSE),2)</f>
        <v>65.900000000000006</v>
      </c>
      <c r="E119" s="72">
        <f t="shared" si="6"/>
        <v>33.367037411526795</v>
      </c>
      <c r="F119" s="72">
        <f t="shared" si="7"/>
        <v>66.632962588473205</v>
      </c>
      <c r="G119" s="72">
        <f t="shared" si="8"/>
        <v>37.265925176946411</v>
      </c>
      <c r="H119">
        <f>ROUND(VLOOKUP($A119,Results!$A$2:$I$437,6,FALSE),2)</f>
        <v>34</v>
      </c>
      <c r="I119">
        <f>ROUND(VLOOKUP($A119,Results!$A$2:$I$437,7,FALSE),2)</f>
        <v>65.3</v>
      </c>
      <c r="J119" s="72">
        <f t="shared" si="9"/>
        <v>34.239677744209466</v>
      </c>
      <c r="K119" s="72">
        <f t="shared" si="10"/>
        <v>65.760322255790541</v>
      </c>
      <c r="L119" s="72">
        <f t="shared" si="11"/>
        <v>38.820644511581072</v>
      </c>
    </row>
    <row r="120" spans="1:12" x14ac:dyDescent="0.25">
      <c r="A120" s="3" t="s">
        <v>243</v>
      </c>
      <c r="B120" t="s">
        <v>243</v>
      </c>
      <c r="C120">
        <f>ROUND(VLOOKUP($A120,Results!$A$2:$I$437,4,FALSE),2)</f>
        <v>73.599999999999994</v>
      </c>
      <c r="D120">
        <f>ROUND(VLOOKUP($A120,Results!$A$2:$I$437,5,FALSE),2)</f>
        <v>25.6</v>
      </c>
      <c r="E120" s="72">
        <f t="shared" si="6"/>
        <v>74.193548387096769</v>
      </c>
      <c r="F120" s="72">
        <f t="shared" si="7"/>
        <v>25.806451612903231</v>
      </c>
      <c r="G120" s="72">
        <f t="shared" si="8"/>
        <v>-44.387096774193537</v>
      </c>
      <c r="H120">
        <f>ROUND(VLOOKUP($A120,Results!$A$2:$I$437,6,FALSE),2)</f>
        <v>73.2</v>
      </c>
      <c r="I120">
        <f>ROUND(VLOOKUP($A120,Results!$A$2:$I$437,7,FALSE),2)</f>
        <v>26.3</v>
      </c>
      <c r="J120" s="72">
        <f t="shared" si="9"/>
        <v>73.5678391959799</v>
      </c>
      <c r="K120" s="72">
        <f t="shared" si="10"/>
        <v>26.4321608040201</v>
      </c>
      <c r="L120" s="72">
        <f t="shared" si="11"/>
        <v>-39.835678391959803</v>
      </c>
    </row>
    <row r="121" spans="1:12" x14ac:dyDescent="0.25">
      <c r="A121" s="3" t="s">
        <v>245</v>
      </c>
      <c r="B121" t="s">
        <v>245</v>
      </c>
      <c r="C121">
        <f>ROUND(VLOOKUP($A121,Results!$A$2:$I$437,4,FALSE),2)</f>
        <v>83.1</v>
      </c>
      <c r="D121">
        <f>ROUND(VLOOKUP($A121,Results!$A$2:$I$437,5,FALSE),2)</f>
        <v>15.8</v>
      </c>
      <c r="E121" s="72">
        <f t="shared" si="6"/>
        <v>84.024266936299298</v>
      </c>
      <c r="F121" s="72">
        <f t="shared" si="7"/>
        <v>15.975733063700709</v>
      </c>
      <c r="G121" s="72">
        <f t="shared" si="8"/>
        <v>-64.048533872598597</v>
      </c>
      <c r="H121">
        <f>ROUND(VLOOKUP($A121,Results!$A$2:$I$437,6,FALSE),2)</f>
        <v>84.4</v>
      </c>
      <c r="I121">
        <f>ROUND(VLOOKUP($A121,Results!$A$2:$I$437,7,FALSE),2)</f>
        <v>15</v>
      </c>
      <c r="J121" s="72">
        <f t="shared" si="9"/>
        <v>84.909456740442664</v>
      </c>
      <c r="K121" s="72">
        <f t="shared" si="10"/>
        <v>15.090543259557343</v>
      </c>
      <c r="L121" s="72">
        <f t="shared" si="11"/>
        <v>-62.518913480885331</v>
      </c>
    </row>
    <row r="122" spans="1:12" x14ac:dyDescent="0.25">
      <c r="A122" s="3" t="s">
        <v>247</v>
      </c>
      <c r="B122" t="s">
        <v>247</v>
      </c>
      <c r="C122">
        <f>ROUND(VLOOKUP($A122,Results!$A$2:$I$437,4,FALSE),2)</f>
        <v>37.5</v>
      </c>
      <c r="D122">
        <f>ROUND(VLOOKUP($A122,Results!$A$2:$I$437,5,FALSE),2)</f>
        <v>60.8</v>
      </c>
      <c r="E122" s="72">
        <f t="shared" si="6"/>
        <v>38.148524923702951</v>
      </c>
      <c r="F122" s="72">
        <f t="shared" si="7"/>
        <v>61.851475076297049</v>
      </c>
      <c r="G122" s="72">
        <f t="shared" si="8"/>
        <v>27.702950152594099</v>
      </c>
      <c r="H122">
        <f>ROUND(VLOOKUP($A122,Results!$A$2:$I$437,6,FALSE),2)</f>
        <v>40.1</v>
      </c>
      <c r="I122">
        <f>ROUND(VLOOKUP($A122,Results!$A$2:$I$437,7,FALSE),2)</f>
        <v>59</v>
      </c>
      <c r="J122" s="72">
        <f t="shared" si="9"/>
        <v>40.464177598385476</v>
      </c>
      <c r="K122" s="72">
        <f t="shared" si="10"/>
        <v>59.535822401614539</v>
      </c>
      <c r="L122" s="72">
        <f t="shared" si="11"/>
        <v>26.371644803229064</v>
      </c>
    </row>
    <row r="123" spans="1:12" x14ac:dyDescent="0.25">
      <c r="A123" s="3" t="s">
        <v>249</v>
      </c>
      <c r="B123" t="s">
        <v>249</v>
      </c>
      <c r="C123">
        <f>ROUND(VLOOKUP($A123,Results!$A$2:$I$437,4,FALSE),2)</f>
        <v>38.299999999999997</v>
      </c>
      <c r="D123">
        <f>ROUND(VLOOKUP($A123,Results!$A$2:$I$437,5,FALSE),2)</f>
        <v>60.2</v>
      </c>
      <c r="E123" s="72">
        <f t="shared" si="6"/>
        <v>38.883248730964468</v>
      </c>
      <c r="F123" s="72">
        <f t="shared" si="7"/>
        <v>61.116751269035539</v>
      </c>
      <c r="G123" s="72">
        <f t="shared" si="8"/>
        <v>26.233502538071072</v>
      </c>
      <c r="H123">
        <f>ROUND(VLOOKUP($A123,Results!$A$2:$I$437,6,FALSE),2)</f>
        <v>39.1</v>
      </c>
      <c r="I123">
        <f>ROUND(VLOOKUP($A123,Results!$A$2:$I$437,7,FALSE),2)</f>
        <v>60.1</v>
      </c>
      <c r="J123" s="72">
        <f t="shared" si="9"/>
        <v>39.41532258064516</v>
      </c>
      <c r="K123" s="72">
        <f t="shared" si="10"/>
        <v>60.58467741935484</v>
      </c>
      <c r="L123" s="72">
        <f t="shared" si="11"/>
        <v>28.46935483870968</v>
      </c>
    </row>
    <row r="124" spans="1:12" x14ac:dyDescent="0.25">
      <c r="A124" s="3" t="s">
        <v>251</v>
      </c>
      <c r="B124" t="s">
        <v>251</v>
      </c>
      <c r="C124">
        <f>ROUND(VLOOKUP($A124,Results!$A$2:$I$437,4,FALSE),2)</f>
        <v>37.5</v>
      </c>
      <c r="D124">
        <f>ROUND(VLOOKUP($A124,Results!$A$2:$I$437,5,FALSE),2)</f>
        <v>61.6</v>
      </c>
      <c r="E124" s="72">
        <f t="shared" si="6"/>
        <v>37.840565085771949</v>
      </c>
      <c r="F124" s="72">
        <f t="shared" si="7"/>
        <v>62.159434914228065</v>
      </c>
      <c r="G124" s="72">
        <f t="shared" si="8"/>
        <v>28.318869828456116</v>
      </c>
      <c r="H124">
        <f>ROUND(VLOOKUP($A124,Results!$A$2:$I$437,6,FALSE),2)</f>
        <v>37.799999999999997</v>
      </c>
      <c r="I124">
        <f>ROUND(VLOOKUP($A124,Results!$A$2:$I$437,7,FALSE),2)</f>
        <v>61.6</v>
      </c>
      <c r="J124" s="72">
        <f t="shared" si="9"/>
        <v>38.028169014084497</v>
      </c>
      <c r="K124" s="72">
        <f t="shared" si="10"/>
        <v>61.971830985915489</v>
      </c>
      <c r="L124" s="72">
        <f t="shared" si="11"/>
        <v>31.243661971830992</v>
      </c>
    </row>
    <row r="125" spans="1:12" x14ac:dyDescent="0.25">
      <c r="A125" s="3" t="s">
        <v>253</v>
      </c>
      <c r="B125" t="s">
        <v>253</v>
      </c>
      <c r="C125">
        <f>ROUND(VLOOKUP($A125,Results!$A$2:$I$437,4,FALSE),2)</f>
        <v>20.5</v>
      </c>
      <c r="D125">
        <f>ROUND(VLOOKUP($A125,Results!$A$2:$I$437,5,FALSE),2)</f>
        <v>78.099999999999994</v>
      </c>
      <c r="E125" s="72">
        <f t="shared" si="6"/>
        <v>20.791075050709939</v>
      </c>
      <c r="F125" s="72">
        <f t="shared" si="7"/>
        <v>79.208924949290065</v>
      </c>
      <c r="G125" s="72">
        <f t="shared" si="8"/>
        <v>62.41784989858013</v>
      </c>
      <c r="H125">
        <f>ROUND(VLOOKUP($A125,Results!$A$2:$I$437,6,FALSE),2)</f>
        <v>24.3</v>
      </c>
      <c r="I125">
        <f>ROUND(VLOOKUP($A125,Results!$A$2:$I$437,7,FALSE),2)</f>
        <v>74.7</v>
      </c>
      <c r="J125" s="72">
        <f t="shared" si="9"/>
        <v>24.545454545454547</v>
      </c>
      <c r="K125" s="72">
        <f t="shared" si="10"/>
        <v>75.454545454545453</v>
      </c>
      <c r="L125" s="72">
        <f t="shared" si="11"/>
        <v>58.209090909090904</v>
      </c>
    </row>
    <row r="126" spans="1:12" x14ac:dyDescent="0.25">
      <c r="A126" s="3" t="s">
        <v>255</v>
      </c>
      <c r="B126" t="s">
        <v>255</v>
      </c>
      <c r="C126">
        <f>ROUND(VLOOKUP($A126,Results!$A$2:$I$437,4,FALSE),2)</f>
        <v>36.299999999999997</v>
      </c>
      <c r="D126">
        <f>ROUND(VLOOKUP($A126,Results!$A$2:$I$437,5,FALSE),2)</f>
        <v>62.5</v>
      </c>
      <c r="E126" s="72">
        <f t="shared" si="6"/>
        <v>36.740890688259107</v>
      </c>
      <c r="F126" s="72">
        <f t="shared" si="7"/>
        <v>63.259109311740893</v>
      </c>
      <c r="G126" s="72">
        <f t="shared" si="8"/>
        <v>30.518218623481786</v>
      </c>
      <c r="H126">
        <f>ROUND(VLOOKUP($A126,Results!$A$2:$I$437,6,FALSE),2)</f>
        <v>38.799999999999997</v>
      </c>
      <c r="I126">
        <f>ROUND(VLOOKUP($A126,Results!$A$2:$I$437,7,FALSE),2)</f>
        <v>60.4</v>
      </c>
      <c r="J126" s="72">
        <f t="shared" si="9"/>
        <v>39.112903225806456</v>
      </c>
      <c r="K126" s="72">
        <f t="shared" si="10"/>
        <v>60.887096774193552</v>
      </c>
      <c r="L126" s="72">
        <f t="shared" si="11"/>
        <v>29.074193548387097</v>
      </c>
    </row>
    <row r="127" spans="1:12" x14ac:dyDescent="0.25">
      <c r="A127" s="3" t="s">
        <v>257</v>
      </c>
      <c r="B127" t="s">
        <v>257</v>
      </c>
      <c r="C127">
        <f>ROUND(VLOOKUP($A127,Results!$A$2:$I$437,4,FALSE),2)</f>
        <v>31.5</v>
      </c>
      <c r="D127">
        <f>ROUND(VLOOKUP($A127,Results!$A$2:$I$437,5,FALSE),2)</f>
        <v>66.900000000000006</v>
      </c>
      <c r="E127" s="72">
        <f t="shared" si="6"/>
        <v>32.012195121951223</v>
      </c>
      <c r="F127" s="72">
        <f t="shared" si="7"/>
        <v>67.987804878048792</v>
      </c>
      <c r="G127" s="72">
        <f t="shared" si="8"/>
        <v>39.975609756097569</v>
      </c>
      <c r="H127">
        <f>ROUND(VLOOKUP($A127,Results!$A$2:$I$437,6,FALSE),2)</f>
        <v>34.700000000000003</v>
      </c>
      <c r="I127">
        <f>ROUND(VLOOKUP($A127,Results!$A$2:$I$437,7,FALSE),2)</f>
        <v>64.3</v>
      </c>
      <c r="J127" s="72">
        <f t="shared" si="9"/>
        <v>35.050505050505052</v>
      </c>
      <c r="K127" s="72">
        <f t="shared" si="10"/>
        <v>64.949494949494948</v>
      </c>
      <c r="L127" s="72">
        <f t="shared" si="11"/>
        <v>37.198989898989893</v>
      </c>
    </row>
    <row r="128" spans="1:12" x14ac:dyDescent="0.25">
      <c r="A128" s="3" t="s">
        <v>259</v>
      </c>
      <c r="B128" t="s">
        <v>259</v>
      </c>
      <c r="C128">
        <f>ROUND(VLOOKUP($A128,Results!$A$2:$I$437,4,FALSE),2)</f>
        <v>43.6</v>
      </c>
      <c r="D128">
        <f>ROUND(VLOOKUP($A128,Results!$A$2:$I$437,5,FALSE),2)</f>
        <v>55.4</v>
      </c>
      <c r="E128" s="72">
        <f t="shared" si="6"/>
        <v>44.040404040404042</v>
      </c>
      <c r="F128" s="72">
        <f t="shared" si="7"/>
        <v>55.959595959595951</v>
      </c>
      <c r="G128" s="72">
        <f t="shared" si="8"/>
        <v>15.91919191919191</v>
      </c>
      <c r="H128">
        <f>ROUND(VLOOKUP($A128,Results!$A$2:$I$437,6,FALSE),2)</f>
        <v>43.9</v>
      </c>
      <c r="I128">
        <f>ROUND(VLOOKUP($A128,Results!$A$2:$I$437,7,FALSE),2)</f>
        <v>55.6</v>
      </c>
      <c r="J128" s="72">
        <f t="shared" si="9"/>
        <v>44.120603015075375</v>
      </c>
      <c r="K128" s="72">
        <f t="shared" si="10"/>
        <v>55.879396984924625</v>
      </c>
      <c r="L128" s="72">
        <f t="shared" si="11"/>
        <v>19.058793969849251</v>
      </c>
    </row>
    <row r="129" spans="1:12" x14ac:dyDescent="0.25">
      <c r="A129" s="3" t="s">
        <v>261</v>
      </c>
      <c r="B129" t="s">
        <v>261</v>
      </c>
      <c r="C129">
        <f>ROUND(VLOOKUP($A129,Results!$A$2:$I$437,4,FALSE),2)</f>
        <v>69.2</v>
      </c>
      <c r="D129">
        <f>ROUND(VLOOKUP($A129,Results!$A$2:$I$437,5,FALSE),2)</f>
        <v>30</v>
      </c>
      <c r="E129" s="72">
        <f t="shared" si="6"/>
        <v>69.758064516129039</v>
      </c>
      <c r="F129" s="72">
        <f t="shared" si="7"/>
        <v>30.241935483870968</v>
      </c>
      <c r="G129" s="72">
        <f t="shared" si="8"/>
        <v>-35.516129032258071</v>
      </c>
      <c r="H129">
        <f>ROUND(VLOOKUP($A129,Results!$A$2:$I$437,6,FALSE),2)</f>
        <v>67.099999999999994</v>
      </c>
      <c r="I129">
        <f>ROUND(VLOOKUP($A129,Results!$A$2:$I$437,7,FALSE),2)</f>
        <v>32.299999999999997</v>
      </c>
      <c r="J129" s="72">
        <f t="shared" si="9"/>
        <v>67.505030181086525</v>
      </c>
      <c r="K129" s="72">
        <f t="shared" si="10"/>
        <v>32.494969818913482</v>
      </c>
      <c r="L129" s="72">
        <f t="shared" si="11"/>
        <v>-27.710060362173042</v>
      </c>
    </row>
    <row r="130" spans="1:12" x14ac:dyDescent="0.25">
      <c r="A130" s="3" t="s">
        <v>263</v>
      </c>
      <c r="B130" t="s">
        <v>263</v>
      </c>
      <c r="C130">
        <f>ROUND(VLOOKUP($A130,Results!$A$2:$I$437,4,FALSE),2)</f>
        <v>25.3</v>
      </c>
      <c r="D130">
        <f>ROUND(VLOOKUP($A130,Results!$A$2:$I$437,5,FALSE),2)</f>
        <v>73.2</v>
      </c>
      <c r="E130" s="72">
        <f t="shared" si="6"/>
        <v>25.685279187817262</v>
      </c>
      <c r="F130" s="72">
        <f t="shared" si="7"/>
        <v>74.314720812182742</v>
      </c>
      <c r="G130" s="72">
        <f t="shared" si="8"/>
        <v>52.629441624365484</v>
      </c>
      <c r="H130">
        <f>ROUND(VLOOKUP($A130,Results!$A$2:$I$437,6,FALSE),2)</f>
        <v>27.8</v>
      </c>
      <c r="I130">
        <f>ROUND(VLOOKUP($A130,Results!$A$2:$I$437,7,FALSE),2)</f>
        <v>71</v>
      </c>
      <c r="J130" s="72">
        <f t="shared" si="9"/>
        <v>28.137651821862349</v>
      </c>
      <c r="K130" s="72">
        <f t="shared" si="10"/>
        <v>71.862348178137665</v>
      </c>
      <c r="L130" s="72">
        <f t="shared" si="11"/>
        <v>51.024696356275314</v>
      </c>
    </row>
    <row r="131" spans="1:12" x14ac:dyDescent="0.25">
      <c r="A131" s="3" t="s">
        <v>265</v>
      </c>
      <c r="B131" t="s">
        <v>265</v>
      </c>
      <c r="C131">
        <f>ROUND(VLOOKUP($A131,Results!$A$2:$I$437,4,FALSE),2)</f>
        <v>69.7</v>
      </c>
      <c r="D131">
        <f>ROUND(VLOOKUP($A131,Results!$A$2:$I$437,5,FALSE),2)</f>
        <v>29</v>
      </c>
      <c r="E131" s="72">
        <f t="shared" si="6"/>
        <v>70.618034447821685</v>
      </c>
      <c r="F131" s="72">
        <f t="shared" si="7"/>
        <v>29.381965552178318</v>
      </c>
      <c r="G131" s="72">
        <f t="shared" si="8"/>
        <v>-37.236068895643371</v>
      </c>
      <c r="H131">
        <f>ROUND(VLOOKUP($A131,Results!$A$2:$I$437,6,FALSE),2)</f>
        <v>70.3</v>
      </c>
      <c r="I131">
        <f>ROUND(VLOOKUP($A131,Results!$A$2:$I$437,7,FALSE),2)</f>
        <v>28.3</v>
      </c>
      <c r="J131" s="72">
        <f t="shared" si="9"/>
        <v>71.298174442190671</v>
      </c>
      <c r="K131" s="72">
        <f t="shared" si="10"/>
        <v>28.701825557809336</v>
      </c>
      <c r="L131" s="72">
        <f t="shared" si="11"/>
        <v>-35.296348884381338</v>
      </c>
    </row>
    <row r="132" spans="1:12" x14ac:dyDescent="0.25">
      <c r="A132" s="3" t="s">
        <v>267</v>
      </c>
      <c r="B132" t="s">
        <v>267</v>
      </c>
      <c r="C132">
        <f>ROUND(VLOOKUP($A132,Results!$A$2:$I$437,4,FALSE),2)</f>
        <v>71.400000000000006</v>
      </c>
      <c r="D132">
        <f>ROUND(VLOOKUP($A132,Results!$A$2:$I$437,5,FALSE),2)</f>
        <v>26.7</v>
      </c>
      <c r="E132" s="72">
        <f t="shared" ref="E132:E195" si="12">C132/SUM(C132:D132)*100</f>
        <v>72.782874617737008</v>
      </c>
      <c r="F132" s="72">
        <f t="shared" ref="F132:F195" si="13">D132/SUM(C132:D132)*100</f>
        <v>27.217125382262996</v>
      </c>
      <c r="G132" s="72">
        <f t="shared" ref="G132:G195" si="14">F132-E132+4</f>
        <v>-41.565749235474016</v>
      </c>
      <c r="H132">
        <f>ROUND(VLOOKUP($A132,Results!$A$2:$I$437,6,FALSE),2)</f>
        <v>73.400000000000006</v>
      </c>
      <c r="I132">
        <f>ROUND(VLOOKUP($A132,Results!$A$2:$I$437,7,FALSE),2)</f>
        <v>24.9</v>
      </c>
      <c r="J132" s="72">
        <f t="shared" ref="J132:J195" si="15">H132/SUM(H132:I132)*100</f>
        <v>74.669379450661239</v>
      </c>
      <c r="K132" s="72">
        <f t="shared" ref="K132:K195" si="16">I132/SUM(H132:I132)*100</f>
        <v>25.330620549338757</v>
      </c>
      <c r="L132" s="72">
        <f t="shared" ref="L132:L195" si="17">K132-J132+7.3</f>
        <v>-42.038758901322481</v>
      </c>
    </row>
    <row r="133" spans="1:12" x14ac:dyDescent="0.25">
      <c r="A133" s="3" t="s">
        <v>269</v>
      </c>
      <c r="B133" t="s">
        <v>269</v>
      </c>
      <c r="C133">
        <f>ROUND(VLOOKUP($A133,Results!$A$2:$I$437,4,FALSE),2)</f>
        <v>56.2</v>
      </c>
      <c r="D133">
        <f>ROUND(VLOOKUP($A133,Results!$A$2:$I$437,5,FALSE),2)</f>
        <v>42.5</v>
      </c>
      <c r="E133" s="72">
        <f t="shared" si="12"/>
        <v>56.940222897669713</v>
      </c>
      <c r="F133" s="72">
        <f t="shared" si="13"/>
        <v>43.059777102330294</v>
      </c>
      <c r="G133" s="72">
        <f t="shared" si="14"/>
        <v>-9.8804457953394191</v>
      </c>
      <c r="H133">
        <f>ROUND(VLOOKUP($A133,Results!$A$2:$I$437,6,FALSE),2)</f>
        <v>58.5</v>
      </c>
      <c r="I133">
        <f>ROUND(VLOOKUP($A133,Results!$A$2:$I$437,7,FALSE),2)</f>
        <v>40.4</v>
      </c>
      <c r="J133" s="72">
        <f t="shared" si="15"/>
        <v>59.150657229524775</v>
      </c>
      <c r="K133" s="72">
        <f t="shared" si="16"/>
        <v>40.849342770475225</v>
      </c>
      <c r="L133" s="72">
        <f t="shared" si="17"/>
        <v>-11.001314459049549</v>
      </c>
    </row>
    <row r="134" spans="1:12" x14ac:dyDescent="0.25">
      <c r="A134" s="3" t="s">
        <v>271</v>
      </c>
      <c r="B134" t="s">
        <v>271</v>
      </c>
      <c r="C134">
        <f>ROUND(VLOOKUP($A134,Results!$A$2:$I$437,4,FALSE),2)</f>
        <v>55.8</v>
      </c>
      <c r="D134">
        <f>ROUND(VLOOKUP($A134,Results!$A$2:$I$437,5,FALSE),2)</f>
        <v>42.7</v>
      </c>
      <c r="E134" s="72">
        <f t="shared" si="12"/>
        <v>56.649746192893403</v>
      </c>
      <c r="F134" s="72">
        <f t="shared" si="13"/>
        <v>43.350253807106604</v>
      </c>
      <c r="G134" s="72">
        <f t="shared" si="14"/>
        <v>-9.2994923857867988</v>
      </c>
      <c r="H134">
        <f>ROUND(VLOOKUP($A134,Results!$A$2:$I$437,6,FALSE),2)</f>
        <v>57.1</v>
      </c>
      <c r="I134">
        <f>ROUND(VLOOKUP($A134,Results!$A$2:$I$437,7,FALSE),2)</f>
        <v>41.6</v>
      </c>
      <c r="J134" s="72">
        <f t="shared" si="15"/>
        <v>57.852077001013171</v>
      </c>
      <c r="K134" s="72">
        <f t="shared" si="16"/>
        <v>42.147922998986829</v>
      </c>
      <c r="L134" s="72">
        <f t="shared" si="17"/>
        <v>-8.4041540020263419</v>
      </c>
    </row>
    <row r="135" spans="1:12" x14ac:dyDescent="0.25">
      <c r="A135" s="3" t="s">
        <v>273</v>
      </c>
      <c r="B135" t="s">
        <v>273</v>
      </c>
      <c r="C135">
        <f>ROUND(VLOOKUP($A135,Results!$A$2:$I$437,4,FALSE),2)</f>
        <v>51.4</v>
      </c>
      <c r="D135">
        <f>ROUND(VLOOKUP($A135,Results!$A$2:$I$437,5,FALSE),2)</f>
        <v>47.2</v>
      </c>
      <c r="E135" s="72">
        <f t="shared" si="12"/>
        <v>52.129817444219071</v>
      </c>
      <c r="F135" s="72">
        <f t="shared" si="13"/>
        <v>47.870182555780936</v>
      </c>
      <c r="G135" s="72">
        <f t="shared" si="14"/>
        <v>-0.25963488843813565</v>
      </c>
      <c r="H135">
        <f>ROUND(VLOOKUP($A135,Results!$A$2:$I$437,6,FALSE),2)</f>
        <v>52.4</v>
      </c>
      <c r="I135">
        <f>ROUND(VLOOKUP($A135,Results!$A$2:$I$437,7,FALSE),2)</f>
        <v>46.3</v>
      </c>
      <c r="J135" s="72">
        <f t="shared" si="15"/>
        <v>53.090172239108412</v>
      </c>
      <c r="K135" s="72">
        <f t="shared" si="16"/>
        <v>46.909827760891595</v>
      </c>
      <c r="L135" s="72">
        <f t="shared" si="17"/>
        <v>1.1196555217831827</v>
      </c>
    </row>
    <row r="136" spans="1:12" x14ac:dyDescent="0.25">
      <c r="A136" s="3" t="s">
        <v>275</v>
      </c>
      <c r="B136" t="s">
        <v>275</v>
      </c>
      <c r="C136">
        <f>ROUND(VLOOKUP($A136,Results!$A$2:$I$437,4,FALSE),2)</f>
        <v>45.3</v>
      </c>
      <c r="D136">
        <f>ROUND(VLOOKUP($A136,Results!$A$2:$I$437,5,FALSE),2)</f>
        <v>53.4</v>
      </c>
      <c r="E136" s="72">
        <f t="shared" si="12"/>
        <v>45.89665653495441</v>
      </c>
      <c r="F136" s="72">
        <f t="shared" si="13"/>
        <v>54.103343465045597</v>
      </c>
      <c r="G136" s="72">
        <f t="shared" si="14"/>
        <v>12.206686930091188</v>
      </c>
      <c r="H136">
        <f>ROUND(VLOOKUP($A136,Results!$A$2:$I$437,6,FALSE),2)</f>
        <v>48.5</v>
      </c>
      <c r="I136">
        <f>ROUND(VLOOKUP($A136,Results!$A$2:$I$437,7,FALSE),2)</f>
        <v>50.2</v>
      </c>
      <c r="J136" s="72">
        <f t="shared" si="15"/>
        <v>49.138804457953391</v>
      </c>
      <c r="K136" s="72">
        <f t="shared" si="16"/>
        <v>50.861195542046609</v>
      </c>
      <c r="L136" s="72">
        <f t="shared" si="17"/>
        <v>9.0223910840932184</v>
      </c>
    </row>
    <row r="137" spans="1:12" x14ac:dyDescent="0.25">
      <c r="A137" s="3" t="s">
        <v>277</v>
      </c>
      <c r="B137" t="s">
        <v>277</v>
      </c>
      <c r="C137">
        <f>ROUND(VLOOKUP($A137,Results!$A$2:$I$437,4,FALSE),2)</f>
        <v>32.200000000000003</v>
      </c>
      <c r="D137">
        <f>ROUND(VLOOKUP($A137,Results!$A$2:$I$437,5,FALSE),2)</f>
        <v>64.900000000000006</v>
      </c>
      <c r="E137" s="72">
        <f t="shared" si="12"/>
        <v>33.161688980432544</v>
      </c>
      <c r="F137" s="72">
        <f t="shared" si="13"/>
        <v>66.838311019567456</v>
      </c>
      <c r="G137" s="72">
        <f t="shared" si="14"/>
        <v>37.676622039134912</v>
      </c>
      <c r="H137">
        <f>ROUND(VLOOKUP($A137,Results!$A$2:$I$437,6,FALSE),2)</f>
        <v>35.1</v>
      </c>
      <c r="I137">
        <f>ROUND(VLOOKUP($A137,Results!$A$2:$I$437,7,FALSE),2)</f>
        <v>62.5</v>
      </c>
      <c r="J137" s="72">
        <f t="shared" si="15"/>
        <v>35.963114754098363</v>
      </c>
      <c r="K137" s="72">
        <f t="shared" si="16"/>
        <v>64.036885245901644</v>
      </c>
      <c r="L137" s="72">
        <f t="shared" si="17"/>
        <v>35.373770491803278</v>
      </c>
    </row>
    <row r="138" spans="1:12" x14ac:dyDescent="0.25">
      <c r="A138" s="3" t="s">
        <v>279</v>
      </c>
      <c r="B138" t="s">
        <v>279</v>
      </c>
      <c r="C138">
        <f>ROUND(VLOOKUP($A138,Results!$A$2:$I$437,4,FALSE),2)</f>
        <v>33.1</v>
      </c>
      <c r="D138">
        <f>ROUND(VLOOKUP($A138,Results!$A$2:$I$437,5,FALSE),2)</f>
        <v>64.099999999999994</v>
      </c>
      <c r="E138" s="72">
        <f t="shared" si="12"/>
        <v>34.053497942386834</v>
      </c>
      <c r="F138" s="72">
        <f t="shared" si="13"/>
        <v>65.946502057613159</v>
      </c>
      <c r="G138" s="72">
        <f t="shared" si="14"/>
        <v>35.893004115226326</v>
      </c>
      <c r="H138">
        <f>ROUND(VLOOKUP($A138,Results!$A$2:$I$437,6,FALSE),2)</f>
        <v>37.1</v>
      </c>
      <c r="I138">
        <f>ROUND(VLOOKUP($A138,Results!$A$2:$I$437,7,FALSE),2)</f>
        <v>60.5</v>
      </c>
      <c r="J138" s="72">
        <f t="shared" si="15"/>
        <v>38.012295081967217</v>
      </c>
      <c r="K138" s="72">
        <f t="shared" si="16"/>
        <v>61.98770491803279</v>
      </c>
      <c r="L138" s="72">
        <f t="shared" si="17"/>
        <v>31.275409836065574</v>
      </c>
    </row>
    <row r="139" spans="1:12" x14ac:dyDescent="0.25">
      <c r="A139" s="3" t="s">
        <v>281</v>
      </c>
      <c r="B139" t="s">
        <v>281</v>
      </c>
      <c r="C139">
        <f>ROUND(VLOOKUP($A139,Results!$A$2:$I$437,4,FALSE),2)</f>
        <v>79</v>
      </c>
      <c r="D139">
        <f>ROUND(VLOOKUP($A139,Results!$A$2:$I$437,5,FALSE),2)</f>
        <v>20.2</v>
      </c>
      <c r="E139" s="72">
        <f t="shared" si="12"/>
        <v>79.637096774193552</v>
      </c>
      <c r="F139" s="72">
        <f t="shared" si="13"/>
        <v>20.362903225806448</v>
      </c>
      <c r="G139" s="72">
        <f t="shared" si="14"/>
        <v>-55.274193548387103</v>
      </c>
      <c r="H139">
        <f>ROUND(VLOOKUP($A139,Results!$A$2:$I$437,6,FALSE),2)</f>
        <v>80.8</v>
      </c>
      <c r="I139">
        <f>ROUND(VLOOKUP($A139,Results!$A$2:$I$437,7,FALSE),2)</f>
        <v>18.5</v>
      </c>
      <c r="J139" s="72">
        <f t="shared" si="15"/>
        <v>81.369587109768389</v>
      </c>
      <c r="K139" s="72">
        <f t="shared" si="16"/>
        <v>18.630412890231622</v>
      </c>
      <c r="L139" s="72">
        <f t="shared" si="17"/>
        <v>-55.439174219536767</v>
      </c>
    </row>
    <row r="140" spans="1:12" x14ac:dyDescent="0.25">
      <c r="A140" s="3" t="s">
        <v>283</v>
      </c>
      <c r="B140" t="s">
        <v>283</v>
      </c>
      <c r="C140">
        <f>ROUND(VLOOKUP($A140,Results!$A$2:$I$437,4,FALSE),2)</f>
        <v>80.7</v>
      </c>
      <c r="D140">
        <f>ROUND(VLOOKUP($A140,Results!$A$2:$I$437,5,FALSE),2)</f>
        <v>18.5</v>
      </c>
      <c r="E140" s="72">
        <f t="shared" si="12"/>
        <v>81.350806451612897</v>
      </c>
      <c r="F140" s="72">
        <f t="shared" si="13"/>
        <v>18.649193548387096</v>
      </c>
      <c r="G140" s="72">
        <f t="shared" si="14"/>
        <v>-58.701612903225801</v>
      </c>
      <c r="H140">
        <f>ROUND(VLOOKUP($A140,Results!$A$2:$I$437,6,FALSE),2)</f>
        <v>81.099999999999994</v>
      </c>
      <c r="I140">
        <f>ROUND(VLOOKUP($A140,Results!$A$2:$I$437,7,FALSE),2)</f>
        <v>18.2</v>
      </c>
      <c r="J140" s="72">
        <f t="shared" si="15"/>
        <v>81.671701913393761</v>
      </c>
      <c r="K140" s="72">
        <f t="shared" si="16"/>
        <v>18.328298086606242</v>
      </c>
      <c r="L140" s="72">
        <f t="shared" si="17"/>
        <v>-56.043403826787525</v>
      </c>
    </row>
    <row r="141" spans="1:12" x14ac:dyDescent="0.25">
      <c r="A141" s="3" t="s">
        <v>285</v>
      </c>
      <c r="B141" t="s">
        <v>285</v>
      </c>
      <c r="C141">
        <f>ROUND(VLOOKUP($A141,Results!$A$2:$I$437,4,FALSE),2)</f>
        <v>55.9</v>
      </c>
      <c r="D141">
        <f>ROUND(VLOOKUP($A141,Results!$A$2:$I$437,5,FALSE),2)</f>
        <v>42.6</v>
      </c>
      <c r="E141" s="72">
        <f t="shared" si="12"/>
        <v>56.751269035532992</v>
      </c>
      <c r="F141" s="72">
        <f t="shared" si="13"/>
        <v>43.248730964467008</v>
      </c>
      <c r="G141" s="72">
        <f t="shared" si="14"/>
        <v>-9.5025380710659846</v>
      </c>
      <c r="H141">
        <f>ROUND(VLOOKUP($A141,Results!$A$2:$I$437,6,FALSE),2)</f>
        <v>58.3</v>
      </c>
      <c r="I141">
        <f>ROUND(VLOOKUP($A141,Results!$A$2:$I$437,7,FALSE),2)</f>
        <v>40.4</v>
      </c>
      <c r="J141" s="72">
        <f t="shared" si="15"/>
        <v>59.067882472137804</v>
      </c>
      <c r="K141" s="72">
        <f t="shared" si="16"/>
        <v>40.932117527862211</v>
      </c>
      <c r="L141" s="72">
        <f t="shared" si="17"/>
        <v>-10.835764944275592</v>
      </c>
    </row>
    <row r="142" spans="1:12" x14ac:dyDescent="0.25">
      <c r="A142" s="3" t="s">
        <v>287</v>
      </c>
      <c r="B142" t="s">
        <v>287</v>
      </c>
      <c r="C142">
        <f>ROUND(VLOOKUP($A142,Results!$A$2:$I$437,4,FALSE),2)</f>
        <v>80.900000000000006</v>
      </c>
      <c r="D142">
        <f>ROUND(VLOOKUP($A142,Results!$A$2:$I$437,5,FALSE),2)</f>
        <v>17.100000000000001</v>
      </c>
      <c r="E142" s="72">
        <f t="shared" si="12"/>
        <v>82.551020408163268</v>
      </c>
      <c r="F142" s="72">
        <f t="shared" si="13"/>
        <v>17.448979591836736</v>
      </c>
      <c r="G142" s="72">
        <f t="shared" si="14"/>
        <v>-61.102040816326536</v>
      </c>
      <c r="H142">
        <f>ROUND(VLOOKUP($A142,Results!$A$2:$I$437,6,FALSE),2)</f>
        <v>80.5</v>
      </c>
      <c r="I142">
        <f>ROUND(VLOOKUP($A142,Results!$A$2:$I$437,7,FALSE),2)</f>
        <v>18.2</v>
      </c>
      <c r="J142" s="72">
        <f t="shared" si="15"/>
        <v>81.560283687943254</v>
      </c>
      <c r="K142" s="72">
        <f t="shared" si="16"/>
        <v>18.439716312056735</v>
      </c>
      <c r="L142" s="72">
        <f t="shared" si="17"/>
        <v>-55.820567375886526</v>
      </c>
    </row>
    <row r="143" spans="1:12" x14ac:dyDescent="0.25">
      <c r="A143" s="3" t="s">
        <v>289</v>
      </c>
      <c r="B143" t="s">
        <v>289</v>
      </c>
      <c r="C143">
        <f>ROUND(VLOOKUP($A143,Results!$A$2:$I$437,4,FALSE),2)</f>
        <v>66</v>
      </c>
      <c r="D143">
        <f>ROUND(VLOOKUP($A143,Results!$A$2:$I$437,5,FALSE),2)</f>
        <v>31.8</v>
      </c>
      <c r="E143" s="72">
        <f t="shared" si="12"/>
        <v>67.484662576687114</v>
      </c>
      <c r="F143" s="72">
        <f t="shared" si="13"/>
        <v>32.515337423312886</v>
      </c>
      <c r="G143" s="72">
        <f t="shared" si="14"/>
        <v>-30.969325153374228</v>
      </c>
      <c r="H143">
        <f>ROUND(VLOOKUP($A143,Results!$A$2:$I$437,6,FALSE),2)</f>
        <v>69.900000000000006</v>
      </c>
      <c r="I143">
        <f>ROUND(VLOOKUP($A143,Results!$A$2:$I$437,7,FALSE),2)</f>
        <v>28.8</v>
      </c>
      <c r="J143" s="72">
        <f t="shared" si="15"/>
        <v>70.820668693009125</v>
      </c>
      <c r="K143" s="72">
        <f t="shared" si="16"/>
        <v>29.179331306990878</v>
      </c>
      <c r="L143" s="72">
        <f t="shared" si="17"/>
        <v>-34.341337386018253</v>
      </c>
    </row>
    <row r="144" spans="1:12" x14ac:dyDescent="0.25">
      <c r="A144" s="3" t="s">
        <v>291</v>
      </c>
      <c r="B144" t="s">
        <v>291</v>
      </c>
      <c r="C144">
        <f>ROUND(VLOOKUP($A144,Results!$A$2:$I$437,4,FALSE),2)</f>
        <v>45.1</v>
      </c>
      <c r="D144">
        <f>ROUND(VLOOKUP($A144,Results!$A$2:$I$437,5,FALSE),2)</f>
        <v>53.3</v>
      </c>
      <c r="E144" s="72">
        <f t="shared" si="12"/>
        <v>45.833333333333329</v>
      </c>
      <c r="F144" s="72">
        <f t="shared" si="13"/>
        <v>54.166666666666664</v>
      </c>
      <c r="G144" s="72">
        <f t="shared" si="14"/>
        <v>12.333333333333336</v>
      </c>
      <c r="H144">
        <f>ROUND(VLOOKUP($A144,Results!$A$2:$I$437,6,FALSE),2)</f>
        <v>51.3</v>
      </c>
      <c r="I144">
        <f>ROUND(VLOOKUP($A144,Results!$A$2:$I$437,7,FALSE),2)</f>
        <v>47.3</v>
      </c>
      <c r="J144" s="72">
        <f t="shared" si="15"/>
        <v>52.028397565922923</v>
      </c>
      <c r="K144" s="72">
        <f t="shared" si="16"/>
        <v>47.971602434077077</v>
      </c>
      <c r="L144" s="72">
        <f t="shared" si="17"/>
        <v>3.2432048681541543</v>
      </c>
    </row>
    <row r="145" spans="1:12" x14ac:dyDescent="0.25">
      <c r="A145" s="3" t="s">
        <v>293</v>
      </c>
      <c r="B145" t="s">
        <v>293</v>
      </c>
      <c r="C145">
        <f>ROUND(VLOOKUP($A145,Results!$A$2:$I$437,4,FALSE),2)</f>
        <v>87.2</v>
      </c>
      <c r="D145">
        <f>ROUND(VLOOKUP($A145,Results!$A$2:$I$437,5,FALSE),2)</f>
        <v>11.8</v>
      </c>
      <c r="E145" s="72">
        <f t="shared" si="12"/>
        <v>88.080808080808083</v>
      </c>
      <c r="F145" s="72">
        <f t="shared" si="13"/>
        <v>11.91919191919192</v>
      </c>
      <c r="G145" s="72">
        <f t="shared" si="14"/>
        <v>-72.161616161616166</v>
      </c>
      <c r="H145">
        <f>ROUND(VLOOKUP($A145,Results!$A$2:$I$437,6,FALSE),2)</f>
        <v>89.4</v>
      </c>
      <c r="I145">
        <f>ROUND(VLOOKUP($A145,Results!$A$2:$I$437,7,FALSE),2)</f>
        <v>9.9</v>
      </c>
      <c r="J145" s="72">
        <f t="shared" si="15"/>
        <v>90.030211480362539</v>
      </c>
      <c r="K145" s="72">
        <f t="shared" si="16"/>
        <v>9.9697885196374614</v>
      </c>
      <c r="L145" s="72">
        <f t="shared" si="17"/>
        <v>-72.76042296072508</v>
      </c>
    </row>
    <row r="146" spans="1:12" x14ac:dyDescent="0.25">
      <c r="A146" s="3" t="s">
        <v>295</v>
      </c>
      <c r="B146" t="s">
        <v>295</v>
      </c>
      <c r="C146">
        <f>ROUND(VLOOKUP($A146,Results!$A$2:$I$437,4,FALSE),2)</f>
        <v>57.4</v>
      </c>
      <c r="D146">
        <f>ROUND(VLOOKUP($A146,Results!$A$2:$I$437,5,FALSE),2)</f>
        <v>40.9</v>
      </c>
      <c r="E146" s="72">
        <f t="shared" si="12"/>
        <v>58.392675483214653</v>
      </c>
      <c r="F146" s="72">
        <f t="shared" si="13"/>
        <v>41.607324516785347</v>
      </c>
      <c r="G146" s="72">
        <f t="shared" si="14"/>
        <v>-12.785350966429306</v>
      </c>
      <c r="H146">
        <f>ROUND(VLOOKUP($A146,Results!$A$2:$I$437,6,FALSE),2)</f>
        <v>61.5</v>
      </c>
      <c r="I146">
        <f>ROUND(VLOOKUP($A146,Results!$A$2:$I$437,7,FALSE),2)</f>
        <v>37.1</v>
      </c>
      <c r="J146" s="72">
        <f t="shared" si="15"/>
        <v>62.37322515212982</v>
      </c>
      <c r="K146" s="72">
        <f t="shared" si="16"/>
        <v>37.626774847870188</v>
      </c>
      <c r="L146" s="72">
        <f t="shared" si="17"/>
        <v>-17.446450304259631</v>
      </c>
    </row>
    <row r="147" spans="1:12" x14ac:dyDescent="0.25">
      <c r="A147" s="3" t="s">
        <v>297</v>
      </c>
      <c r="B147" t="s">
        <v>297</v>
      </c>
      <c r="C147">
        <f>ROUND(VLOOKUP($A147,Results!$A$2:$I$437,4,FALSE),2)</f>
        <v>65</v>
      </c>
      <c r="D147">
        <f>ROUND(VLOOKUP($A147,Results!$A$2:$I$437,5,FALSE),2)</f>
        <v>33.299999999999997</v>
      </c>
      <c r="E147" s="72">
        <f t="shared" si="12"/>
        <v>66.124109867751784</v>
      </c>
      <c r="F147" s="72">
        <f t="shared" si="13"/>
        <v>33.875890132248216</v>
      </c>
      <c r="G147" s="72">
        <f t="shared" si="14"/>
        <v>-28.248219735503568</v>
      </c>
      <c r="H147">
        <f>ROUND(VLOOKUP($A147,Results!$A$2:$I$437,6,FALSE),2)</f>
        <v>68.599999999999994</v>
      </c>
      <c r="I147">
        <f>ROUND(VLOOKUP($A147,Results!$A$2:$I$437,7,FALSE),2)</f>
        <v>30.3</v>
      </c>
      <c r="J147" s="72">
        <f t="shared" si="15"/>
        <v>69.36299292214359</v>
      </c>
      <c r="K147" s="72">
        <f t="shared" si="16"/>
        <v>30.637007077856428</v>
      </c>
      <c r="L147" s="72">
        <f t="shared" si="17"/>
        <v>-31.425985844287165</v>
      </c>
    </row>
    <row r="148" spans="1:12" x14ac:dyDescent="0.25">
      <c r="A148" s="3" t="s">
        <v>299</v>
      </c>
      <c r="B148" t="s">
        <v>299</v>
      </c>
      <c r="C148">
        <f>ROUND(VLOOKUP($A148,Results!$A$2:$I$437,4,FALSE),2)</f>
        <v>57.5</v>
      </c>
      <c r="D148">
        <f>ROUND(VLOOKUP($A148,Results!$A$2:$I$437,5,FALSE),2)</f>
        <v>41.1</v>
      </c>
      <c r="E148" s="72">
        <f t="shared" si="12"/>
        <v>58.316430020283981</v>
      </c>
      <c r="F148" s="72">
        <f t="shared" si="13"/>
        <v>41.683569979716026</v>
      </c>
      <c r="G148" s="72">
        <f t="shared" si="14"/>
        <v>-12.632860040567955</v>
      </c>
      <c r="H148">
        <f>ROUND(VLOOKUP($A148,Results!$A$2:$I$437,6,FALSE),2)</f>
        <v>63</v>
      </c>
      <c r="I148">
        <f>ROUND(VLOOKUP($A148,Results!$A$2:$I$437,7,FALSE),2)</f>
        <v>35.9</v>
      </c>
      <c r="J148" s="72">
        <f t="shared" si="15"/>
        <v>63.700707785642066</v>
      </c>
      <c r="K148" s="72">
        <f t="shared" si="16"/>
        <v>36.299292214357934</v>
      </c>
      <c r="L148" s="72">
        <f t="shared" si="17"/>
        <v>-20.101415571284132</v>
      </c>
    </row>
    <row r="149" spans="1:12" x14ac:dyDescent="0.25">
      <c r="A149" s="3" t="s">
        <v>301</v>
      </c>
      <c r="B149" t="s">
        <v>301</v>
      </c>
      <c r="C149">
        <f>ROUND(VLOOKUP($A149,Results!$A$2:$I$437,4,FALSE),2)</f>
        <v>57.8</v>
      </c>
      <c r="D149">
        <f>ROUND(VLOOKUP($A149,Results!$A$2:$I$437,5,FALSE),2)</f>
        <v>40.6</v>
      </c>
      <c r="E149" s="72">
        <f t="shared" si="12"/>
        <v>58.739837398373972</v>
      </c>
      <c r="F149" s="72">
        <f t="shared" si="13"/>
        <v>41.260162601626014</v>
      </c>
      <c r="G149" s="72">
        <f t="shared" si="14"/>
        <v>-13.479674796747958</v>
      </c>
      <c r="H149">
        <f>ROUND(VLOOKUP($A149,Results!$A$2:$I$437,6,FALSE),2)</f>
        <v>61.3</v>
      </c>
      <c r="I149">
        <f>ROUND(VLOOKUP($A149,Results!$A$2:$I$437,7,FALSE),2)</f>
        <v>37.5</v>
      </c>
      <c r="J149" s="72">
        <f t="shared" si="15"/>
        <v>62.044534412955464</v>
      </c>
      <c r="K149" s="72">
        <f t="shared" si="16"/>
        <v>37.955465587044536</v>
      </c>
      <c r="L149" s="72">
        <f t="shared" si="17"/>
        <v>-16.789068825910928</v>
      </c>
    </row>
    <row r="150" spans="1:12" x14ac:dyDescent="0.25">
      <c r="A150" s="3" t="s">
        <v>303</v>
      </c>
      <c r="B150" t="s">
        <v>303</v>
      </c>
      <c r="C150">
        <f>ROUND(VLOOKUP($A150,Results!$A$2:$I$437,4,FALSE),2)</f>
        <v>49.7</v>
      </c>
      <c r="D150">
        <f>ROUND(VLOOKUP($A150,Results!$A$2:$I$437,5,FALSE),2)</f>
        <v>48.2</v>
      </c>
      <c r="E150" s="72">
        <f t="shared" si="12"/>
        <v>50.766087844739531</v>
      </c>
      <c r="F150" s="72">
        <f t="shared" si="13"/>
        <v>49.233912155260469</v>
      </c>
      <c r="G150" s="72">
        <f t="shared" si="14"/>
        <v>2.467824310520939</v>
      </c>
      <c r="H150">
        <f>ROUND(VLOOKUP($A150,Results!$A$2:$I$437,6,FALSE),2)</f>
        <v>54.7</v>
      </c>
      <c r="I150">
        <f>ROUND(VLOOKUP($A150,Results!$A$2:$I$437,7,FALSE),2)</f>
        <v>43.6</v>
      </c>
      <c r="J150" s="72">
        <f t="shared" si="15"/>
        <v>55.645981688708034</v>
      </c>
      <c r="K150" s="72">
        <f t="shared" si="16"/>
        <v>44.354018311291959</v>
      </c>
      <c r="L150" s="72">
        <f t="shared" si="17"/>
        <v>-3.9919633774160745</v>
      </c>
    </row>
    <row r="151" spans="1:12" x14ac:dyDescent="0.25">
      <c r="A151" s="3" t="s">
        <v>305</v>
      </c>
      <c r="B151" t="s">
        <v>305</v>
      </c>
      <c r="C151">
        <f>ROUND(VLOOKUP($A151,Results!$A$2:$I$437,4,FALSE),2)</f>
        <v>48.6</v>
      </c>
      <c r="D151">
        <f>ROUND(VLOOKUP($A151,Results!$A$2:$I$437,5,FALSE),2)</f>
        <v>48.9</v>
      </c>
      <c r="E151" s="72">
        <f t="shared" si="12"/>
        <v>49.846153846153847</v>
      </c>
      <c r="F151" s="72">
        <f t="shared" si="13"/>
        <v>50.153846153846146</v>
      </c>
      <c r="G151" s="72">
        <f t="shared" si="14"/>
        <v>4.3076923076922995</v>
      </c>
      <c r="H151">
        <f>ROUND(VLOOKUP($A151,Results!$A$2:$I$437,6,FALSE),2)</f>
        <v>54.6</v>
      </c>
      <c r="I151">
        <f>ROUND(VLOOKUP($A151,Results!$A$2:$I$437,7,FALSE),2)</f>
        <v>43.6</v>
      </c>
      <c r="J151" s="72">
        <f t="shared" si="15"/>
        <v>55.600814663951112</v>
      </c>
      <c r="K151" s="72">
        <f t="shared" si="16"/>
        <v>44.39918533604888</v>
      </c>
      <c r="L151" s="72">
        <f t="shared" si="17"/>
        <v>-3.9016293279022323</v>
      </c>
    </row>
    <row r="152" spans="1:12" x14ac:dyDescent="0.25">
      <c r="A152" s="3" t="s">
        <v>307</v>
      </c>
      <c r="B152" t="s">
        <v>307</v>
      </c>
      <c r="C152">
        <f>ROUND(VLOOKUP($A152,Results!$A$2:$I$437,4,FALSE),2)</f>
        <v>44.2</v>
      </c>
      <c r="D152">
        <f>ROUND(VLOOKUP($A152,Results!$A$2:$I$437,5,FALSE),2)</f>
        <v>54.2</v>
      </c>
      <c r="E152" s="72">
        <f t="shared" si="12"/>
        <v>44.918699186991873</v>
      </c>
      <c r="F152" s="72">
        <f t="shared" si="13"/>
        <v>55.081300813008127</v>
      </c>
      <c r="G152" s="72">
        <f t="shared" si="14"/>
        <v>14.162601626016254</v>
      </c>
      <c r="H152">
        <f>ROUND(VLOOKUP($A152,Results!$A$2:$I$437,6,FALSE),2)</f>
        <v>50.7</v>
      </c>
      <c r="I152">
        <f>ROUND(VLOOKUP($A152,Results!$A$2:$I$437,7,FALSE),2)</f>
        <v>48</v>
      </c>
      <c r="J152" s="72">
        <f t="shared" si="15"/>
        <v>51.367781155015201</v>
      </c>
      <c r="K152" s="72">
        <f t="shared" si="16"/>
        <v>48.632218844984806</v>
      </c>
      <c r="L152" s="72">
        <f t="shared" si="17"/>
        <v>4.564437689969604</v>
      </c>
    </row>
    <row r="153" spans="1:12" x14ac:dyDescent="0.25">
      <c r="A153" s="3" t="s">
        <v>309</v>
      </c>
      <c r="B153" t="s">
        <v>309</v>
      </c>
      <c r="C153">
        <f>ROUND(VLOOKUP($A153,Results!$A$2:$I$437,4,FALSE),2)</f>
        <v>34.1</v>
      </c>
      <c r="D153">
        <f>ROUND(VLOOKUP($A153,Results!$A$2:$I$437,5,FALSE),2)</f>
        <v>63.9</v>
      </c>
      <c r="E153" s="72">
        <f t="shared" si="12"/>
        <v>34.795918367346943</v>
      </c>
      <c r="F153" s="72">
        <f t="shared" si="13"/>
        <v>65.204081632653057</v>
      </c>
      <c r="G153" s="72">
        <f t="shared" si="14"/>
        <v>34.408163265306115</v>
      </c>
      <c r="H153">
        <f>ROUND(VLOOKUP($A153,Results!$A$2:$I$437,6,FALSE),2)</f>
        <v>42.8</v>
      </c>
      <c r="I153">
        <f>ROUND(VLOOKUP($A153,Results!$A$2:$I$437,7,FALSE),2)</f>
        <v>55.4</v>
      </c>
      <c r="J153" s="72">
        <f t="shared" si="15"/>
        <v>43.584521384928721</v>
      </c>
      <c r="K153" s="72">
        <f t="shared" si="16"/>
        <v>56.415478615071294</v>
      </c>
      <c r="L153" s="72">
        <f t="shared" si="17"/>
        <v>20.130957230142574</v>
      </c>
    </row>
    <row r="154" spans="1:12" x14ac:dyDescent="0.25">
      <c r="A154" s="3" t="s">
        <v>311</v>
      </c>
      <c r="B154" t="s">
        <v>311</v>
      </c>
      <c r="C154">
        <f>ROUND(VLOOKUP($A154,Results!$A$2:$I$437,4,FALSE),2)</f>
        <v>45.2</v>
      </c>
      <c r="D154">
        <f>ROUND(VLOOKUP($A154,Results!$A$2:$I$437,5,FALSE),2)</f>
        <v>52.9</v>
      </c>
      <c r="E154" s="72">
        <f t="shared" si="12"/>
        <v>46.075433231396538</v>
      </c>
      <c r="F154" s="72">
        <f t="shared" si="13"/>
        <v>53.924566768603469</v>
      </c>
      <c r="G154" s="72">
        <f t="shared" si="14"/>
        <v>11.849133537206932</v>
      </c>
      <c r="H154">
        <f>ROUND(VLOOKUP($A154,Results!$A$2:$I$437,6,FALSE),2)</f>
        <v>50</v>
      </c>
      <c r="I154">
        <f>ROUND(VLOOKUP($A154,Results!$A$2:$I$437,7,FALSE),2)</f>
        <v>48.2</v>
      </c>
      <c r="J154" s="72">
        <f t="shared" si="15"/>
        <v>50.916496945010181</v>
      </c>
      <c r="K154" s="72">
        <f t="shared" si="16"/>
        <v>49.083503054989819</v>
      </c>
      <c r="L154" s="72">
        <f t="shared" si="17"/>
        <v>5.4670061099796383</v>
      </c>
    </row>
    <row r="155" spans="1:12" x14ac:dyDescent="0.25">
      <c r="A155" s="3" t="s">
        <v>313</v>
      </c>
      <c r="B155" t="s">
        <v>313</v>
      </c>
      <c r="C155">
        <f>ROUND(VLOOKUP($A155,Results!$A$2:$I$437,4,FALSE),2)</f>
        <v>57.6</v>
      </c>
      <c r="D155">
        <f>ROUND(VLOOKUP($A155,Results!$A$2:$I$437,5,FALSE),2)</f>
        <v>40.6</v>
      </c>
      <c r="E155" s="72">
        <f t="shared" si="12"/>
        <v>58.655804480651732</v>
      </c>
      <c r="F155" s="72">
        <f t="shared" si="13"/>
        <v>41.344195519348268</v>
      </c>
      <c r="G155" s="72">
        <f t="shared" si="14"/>
        <v>-13.311608961303463</v>
      </c>
      <c r="H155">
        <f>ROUND(VLOOKUP($A155,Results!$A$2:$I$437,6,FALSE),2)</f>
        <v>60</v>
      </c>
      <c r="I155">
        <f>ROUND(VLOOKUP($A155,Results!$A$2:$I$437,7,FALSE),2)</f>
        <v>38.5</v>
      </c>
      <c r="J155" s="72">
        <f t="shared" si="15"/>
        <v>60.913705583756354</v>
      </c>
      <c r="K155" s="72">
        <f t="shared" si="16"/>
        <v>39.086294416243653</v>
      </c>
      <c r="L155" s="72">
        <f t="shared" si="17"/>
        <v>-14.5274111675127</v>
      </c>
    </row>
    <row r="156" spans="1:12" x14ac:dyDescent="0.25">
      <c r="A156" s="3" t="s">
        <v>315</v>
      </c>
      <c r="B156" t="s">
        <v>315</v>
      </c>
      <c r="C156">
        <f>ROUND(VLOOKUP($A156,Results!$A$2:$I$437,4,FALSE),2)</f>
        <v>37.4</v>
      </c>
      <c r="D156">
        <f>ROUND(VLOOKUP($A156,Results!$A$2:$I$437,5,FALSE),2)</f>
        <v>60.7</v>
      </c>
      <c r="E156" s="72">
        <f t="shared" si="12"/>
        <v>38.124362895005099</v>
      </c>
      <c r="F156" s="72">
        <f t="shared" si="13"/>
        <v>61.875637104994908</v>
      </c>
      <c r="G156" s="72">
        <f t="shared" si="14"/>
        <v>27.751274209989809</v>
      </c>
      <c r="H156">
        <f>ROUND(VLOOKUP($A156,Results!$A$2:$I$437,6,FALSE),2)</f>
        <v>44.1</v>
      </c>
      <c r="I156">
        <f>ROUND(VLOOKUP($A156,Results!$A$2:$I$437,7,FALSE),2)</f>
        <v>54.4</v>
      </c>
      <c r="J156" s="72">
        <f t="shared" si="15"/>
        <v>44.771573604060919</v>
      </c>
      <c r="K156" s="72">
        <f t="shared" si="16"/>
        <v>55.228426395939088</v>
      </c>
      <c r="L156" s="72">
        <f t="shared" si="17"/>
        <v>17.75685279187817</v>
      </c>
    </row>
    <row r="157" spans="1:12" x14ac:dyDescent="0.25">
      <c r="A157" s="3" t="s">
        <v>317</v>
      </c>
      <c r="B157" t="s">
        <v>317</v>
      </c>
      <c r="C157">
        <f>ROUND(VLOOKUP($A157,Results!$A$2:$I$437,4,FALSE),2)</f>
        <v>61.2</v>
      </c>
      <c r="D157">
        <f>ROUND(VLOOKUP($A157,Results!$A$2:$I$437,5,FALSE),2)</f>
        <v>37.4</v>
      </c>
      <c r="E157" s="72">
        <f t="shared" si="12"/>
        <v>62.068965517241381</v>
      </c>
      <c r="F157" s="72">
        <f t="shared" si="13"/>
        <v>37.931034482758619</v>
      </c>
      <c r="G157" s="72">
        <f t="shared" si="14"/>
        <v>-20.137931034482762</v>
      </c>
      <c r="H157">
        <f>ROUND(VLOOKUP($A157,Results!$A$2:$I$437,6,FALSE),2)</f>
        <v>63.3</v>
      </c>
      <c r="I157">
        <f>ROUND(VLOOKUP($A157,Results!$A$2:$I$437,7,FALSE),2)</f>
        <v>35.799999999999997</v>
      </c>
      <c r="J157" s="72">
        <f t="shared" si="15"/>
        <v>63.874873864783041</v>
      </c>
      <c r="K157" s="72">
        <f t="shared" si="16"/>
        <v>36.125126135216952</v>
      </c>
      <c r="L157" s="72">
        <f t="shared" si="17"/>
        <v>-20.449747729566088</v>
      </c>
    </row>
    <row r="158" spans="1:12" x14ac:dyDescent="0.25">
      <c r="A158" s="3" t="s">
        <v>319</v>
      </c>
      <c r="B158" t="s">
        <v>319</v>
      </c>
      <c r="C158">
        <f>ROUND(VLOOKUP($A158,Results!$A$2:$I$437,4,FALSE),2)</f>
        <v>42.1</v>
      </c>
      <c r="D158">
        <f>ROUND(VLOOKUP($A158,Results!$A$2:$I$437,5,FALSE),2)</f>
        <v>56.1</v>
      </c>
      <c r="E158" s="72">
        <f t="shared" si="12"/>
        <v>42.871690427698574</v>
      </c>
      <c r="F158" s="72">
        <f t="shared" si="13"/>
        <v>57.128309572301426</v>
      </c>
      <c r="G158" s="72">
        <f t="shared" si="14"/>
        <v>18.256619144602851</v>
      </c>
      <c r="H158">
        <f>ROUND(VLOOKUP($A158,Results!$A$2:$I$437,6,FALSE),2)</f>
        <v>49.6</v>
      </c>
      <c r="I158">
        <f>ROUND(VLOOKUP($A158,Results!$A$2:$I$437,7,FALSE),2)</f>
        <v>49.3</v>
      </c>
      <c r="J158" s="72">
        <f t="shared" si="15"/>
        <v>50.151668351870569</v>
      </c>
      <c r="K158" s="72">
        <f t="shared" si="16"/>
        <v>49.848331648129417</v>
      </c>
      <c r="L158" s="72">
        <f t="shared" si="17"/>
        <v>6.9966632962588475</v>
      </c>
    </row>
    <row r="159" spans="1:12" x14ac:dyDescent="0.25">
      <c r="A159" s="3" t="s">
        <v>321</v>
      </c>
      <c r="B159" t="s">
        <v>321</v>
      </c>
      <c r="C159">
        <f>ROUND(VLOOKUP($A159,Results!$A$2:$I$437,4,FALSE),2)</f>
        <v>35.700000000000003</v>
      </c>
      <c r="D159">
        <f>ROUND(VLOOKUP($A159,Results!$A$2:$I$437,5,FALSE),2)</f>
        <v>62.5</v>
      </c>
      <c r="E159" s="72">
        <f t="shared" si="12"/>
        <v>36.354378818737274</v>
      </c>
      <c r="F159" s="72">
        <f t="shared" si="13"/>
        <v>63.645621181262726</v>
      </c>
      <c r="G159" s="72">
        <f t="shared" si="14"/>
        <v>31.291242362525452</v>
      </c>
      <c r="H159">
        <f>ROUND(VLOOKUP($A159,Results!$A$2:$I$437,6,FALSE),2)</f>
        <v>43</v>
      </c>
      <c r="I159">
        <f>ROUND(VLOOKUP($A159,Results!$A$2:$I$437,7,FALSE),2)</f>
        <v>56</v>
      </c>
      <c r="J159" s="72">
        <f t="shared" si="15"/>
        <v>43.43434343434344</v>
      </c>
      <c r="K159" s="72">
        <f t="shared" si="16"/>
        <v>56.56565656565656</v>
      </c>
      <c r="L159" s="72">
        <f t="shared" si="17"/>
        <v>20.431313131313122</v>
      </c>
    </row>
    <row r="160" spans="1:12" x14ac:dyDescent="0.25">
      <c r="A160" s="3" t="s">
        <v>323</v>
      </c>
      <c r="B160" t="s">
        <v>323</v>
      </c>
      <c r="C160">
        <f>ROUND(VLOOKUP($A160,Results!$A$2:$I$437,4,FALSE),2)</f>
        <v>36.9</v>
      </c>
      <c r="D160">
        <f>ROUND(VLOOKUP($A160,Results!$A$2:$I$437,5,FALSE),2)</f>
        <v>60.9</v>
      </c>
      <c r="E160" s="72">
        <f t="shared" si="12"/>
        <v>37.730061349693251</v>
      </c>
      <c r="F160" s="72">
        <f t="shared" si="13"/>
        <v>62.269938650306742</v>
      </c>
      <c r="G160" s="72">
        <f t="shared" si="14"/>
        <v>28.53987730061349</v>
      </c>
      <c r="H160">
        <f>ROUND(VLOOKUP($A160,Results!$A$2:$I$437,6,FALSE),2)</f>
        <v>44.6</v>
      </c>
      <c r="I160">
        <f>ROUND(VLOOKUP($A160,Results!$A$2:$I$437,7,FALSE),2)</f>
        <v>54.2</v>
      </c>
      <c r="J160" s="72">
        <f t="shared" si="15"/>
        <v>45.141700404858298</v>
      </c>
      <c r="K160" s="72">
        <f t="shared" si="16"/>
        <v>54.858299595141702</v>
      </c>
      <c r="L160" s="72">
        <f t="shared" si="17"/>
        <v>17.016599190283404</v>
      </c>
    </row>
    <row r="161" spans="1:12" x14ac:dyDescent="0.25">
      <c r="A161" s="3" t="s">
        <v>325</v>
      </c>
      <c r="B161" t="s">
        <v>325</v>
      </c>
      <c r="C161">
        <f>ROUND(VLOOKUP($A161,Results!$A$2:$I$437,4,FALSE),2)</f>
        <v>40.700000000000003</v>
      </c>
      <c r="D161">
        <f>ROUND(VLOOKUP($A161,Results!$A$2:$I$437,5,FALSE),2)</f>
        <v>57.5</v>
      </c>
      <c r="E161" s="72">
        <f t="shared" si="12"/>
        <v>41.446028513238289</v>
      </c>
      <c r="F161" s="72">
        <f t="shared" si="13"/>
        <v>58.553971486761711</v>
      </c>
      <c r="G161" s="72">
        <f t="shared" si="14"/>
        <v>21.107942973523421</v>
      </c>
      <c r="H161">
        <f>ROUND(VLOOKUP($A161,Results!$A$2:$I$437,6,FALSE),2)</f>
        <v>46.6</v>
      </c>
      <c r="I161">
        <f>ROUND(VLOOKUP($A161,Results!$A$2:$I$437,7,FALSE),2)</f>
        <v>52.6</v>
      </c>
      <c r="J161" s="72">
        <f t="shared" si="15"/>
        <v>46.975806451612904</v>
      </c>
      <c r="K161" s="72">
        <f t="shared" si="16"/>
        <v>53.024193548387103</v>
      </c>
      <c r="L161" s="72">
        <f t="shared" si="17"/>
        <v>13.3483870967742</v>
      </c>
    </row>
    <row r="162" spans="1:12" x14ac:dyDescent="0.25">
      <c r="A162" s="3" t="s">
        <v>327</v>
      </c>
      <c r="B162" t="s">
        <v>327</v>
      </c>
      <c r="C162">
        <f>ROUND(VLOOKUP($A162,Results!$A$2:$I$437,4,FALSE),2)</f>
        <v>37.299999999999997</v>
      </c>
      <c r="D162">
        <f>ROUND(VLOOKUP($A162,Results!$A$2:$I$437,5,FALSE),2)</f>
        <v>60.4</v>
      </c>
      <c r="E162" s="72">
        <f t="shared" si="12"/>
        <v>38.178096212896619</v>
      </c>
      <c r="F162" s="72">
        <f t="shared" si="13"/>
        <v>61.821903787103381</v>
      </c>
      <c r="G162" s="72">
        <f t="shared" si="14"/>
        <v>27.643807574206761</v>
      </c>
      <c r="H162">
        <f>ROUND(VLOOKUP($A162,Results!$A$2:$I$437,6,FALSE),2)</f>
        <v>43.6</v>
      </c>
      <c r="I162">
        <f>ROUND(VLOOKUP($A162,Results!$A$2:$I$437,7,FALSE),2)</f>
        <v>55</v>
      </c>
      <c r="J162" s="72">
        <f t="shared" si="15"/>
        <v>44.219066937119678</v>
      </c>
      <c r="K162" s="72">
        <f t="shared" si="16"/>
        <v>55.780933062880322</v>
      </c>
      <c r="L162" s="72">
        <f t="shared" si="17"/>
        <v>18.861866125760645</v>
      </c>
    </row>
    <row r="163" spans="1:12" x14ac:dyDescent="0.25">
      <c r="A163" s="3" t="s">
        <v>329</v>
      </c>
      <c r="B163" t="s">
        <v>329</v>
      </c>
      <c r="C163">
        <f>ROUND(VLOOKUP($A163,Results!$A$2:$I$437,4,FALSE),2)</f>
        <v>62.9</v>
      </c>
      <c r="D163">
        <f>ROUND(VLOOKUP($A163,Results!$A$2:$I$437,5,FALSE),2)</f>
        <v>35.4</v>
      </c>
      <c r="E163" s="72">
        <f t="shared" si="12"/>
        <v>63.987792472024417</v>
      </c>
      <c r="F163" s="72">
        <f t="shared" si="13"/>
        <v>36.01220752797559</v>
      </c>
      <c r="G163" s="72">
        <f t="shared" si="14"/>
        <v>-23.975584944048826</v>
      </c>
      <c r="H163">
        <f>ROUND(VLOOKUP($A163,Results!$A$2:$I$437,6,FALSE),2)</f>
        <v>66.3</v>
      </c>
      <c r="I163">
        <f>ROUND(VLOOKUP($A163,Results!$A$2:$I$437,7,FALSE),2)</f>
        <v>32.799999999999997</v>
      </c>
      <c r="J163" s="72">
        <f t="shared" si="15"/>
        <v>66.902119071644805</v>
      </c>
      <c r="K163" s="72">
        <f t="shared" si="16"/>
        <v>33.097880928355195</v>
      </c>
      <c r="L163" s="72">
        <f t="shared" si="17"/>
        <v>-26.504238143289609</v>
      </c>
    </row>
    <row r="164" spans="1:12" x14ac:dyDescent="0.25">
      <c r="A164" s="3" t="s">
        <v>331</v>
      </c>
      <c r="B164" t="s">
        <v>331</v>
      </c>
      <c r="C164">
        <f>ROUND(VLOOKUP($A164,Results!$A$2:$I$437,4,FALSE),2)</f>
        <v>39.6</v>
      </c>
      <c r="D164">
        <f>ROUND(VLOOKUP($A164,Results!$A$2:$I$437,5,FALSE),2)</f>
        <v>58.4</v>
      </c>
      <c r="E164" s="72">
        <f t="shared" si="12"/>
        <v>40.408163265306122</v>
      </c>
      <c r="F164" s="72">
        <f t="shared" si="13"/>
        <v>59.591836734693885</v>
      </c>
      <c r="G164" s="72">
        <f t="shared" si="14"/>
        <v>23.183673469387763</v>
      </c>
      <c r="H164">
        <f>ROUND(VLOOKUP($A164,Results!$A$2:$I$437,6,FALSE),2)</f>
        <v>48.1</v>
      </c>
      <c r="I164">
        <f>ROUND(VLOOKUP($A164,Results!$A$2:$I$437,7,FALSE),2)</f>
        <v>50.6</v>
      </c>
      <c r="J164" s="72">
        <f t="shared" si="15"/>
        <v>48.733535967578526</v>
      </c>
      <c r="K164" s="72">
        <f t="shared" si="16"/>
        <v>51.266464032421474</v>
      </c>
      <c r="L164" s="72">
        <f t="shared" si="17"/>
        <v>9.8329280648429496</v>
      </c>
    </row>
    <row r="165" spans="1:12" x14ac:dyDescent="0.25">
      <c r="A165" s="3" t="s">
        <v>333</v>
      </c>
      <c r="B165" t="s">
        <v>333</v>
      </c>
      <c r="C165">
        <f>ROUND(VLOOKUP($A165,Results!$A$2:$I$437,4,FALSE),2)</f>
        <v>40.700000000000003</v>
      </c>
      <c r="D165">
        <f>ROUND(VLOOKUP($A165,Results!$A$2:$I$437,5,FALSE),2)</f>
        <v>57.2</v>
      </c>
      <c r="E165" s="72">
        <f t="shared" si="12"/>
        <v>41.573033707865171</v>
      </c>
      <c r="F165" s="72">
        <f t="shared" si="13"/>
        <v>58.426966292134829</v>
      </c>
      <c r="G165" s="72">
        <f t="shared" si="14"/>
        <v>20.853932584269657</v>
      </c>
      <c r="H165">
        <f>ROUND(VLOOKUP($A165,Results!$A$2:$I$437,6,FALSE),2)</f>
        <v>46.2</v>
      </c>
      <c r="I165">
        <f>ROUND(VLOOKUP($A165,Results!$A$2:$I$437,7,FALSE),2)</f>
        <v>52.7</v>
      </c>
      <c r="J165" s="72">
        <f t="shared" si="15"/>
        <v>46.71385237613751</v>
      </c>
      <c r="K165" s="72">
        <f t="shared" si="16"/>
        <v>53.28614762386249</v>
      </c>
      <c r="L165" s="72">
        <f t="shared" si="17"/>
        <v>13.872295247724981</v>
      </c>
    </row>
    <row r="166" spans="1:12" x14ac:dyDescent="0.25">
      <c r="A166" s="3" t="s">
        <v>335</v>
      </c>
      <c r="B166" t="s">
        <v>335</v>
      </c>
      <c r="C166">
        <f>ROUND(VLOOKUP($A166,Results!$A$2:$I$437,4,FALSE),2)</f>
        <v>27.6</v>
      </c>
      <c r="D166">
        <f>ROUND(VLOOKUP($A166,Results!$A$2:$I$437,5,FALSE),2)</f>
        <v>70.099999999999994</v>
      </c>
      <c r="E166" s="72">
        <f t="shared" si="12"/>
        <v>28.249744114636648</v>
      </c>
      <c r="F166" s="72">
        <f t="shared" si="13"/>
        <v>71.750255885363359</v>
      </c>
      <c r="G166" s="72">
        <f t="shared" si="14"/>
        <v>47.50051177072671</v>
      </c>
      <c r="H166">
        <f>ROUND(VLOOKUP($A166,Results!$A$2:$I$437,6,FALSE),2)</f>
        <v>31</v>
      </c>
      <c r="I166">
        <f>ROUND(VLOOKUP($A166,Results!$A$2:$I$437,7,FALSE),2)</f>
        <v>67.2</v>
      </c>
      <c r="J166" s="72">
        <f t="shared" si="15"/>
        <v>31.568228105906314</v>
      </c>
      <c r="K166" s="72">
        <f t="shared" si="16"/>
        <v>68.431771894093686</v>
      </c>
      <c r="L166" s="72">
        <f t="shared" si="17"/>
        <v>44.163543788187368</v>
      </c>
    </row>
    <row r="167" spans="1:12" x14ac:dyDescent="0.25">
      <c r="A167" s="3" t="s">
        <v>337</v>
      </c>
      <c r="B167" t="s">
        <v>337</v>
      </c>
      <c r="C167">
        <f>ROUND(VLOOKUP($A167,Results!$A$2:$I$437,4,FALSE),2)</f>
        <v>42</v>
      </c>
      <c r="D167">
        <f>ROUND(VLOOKUP($A167,Results!$A$2:$I$437,5,FALSE),2)</f>
        <v>55.6</v>
      </c>
      <c r="E167" s="72">
        <f t="shared" si="12"/>
        <v>43.032786885245905</v>
      </c>
      <c r="F167" s="72">
        <f t="shared" si="13"/>
        <v>56.967213114754102</v>
      </c>
      <c r="G167" s="72">
        <f t="shared" si="14"/>
        <v>17.934426229508198</v>
      </c>
      <c r="H167">
        <f>ROUND(VLOOKUP($A167,Results!$A$2:$I$437,6,FALSE),2)</f>
        <v>45.3</v>
      </c>
      <c r="I167">
        <f>ROUND(VLOOKUP($A167,Results!$A$2:$I$437,7,FALSE),2)</f>
        <v>52.8</v>
      </c>
      <c r="J167" s="72">
        <f t="shared" si="15"/>
        <v>46.177370030581038</v>
      </c>
      <c r="K167" s="72">
        <f t="shared" si="16"/>
        <v>53.822629969418955</v>
      </c>
      <c r="L167" s="72">
        <f t="shared" si="17"/>
        <v>14.945259938837918</v>
      </c>
    </row>
    <row r="168" spans="1:12" x14ac:dyDescent="0.25">
      <c r="A168" s="3" t="s">
        <v>339</v>
      </c>
      <c r="B168" t="s">
        <v>339</v>
      </c>
      <c r="C168">
        <f>ROUND(VLOOKUP($A168,Results!$A$2:$I$437,4,FALSE),2)</f>
        <v>44.3</v>
      </c>
      <c r="D168">
        <f>ROUND(VLOOKUP($A168,Results!$A$2:$I$437,5,FALSE),2)</f>
        <v>53.8</v>
      </c>
      <c r="E168" s="72">
        <f t="shared" si="12"/>
        <v>45.158002038735987</v>
      </c>
      <c r="F168" s="72">
        <f t="shared" si="13"/>
        <v>54.84199796126402</v>
      </c>
      <c r="G168" s="72">
        <f t="shared" si="14"/>
        <v>13.683995922528034</v>
      </c>
      <c r="H168">
        <f>ROUND(VLOOKUP($A168,Results!$A$2:$I$437,6,FALSE),2)</f>
        <v>48.8</v>
      </c>
      <c r="I168">
        <f>ROUND(VLOOKUP($A168,Results!$A$2:$I$437,7,FALSE),2)</f>
        <v>49.9</v>
      </c>
      <c r="J168" s="72">
        <f t="shared" si="15"/>
        <v>49.442755825734551</v>
      </c>
      <c r="K168" s="72">
        <f t="shared" si="16"/>
        <v>50.557244174265456</v>
      </c>
      <c r="L168" s="72">
        <f t="shared" si="17"/>
        <v>8.4144883485309059</v>
      </c>
    </row>
    <row r="169" spans="1:12" x14ac:dyDescent="0.25">
      <c r="A169" s="3" t="s">
        <v>341</v>
      </c>
      <c r="B169" t="s">
        <v>341</v>
      </c>
      <c r="C169">
        <f>ROUND(VLOOKUP($A169,Results!$A$2:$I$437,4,FALSE),2)</f>
        <v>36.1</v>
      </c>
      <c r="D169">
        <f>ROUND(VLOOKUP($A169,Results!$A$2:$I$437,5,FALSE),2)</f>
        <v>61.6</v>
      </c>
      <c r="E169" s="72">
        <f t="shared" si="12"/>
        <v>36.949846468781985</v>
      </c>
      <c r="F169" s="72">
        <f t="shared" si="13"/>
        <v>63.050153531218015</v>
      </c>
      <c r="G169" s="72">
        <f t="shared" si="14"/>
        <v>30.10030706243603</v>
      </c>
      <c r="H169">
        <f>ROUND(VLOOKUP($A169,Results!$A$2:$I$437,6,FALSE),2)</f>
        <v>39.5</v>
      </c>
      <c r="I169">
        <f>ROUND(VLOOKUP($A169,Results!$A$2:$I$437,7,FALSE),2)</f>
        <v>58.6</v>
      </c>
      <c r="J169" s="72">
        <f t="shared" si="15"/>
        <v>40.265035677879716</v>
      </c>
      <c r="K169" s="72">
        <f t="shared" si="16"/>
        <v>59.734964322120291</v>
      </c>
      <c r="L169" s="72">
        <f t="shared" si="17"/>
        <v>26.769928644240576</v>
      </c>
    </row>
    <row r="170" spans="1:12" x14ac:dyDescent="0.25">
      <c r="A170" s="3" t="s">
        <v>343</v>
      </c>
      <c r="B170" t="s">
        <v>343</v>
      </c>
      <c r="C170">
        <f>ROUND(VLOOKUP($A170,Results!$A$2:$I$437,4,FALSE),2)</f>
        <v>32.1</v>
      </c>
      <c r="D170">
        <f>ROUND(VLOOKUP($A170,Results!$A$2:$I$437,5,FALSE),2)</f>
        <v>66.400000000000006</v>
      </c>
      <c r="E170" s="72">
        <f t="shared" si="12"/>
        <v>32.588832487309645</v>
      </c>
      <c r="F170" s="72">
        <f t="shared" si="13"/>
        <v>67.411167512690355</v>
      </c>
      <c r="G170" s="72">
        <f t="shared" si="14"/>
        <v>38.82233502538071</v>
      </c>
      <c r="H170">
        <f>ROUND(VLOOKUP($A170,Results!$A$2:$I$437,6,FALSE),2)</f>
        <v>36.9</v>
      </c>
      <c r="I170">
        <f>ROUND(VLOOKUP($A170,Results!$A$2:$I$437,7,FALSE),2)</f>
        <v>61.6</v>
      </c>
      <c r="J170" s="72">
        <f t="shared" si="15"/>
        <v>37.461928934010153</v>
      </c>
      <c r="K170" s="72">
        <f t="shared" si="16"/>
        <v>62.538071065989854</v>
      </c>
      <c r="L170" s="72">
        <f t="shared" si="17"/>
        <v>32.376142131979698</v>
      </c>
    </row>
    <row r="171" spans="1:12" x14ac:dyDescent="0.25">
      <c r="A171" s="3" t="s">
        <v>345</v>
      </c>
      <c r="B171" t="s">
        <v>345</v>
      </c>
      <c r="C171">
        <f>ROUND(VLOOKUP($A171,Results!$A$2:$I$437,4,FALSE),2)</f>
        <v>35.1</v>
      </c>
      <c r="D171">
        <f>ROUND(VLOOKUP($A171,Results!$A$2:$I$437,5,FALSE),2)</f>
        <v>63.3</v>
      </c>
      <c r="E171" s="72">
        <f t="shared" si="12"/>
        <v>35.670731707317074</v>
      </c>
      <c r="F171" s="72">
        <f t="shared" si="13"/>
        <v>64.329268292682912</v>
      </c>
      <c r="G171" s="72">
        <f t="shared" si="14"/>
        <v>32.658536585365837</v>
      </c>
      <c r="H171">
        <f>ROUND(VLOOKUP($A171,Results!$A$2:$I$437,6,FALSE),2)</f>
        <v>37.200000000000003</v>
      </c>
      <c r="I171">
        <f>ROUND(VLOOKUP($A171,Results!$A$2:$I$437,7,FALSE),2)</f>
        <v>61.5</v>
      </c>
      <c r="J171" s="72">
        <f t="shared" si="15"/>
        <v>37.689969604863222</v>
      </c>
      <c r="K171" s="72">
        <f t="shared" si="16"/>
        <v>62.310030395136771</v>
      </c>
      <c r="L171" s="72">
        <f t="shared" si="17"/>
        <v>31.920060790273549</v>
      </c>
    </row>
    <row r="172" spans="1:12" x14ac:dyDescent="0.25">
      <c r="A172" s="3" t="s">
        <v>347</v>
      </c>
      <c r="B172" t="s">
        <v>347</v>
      </c>
      <c r="C172">
        <f>ROUND(VLOOKUP($A172,Results!$A$2:$I$437,4,FALSE),2)</f>
        <v>55.7</v>
      </c>
      <c r="D172">
        <f>ROUND(VLOOKUP($A172,Results!$A$2:$I$437,5,FALSE),2)</f>
        <v>42.8</v>
      </c>
      <c r="E172" s="72">
        <f t="shared" si="12"/>
        <v>56.548223350253814</v>
      </c>
      <c r="F172" s="72">
        <f t="shared" si="13"/>
        <v>43.451776649746186</v>
      </c>
      <c r="G172" s="72">
        <f t="shared" si="14"/>
        <v>-9.0964467005076273</v>
      </c>
      <c r="H172">
        <f>ROUND(VLOOKUP($A172,Results!$A$2:$I$437,6,FALSE),2)</f>
        <v>56.2</v>
      </c>
      <c r="I172">
        <f>ROUND(VLOOKUP($A172,Results!$A$2:$I$437,7,FALSE),2)</f>
        <v>42.8</v>
      </c>
      <c r="J172" s="72">
        <f t="shared" si="15"/>
        <v>56.767676767676768</v>
      </c>
      <c r="K172" s="72">
        <f t="shared" si="16"/>
        <v>43.232323232323225</v>
      </c>
      <c r="L172" s="72">
        <f t="shared" si="17"/>
        <v>-6.2353535353535436</v>
      </c>
    </row>
    <row r="173" spans="1:12" x14ac:dyDescent="0.25">
      <c r="A173" s="3" t="s">
        <v>349</v>
      </c>
      <c r="B173" t="s">
        <v>349</v>
      </c>
      <c r="C173">
        <f>ROUND(VLOOKUP($A173,Results!$A$2:$I$437,4,FALSE),2)</f>
        <v>34.799999999999997</v>
      </c>
      <c r="D173">
        <f>ROUND(VLOOKUP($A173,Results!$A$2:$I$437,5,FALSE),2)</f>
        <v>63.4</v>
      </c>
      <c r="E173" s="72">
        <f t="shared" si="12"/>
        <v>35.437881873727086</v>
      </c>
      <c r="F173" s="72">
        <f t="shared" si="13"/>
        <v>64.562118126272921</v>
      </c>
      <c r="G173" s="72">
        <f t="shared" si="14"/>
        <v>33.124236252545835</v>
      </c>
      <c r="H173">
        <f>ROUND(VLOOKUP($A173,Results!$A$2:$I$437,6,FALSE),2)</f>
        <v>37</v>
      </c>
      <c r="I173">
        <f>ROUND(VLOOKUP($A173,Results!$A$2:$I$437,7,FALSE),2)</f>
        <v>61.5</v>
      </c>
      <c r="J173" s="72">
        <f t="shared" si="15"/>
        <v>37.56345177664975</v>
      </c>
      <c r="K173" s="72">
        <f t="shared" si="16"/>
        <v>62.43654822335025</v>
      </c>
      <c r="L173" s="72">
        <f t="shared" si="17"/>
        <v>32.173096446700498</v>
      </c>
    </row>
    <row r="174" spans="1:12" x14ac:dyDescent="0.25">
      <c r="A174" s="3" t="s">
        <v>351</v>
      </c>
      <c r="B174" t="s">
        <v>351</v>
      </c>
      <c r="C174">
        <f>ROUND(VLOOKUP($A174,Results!$A$2:$I$437,4,FALSE),2)</f>
        <v>23.2</v>
      </c>
      <c r="D174">
        <f>ROUND(VLOOKUP($A174,Results!$A$2:$I$437,5,FALSE),2)</f>
        <v>75</v>
      </c>
      <c r="E174" s="72">
        <f t="shared" si="12"/>
        <v>23.625254582484722</v>
      </c>
      <c r="F174" s="72">
        <f t="shared" si="13"/>
        <v>76.374745417515271</v>
      </c>
      <c r="G174" s="72">
        <f t="shared" si="14"/>
        <v>56.749490835030549</v>
      </c>
      <c r="H174">
        <f>ROUND(VLOOKUP($A174,Results!$A$2:$I$437,6,FALSE),2)</f>
        <v>31.6</v>
      </c>
      <c r="I174">
        <f>ROUND(VLOOKUP($A174,Results!$A$2:$I$437,7,FALSE),2)</f>
        <v>66.599999999999994</v>
      </c>
      <c r="J174" s="72">
        <f t="shared" si="15"/>
        <v>32.17922606924644</v>
      </c>
      <c r="K174" s="72">
        <f t="shared" si="16"/>
        <v>67.82077393075356</v>
      </c>
      <c r="L174" s="72">
        <f t="shared" si="17"/>
        <v>42.941547861507118</v>
      </c>
    </row>
    <row r="175" spans="1:12" x14ac:dyDescent="0.25">
      <c r="A175" s="3" t="s">
        <v>353</v>
      </c>
      <c r="B175" t="s">
        <v>353</v>
      </c>
      <c r="C175">
        <f>ROUND(VLOOKUP($A175,Results!$A$2:$I$437,4,FALSE),2)</f>
        <v>42.2</v>
      </c>
      <c r="D175">
        <f>ROUND(VLOOKUP($A175,Results!$A$2:$I$437,5,FALSE),2)</f>
        <v>55.8</v>
      </c>
      <c r="E175" s="72">
        <f t="shared" si="12"/>
        <v>43.061224489795926</v>
      </c>
      <c r="F175" s="72">
        <f t="shared" si="13"/>
        <v>56.938775510204074</v>
      </c>
      <c r="G175" s="72">
        <f t="shared" si="14"/>
        <v>17.877551020408148</v>
      </c>
      <c r="H175">
        <f>ROUND(VLOOKUP($A175,Results!$A$2:$I$437,6,FALSE),2)</f>
        <v>44.8</v>
      </c>
      <c r="I175">
        <f>ROUND(VLOOKUP($A175,Results!$A$2:$I$437,7,FALSE),2)</f>
        <v>53.7</v>
      </c>
      <c r="J175" s="72">
        <f t="shared" si="15"/>
        <v>45.482233502538065</v>
      </c>
      <c r="K175" s="72">
        <f t="shared" si="16"/>
        <v>54.517766497461928</v>
      </c>
      <c r="L175" s="72">
        <f t="shared" si="17"/>
        <v>16.335532994923863</v>
      </c>
    </row>
    <row r="176" spans="1:12" x14ac:dyDescent="0.25">
      <c r="A176" s="3" t="s">
        <v>355</v>
      </c>
      <c r="B176" t="s">
        <v>355</v>
      </c>
      <c r="C176">
        <f>ROUND(VLOOKUP($A176,Results!$A$2:$I$437,4,FALSE),2)</f>
        <v>26.9</v>
      </c>
      <c r="D176">
        <f>ROUND(VLOOKUP($A176,Results!$A$2:$I$437,5,FALSE),2)</f>
        <v>70.900000000000006</v>
      </c>
      <c r="E176" s="72">
        <f t="shared" si="12"/>
        <v>27.50511247443762</v>
      </c>
      <c r="F176" s="72">
        <f t="shared" si="13"/>
        <v>72.494887525562362</v>
      </c>
      <c r="G176" s="72">
        <f t="shared" si="14"/>
        <v>48.989775051124738</v>
      </c>
      <c r="H176">
        <f>ROUND(VLOOKUP($A176,Results!$A$2:$I$437,6,FALSE),2)</f>
        <v>25.3</v>
      </c>
      <c r="I176">
        <f>ROUND(VLOOKUP($A176,Results!$A$2:$I$437,7,FALSE),2)</f>
        <v>72.7</v>
      </c>
      <c r="J176" s="72">
        <f t="shared" si="15"/>
        <v>25.816326530612244</v>
      </c>
      <c r="K176" s="72">
        <f t="shared" si="16"/>
        <v>74.183673469387756</v>
      </c>
      <c r="L176" s="72">
        <f t="shared" si="17"/>
        <v>55.667346938775509</v>
      </c>
    </row>
    <row r="177" spans="1:12" x14ac:dyDescent="0.25">
      <c r="A177" s="3" t="s">
        <v>357</v>
      </c>
      <c r="B177" t="s">
        <v>357</v>
      </c>
      <c r="C177">
        <f>ROUND(VLOOKUP($A177,Results!$A$2:$I$437,4,FALSE),2)</f>
        <v>75.8</v>
      </c>
      <c r="D177">
        <f>ROUND(VLOOKUP($A177,Results!$A$2:$I$437,5,FALSE),2)</f>
        <v>22.8</v>
      </c>
      <c r="E177" s="72">
        <f t="shared" si="12"/>
        <v>76.876267748478696</v>
      </c>
      <c r="F177" s="72">
        <f t="shared" si="13"/>
        <v>23.1237322515213</v>
      </c>
      <c r="G177" s="72">
        <f t="shared" si="14"/>
        <v>-49.752535496957393</v>
      </c>
      <c r="H177">
        <f>ROUND(VLOOKUP($A177,Results!$A$2:$I$437,6,FALSE),2)</f>
        <v>73.400000000000006</v>
      </c>
      <c r="I177">
        <f>ROUND(VLOOKUP($A177,Results!$A$2:$I$437,7,FALSE),2)</f>
        <v>25.4</v>
      </c>
      <c r="J177" s="72">
        <f t="shared" si="15"/>
        <v>74.291497975708495</v>
      </c>
      <c r="K177" s="72">
        <f t="shared" si="16"/>
        <v>25.708502024291498</v>
      </c>
      <c r="L177" s="72">
        <f t="shared" si="17"/>
        <v>-41.282995951417</v>
      </c>
    </row>
    <row r="178" spans="1:12" x14ac:dyDescent="0.25">
      <c r="A178" s="3" t="s">
        <v>359</v>
      </c>
      <c r="B178" t="s">
        <v>359</v>
      </c>
      <c r="C178">
        <f>ROUND(VLOOKUP($A178,Results!$A$2:$I$437,4,FALSE),2)</f>
        <v>32.299999999999997</v>
      </c>
      <c r="D178">
        <f>ROUND(VLOOKUP($A178,Results!$A$2:$I$437,5,FALSE),2)</f>
        <v>66.099999999999994</v>
      </c>
      <c r="E178" s="72">
        <f t="shared" si="12"/>
        <v>32.825203252032523</v>
      </c>
      <c r="F178" s="72">
        <f t="shared" si="13"/>
        <v>67.174796747967477</v>
      </c>
      <c r="G178" s="72">
        <f t="shared" si="14"/>
        <v>38.349593495934954</v>
      </c>
      <c r="H178">
        <f>ROUND(VLOOKUP($A178,Results!$A$2:$I$437,6,FALSE),2)</f>
        <v>34.1</v>
      </c>
      <c r="I178">
        <f>ROUND(VLOOKUP($A178,Results!$A$2:$I$437,7,FALSE),2)</f>
        <v>64.2</v>
      </c>
      <c r="J178" s="72">
        <f t="shared" si="15"/>
        <v>34.689725330620547</v>
      </c>
      <c r="K178" s="72">
        <f t="shared" si="16"/>
        <v>65.310274669379439</v>
      </c>
      <c r="L178" s="72">
        <f t="shared" si="17"/>
        <v>37.920549338758889</v>
      </c>
    </row>
    <row r="179" spans="1:12" x14ac:dyDescent="0.25">
      <c r="A179" s="3" t="s">
        <v>361</v>
      </c>
      <c r="B179" t="s">
        <v>361</v>
      </c>
      <c r="C179">
        <f>ROUND(VLOOKUP($A179,Results!$A$2:$I$437,4,FALSE),2)</f>
        <v>39.700000000000003</v>
      </c>
      <c r="D179">
        <f>ROUND(VLOOKUP($A179,Results!$A$2:$I$437,5,FALSE),2)</f>
        <v>59</v>
      </c>
      <c r="E179" s="72">
        <f t="shared" si="12"/>
        <v>40.222897669706178</v>
      </c>
      <c r="F179" s="72">
        <f t="shared" si="13"/>
        <v>59.777102330293822</v>
      </c>
      <c r="G179" s="72">
        <f t="shared" si="14"/>
        <v>23.554204660587644</v>
      </c>
      <c r="H179">
        <f>ROUND(VLOOKUP($A179,Results!$A$2:$I$437,6,FALSE),2)</f>
        <v>39.9</v>
      </c>
      <c r="I179">
        <f>ROUND(VLOOKUP($A179,Results!$A$2:$I$437,7,FALSE),2)</f>
        <v>58.9</v>
      </c>
      <c r="J179" s="72">
        <f t="shared" si="15"/>
        <v>40.384615384615387</v>
      </c>
      <c r="K179" s="72">
        <f t="shared" si="16"/>
        <v>59.615384615384613</v>
      </c>
      <c r="L179" s="72">
        <f t="shared" si="17"/>
        <v>26.530769230769227</v>
      </c>
    </row>
    <row r="180" spans="1:12" x14ac:dyDescent="0.25">
      <c r="A180" s="3" t="s">
        <v>363</v>
      </c>
      <c r="B180" t="s">
        <v>363</v>
      </c>
      <c r="C180">
        <f>ROUND(VLOOKUP($A180,Results!$A$2:$I$437,4,FALSE),2)</f>
        <v>37.700000000000003</v>
      </c>
      <c r="D180">
        <f>ROUND(VLOOKUP($A180,Results!$A$2:$I$437,5,FALSE),2)</f>
        <v>61</v>
      </c>
      <c r="E180" s="72">
        <f t="shared" si="12"/>
        <v>38.196555217831815</v>
      </c>
      <c r="F180" s="72">
        <f t="shared" si="13"/>
        <v>61.803444782168185</v>
      </c>
      <c r="G180" s="72">
        <f t="shared" si="14"/>
        <v>27.60688956433637</v>
      </c>
      <c r="H180">
        <f>ROUND(VLOOKUP($A180,Results!$A$2:$I$437,6,FALSE),2)</f>
        <v>36.700000000000003</v>
      </c>
      <c r="I180">
        <f>ROUND(VLOOKUP($A180,Results!$A$2:$I$437,7,FALSE),2)</f>
        <v>62</v>
      </c>
      <c r="J180" s="72">
        <f t="shared" si="15"/>
        <v>37.18338399189463</v>
      </c>
      <c r="K180" s="72">
        <f t="shared" si="16"/>
        <v>62.816616008105363</v>
      </c>
      <c r="L180" s="72">
        <f t="shared" si="17"/>
        <v>32.933232016210731</v>
      </c>
    </row>
    <row r="181" spans="1:12" x14ac:dyDescent="0.25">
      <c r="A181" s="3" t="s">
        <v>365</v>
      </c>
      <c r="B181" t="s">
        <v>365</v>
      </c>
      <c r="C181">
        <f>ROUND(VLOOKUP($A181,Results!$A$2:$I$437,4,FALSE),2)</f>
        <v>32</v>
      </c>
      <c r="D181">
        <f>ROUND(VLOOKUP($A181,Results!$A$2:$I$437,5,FALSE),2)</f>
        <v>66.099999999999994</v>
      </c>
      <c r="E181" s="72">
        <f t="shared" si="12"/>
        <v>32.619775739041792</v>
      </c>
      <c r="F181" s="72">
        <f t="shared" si="13"/>
        <v>67.380224260958201</v>
      </c>
      <c r="G181" s="72">
        <f t="shared" si="14"/>
        <v>38.760448521916409</v>
      </c>
      <c r="H181">
        <f>ROUND(VLOOKUP($A181,Results!$A$2:$I$437,6,FALSE),2)</f>
        <v>30.9</v>
      </c>
      <c r="I181">
        <f>ROUND(VLOOKUP($A181,Results!$A$2:$I$437,7,FALSE),2)</f>
        <v>67.5</v>
      </c>
      <c r="J181" s="72">
        <f t="shared" si="15"/>
        <v>31.40243902439024</v>
      </c>
      <c r="K181" s="72">
        <f t="shared" si="16"/>
        <v>68.597560975609753</v>
      </c>
      <c r="L181" s="72">
        <f t="shared" si="17"/>
        <v>44.49512195121951</v>
      </c>
    </row>
    <row r="182" spans="1:12" x14ac:dyDescent="0.25">
      <c r="A182" s="3" t="s">
        <v>367</v>
      </c>
      <c r="B182" t="s">
        <v>367</v>
      </c>
      <c r="C182">
        <f>ROUND(VLOOKUP($A182,Results!$A$2:$I$437,4,FALSE),2)</f>
        <v>64</v>
      </c>
      <c r="D182">
        <f>ROUND(VLOOKUP($A182,Results!$A$2:$I$437,5,FALSE),2)</f>
        <v>34.299999999999997</v>
      </c>
      <c r="E182" s="72">
        <f t="shared" si="12"/>
        <v>65.106815869786374</v>
      </c>
      <c r="F182" s="72">
        <f t="shared" si="13"/>
        <v>34.893184130213626</v>
      </c>
      <c r="G182" s="72">
        <f t="shared" si="14"/>
        <v>-26.213631739572747</v>
      </c>
      <c r="H182">
        <f>ROUND(VLOOKUP($A182,Results!$A$2:$I$437,6,FALSE),2)</f>
        <v>64.099999999999994</v>
      </c>
      <c r="I182">
        <f>ROUND(VLOOKUP($A182,Results!$A$2:$I$437,7,FALSE),2)</f>
        <v>33.700000000000003</v>
      </c>
      <c r="J182" s="72">
        <f t="shared" si="15"/>
        <v>65.541922290388541</v>
      </c>
      <c r="K182" s="72">
        <f t="shared" si="16"/>
        <v>34.458077709611459</v>
      </c>
      <c r="L182" s="72">
        <f t="shared" si="17"/>
        <v>-23.783844580777082</v>
      </c>
    </row>
    <row r="183" spans="1:12" x14ac:dyDescent="0.25">
      <c r="A183" s="3" t="s">
        <v>369</v>
      </c>
      <c r="B183" t="s">
        <v>369</v>
      </c>
      <c r="C183">
        <f>ROUND(VLOOKUP($A183,Results!$A$2:$I$437,4,FALSE),2)</f>
        <v>58.7</v>
      </c>
      <c r="D183">
        <f>ROUND(VLOOKUP($A183,Results!$A$2:$I$437,5,FALSE),2)</f>
        <v>39.200000000000003</v>
      </c>
      <c r="E183" s="72">
        <f t="shared" si="12"/>
        <v>59.959141981613897</v>
      </c>
      <c r="F183" s="72">
        <f t="shared" si="13"/>
        <v>40.04085801838611</v>
      </c>
      <c r="G183" s="72">
        <f t="shared" si="14"/>
        <v>-15.918283963227786</v>
      </c>
      <c r="H183">
        <f>ROUND(VLOOKUP($A183,Results!$A$2:$I$437,6,FALSE),2)</f>
        <v>60.4</v>
      </c>
      <c r="I183">
        <f>ROUND(VLOOKUP($A183,Results!$A$2:$I$437,7,FALSE),2)</f>
        <v>37.5</v>
      </c>
      <c r="J183" s="72">
        <f t="shared" si="15"/>
        <v>61.695607763023489</v>
      </c>
      <c r="K183" s="72">
        <f t="shared" si="16"/>
        <v>38.304392236976504</v>
      </c>
      <c r="L183" s="72">
        <f t="shared" si="17"/>
        <v>-16.091215526046984</v>
      </c>
    </row>
    <row r="184" spans="1:12" x14ac:dyDescent="0.25">
      <c r="A184" s="3" t="s">
        <v>371</v>
      </c>
      <c r="B184" t="s">
        <v>371</v>
      </c>
      <c r="C184">
        <f>ROUND(VLOOKUP($A184,Results!$A$2:$I$437,4,FALSE),2)</f>
        <v>56.9</v>
      </c>
      <c r="D184">
        <f>ROUND(VLOOKUP($A184,Results!$A$2:$I$437,5,FALSE),2)</f>
        <v>41.4</v>
      </c>
      <c r="E184" s="72">
        <f t="shared" si="12"/>
        <v>57.884028484231941</v>
      </c>
      <c r="F184" s="72">
        <f t="shared" si="13"/>
        <v>42.115971515768059</v>
      </c>
      <c r="G184" s="72">
        <f t="shared" si="14"/>
        <v>-11.768056968463881</v>
      </c>
      <c r="H184">
        <f>ROUND(VLOOKUP($A184,Results!$A$2:$I$437,6,FALSE),2)</f>
        <v>58.8</v>
      </c>
      <c r="I184">
        <f>ROUND(VLOOKUP($A184,Results!$A$2:$I$437,7,FALSE),2)</f>
        <v>39.4</v>
      </c>
      <c r="J184" s="72">
        <f t="shared" si="15"/>
        <v>59.877800407331982</v>
      </c>
      <c r="K184" s="72">
        <f t="shared" si="16"/>
        <v>40.122199592668025</v>
      </c>
      <c r="L184" s="72">
        <f t="shared" si="17"/>
        <v>-12.455600814663956</v>
      </c>
    </row>
    <row r="185" spans="1:12" x14ac:dyDescent="0.25">
      <c r="A185" s="3" t="s">
        <v>373</v>
      </c>
      <c r="B185" t="s">
        <v>373</v>
      </c>
      <c r="C185">
        <f>ROUND(VLOOKUP($A185,Results!$A$2:$I$437,4,FALSE),2)</f>
        <v>57.1</v>
      </c>
      <c r="D185">
        <f>ROUND(VLOOKUP($A185,Results!$A$2:$I$437,5,FALSE),2)</f>
        <v>41.3</v>
      </c>
      <c r="E185" s="72">
        <f t="shared" si="12"/>
        <v>58.028455284552848</v>
      </c>
      <c r="F185" s="72">
        <f t="shared" si="13"/>
        <v>41.971544715447152</v>
      </c>
      <c r="G185" s="72">
        <f t="shared" si="14"/>
        <v>-12.056910569105696</v>
      </c>
      <c r="H185">
        <f>ROUND(VLOOKUP($A185,Results!$A$2:$I$437,6,FALSE),2)</f>
        <v>60.4</v>
      </c>
      <c r="I185">
        <f>ROUND(VLOOKUP($A185,Results!$A$2:$I$437,7,FALSE),2)</f>
        <v>37.9</v>
      </c>
      <c r="J185" s="72">
        <f t="shared" si="15"/>
        <v>61.444557477110884</v>
      </c>
      <c r="K185" s="72">
        <f t="shared" si="16"/>
        <v>38.555442522889116</v>
      </c>
      <c r="L185" s="72">
        <f t="shared" si="17"/>
        <v>-15.589114954221767</v>
      </c>
    </row>
    <row r="186" spans="1:12" x14ac:dyDescent="0.25">
      <c r="A186" s="3" t="s">
        <v>375</v>
      </c>
      <c r="B186" t="s">
        <v>375</v>
      </c>
      <c r="C186">
        <f>ROUND(VLOOKUP($A186,Results!$A$2:$I$437,4,FALSE),2)</f>
        <v>65.2</v>
      </c>
      <c r="D186">
        <f>ROUND(VLOOKUP($A186,Results!$A$2:$I$437,5,FALSE),2)</f>
        <v>33.1</v>
      </c>
      <c r="E186" s="72">
        <f t="shared" si="12"/>
        <v>66.327568667344863</v>
      </c>
      <c r="F186" s="72">
        <f t="shared" si="13"/>
        <v>33.672431332655137</v>
      </c>
      <c r="G186" s="72">
        <f t="shared" si="14"/>
        <v>-28.655137334689726</v>
      </c>
      <c r="H186">
        <f>ROUND(VLOOKUP($A186,Results!$A$2:$I$437,6,FALSE),2)</f>
        <v>66.2</v>
      </c>
      <c r="I186">
        <f>ROUND(VLOOKUP($A186,Results!$A$2:$I$437,7,FALSE),2)</f>
        <v>32.1</v>
      </c>
      <c r="J186" s="72">
        <f t="shared" si="15"/>
        <v>67.344862665310274</v>
      </c>
      <c r="K186" s="72">
        <f t="shared" si="16"/>
        <v>32.655137334689719</v>
      </c>
      <c r="L186" s="72">
        <f t="shared" si="17"/>
        <v>-27.389725330620553</v>
      </c>
    </row>
    <row r="187" spans="1:12" x14ac:dyDescent="0.25">
      <c r="A187" s="3" t="s">
        <v>377</v>
      </c>
      <c r="B187" t="s">
        <v>377</v>
      </c>
      <c r="C187">
        <f>ROUND(VLOOKUP($A187,Results!$A$2:$I$437,4,FALSE),2)</f>
        <v>54.7</v>
      </c>
      <c r="D187">
        <f>ROUND(VLOOKUP($A187,Results!$A$2:$I$437,5,FALSE),2)</f>
        <v>43.9</v>
      </c>
      <c r="E187" s="72">
        <f t="shared" si="12"/>
        <v>55.476673427991898</v>
      </c>
      <c r="F187" s="72">
        <f t="shared" si="13"/>
        <v>44.523326572008116</v>
      </c>
      <c r="G187" s="72">
        <f t="shared" si="14"/>
        <v>-6.9533468559837814</v>
      </c>
      <c r="H187">
        <f>ROUND(VLOOKUP($A187,Results!$A$2:$I$437,6,FALSE),2)</f>
        <v>56.9</v>
      </c>
      <c r="I187">
        <f>ROUND(VLOOKUP($A187,Results!$A$2:$I$437,7,FALSE),2)</f>
        <v>41.4</v>
      </c>
      <c r="J187" s="72">
        <f t="shared" si="15"/>
        <v>57.884028484231941</v>
      </c>
      <c r="K187" s="72">
        <f t="shared" si="16"/>
        <v>42.115971515768059</v>
      </c>
      <c r="L187" s="72">
        <f t="shared" si="17"/>
        <v>-8.4680569684638805</v>
      </c>
    </row>
    <row r="188" spans="1:12" x14ac:dyDescent="0.25">
      <c r="A188" s="3" t="s">
        <v>379</v>
      </c>
      <c r="B188" t="s">
        <v>379</v>
      </c>
      <c r="C188">
        <f>ROUND(VLOOKUP($A188,Results!$A$2:$I$437,4,FALSE),2)</f>
        <v>82.5</v>
      </c>
      <c r="D188">
        <f>ROUND(VLOOKUP($A188,Results!$A$2:$I$437,5,FALSE),2)</f>
        <v>15.6</v>
      </c>
      <c r="E188" s="72">
        <f t="shared" si="12"/>
        <v>84.097859327217122</v>
      </c>
      <c r="F188" s="72">
        <f t="shared" si="13"/>
        <v>15.902140672782874</v>
      </c>
      <c r="G188" s="72">
        <f t="shared" si="14"/>
        <v>-64.195718654434245</v>
      </c>
      <c r="H188">
        <f>ROUND(VLOOKUP($A188,Results!$A$2:$I$437,6,FALSE),2)</f>
        <v>81.900000000000006</v>
      </c>
      <c r="I188">
        <f>ROUND(VLOOKUP($A188,Results!$A$2:$I$437,7,FALSE),2)</f>
        <v>16.7</v>
      </c>
      <c r="J188" s="72">
        <f t="shared" si="15"/>
        <v>83.062880324543613</v>
      </c>
      <c r="K188" s="72">
        <f t="shared" si="16"/>
        <v>16.937119675456387</v>
      </c>
      <c r="L188" s="72">
        <f t="shared" si="17"/>
        <v>-58.825760649087229</v>
      </c>
    </row>
    <row r="189" spans="1:12" x14ac:dyDescent="0.25">
      <c r="A189" s="3" t="s">
        <v>381</v>
      </c>
      <c r="B189" t="s">
        <v>381</v>
      </c>
      <c r="C189">
        <f>ROUND(VLOOKUP($A189,Results!$A$2:$I$437,4,FALSE),2)</f>
        <v>57.8</v>
      </c>
      <c r="D189">
        <f>ROUND(VLOOKUP($A189,Results!$A$2:$I$437,5,FALSE),2)</f>
        <v>40.799999999999997</v>
      </c>
      <c r="E189" s="72">
        <f t="shared" si="12"/>
        <v>58.620689655172406</v>
      </c>
      <c r="F189" s="72">
        <f t="shared" si="13"/>
        <v>41.379310344827587</v>
      </c>
      <c r="G189" s="72">
        <f t="shared" si="14"/>
        <v>-13.241379310344819</v>
      </c>
      <c r="H189">
        <f>ROUND(VLOOKUP($A189,Results!$A$2:$I$437,6,FALSE),2)</f>
        <v>57.9</v>
      </c>
      <c r="I189">
        <f>ROUND(VLOOKUP($A189,Results!$A$2:$I$437,7,FALSE),2)</f>
        <v>40.5</v>
      </c>
      <c r="J189" s="72">
        <f t="shared" si="15"/>
        <v>58.841463414634141</v>
      </c>
      <c r="K189" s="72">
        <f t="shared" si="16"/>
        <v>41.158536585365852</v>
      </c>
      <c r="L189" s="72">
        <f t="shared" si="17"/>
        <v>-10.382926829268289</v>
      </c>
    </row>
    <row r="190" spans="1:12" x14ac:dyDescent="0.25">
      <c r="A190" s="3" t="s">
        <v>383</v>
      </c>
      <c r="B190" t="s">
        <v>383</v>
      </c>
      <c r="C190">
        <f>ROUND(VLOOKUP($A190,Results!$A$2:$I$437,4,FALSE),2)</f>
        <v>55.5</v>
      </c>
      <c r="D190">
        <f>ROUND(VLOOKUP($A190,Results!$A$2:$I$437,5,FALSE),2)</f>
        <v>43.1</v>
      </c>
      <c r="E190" s="72">
        <f t="shared" si="12"/>
        <v>56.288032454361058</v>
      </c>
      <c r="F190" s="72">
        <f t="shared" si="13"/>
        <v>43.711967545638949</v>
      </c>
      <c r="G190" s="72">
        <f t="shared" si="14"/>
        <v>-8.5760649087221097</v>
      </c>
      <c r="H190">
        <f>ROUND(VLOOKUP($A190,Results!$A$2:$I$437,6,FALSE),2)</f>
        <v>57.8</v>
      </c>
      <c r="I190">
        <f>ROUND(VLOOKUP($A190,Results!$A$2:$I$437,7,FALSE),2)</f>
        <v>40.6</v>
      </c>
      <c r="J190" s="72">
        <f t="shared" si="15"/>
        <v>58.739837398373972</v>
      </c>
      <c r="K190" s="72">
        <f t="shared" si="16"/>
        <v>41.260162601626014</v>
      </c>
      <c r="L190" s="72">
        <f t="shared" si="17"/>
        <v>-10.179674796747957</v>
      </c>
    </row>
    <row r="191" spans="1:12" x14ac:dyDescent="0.25">
      <c r="A191" s="3" t="s">
        <v>385</v>
      </c>
      <c r="B191" t="s">
        <v>385</v>
      </c>
      <c r="C191">
        <f>ROUND(VLOOKUP($A191,Results!$A$2:$I$437,4,FALSE),2)</f>
        <v>37.700000000000003</v>
      </c>
      <c r="D191">
        <f>ROUND(VLOOKUP($A191,Results!$A$2:$I$437,5,FALSE),2)</f>
        <v>60.4</v>
      </c>
      <c r="E191" s="72">
        <f t="shared" si="12"/>
        <v>38.430173292558614</v>
      </c>
      <c r="F191" s="72">
        <f t="shared" si="13"/>
        <v>61.569826707441386</v>
      </c>
      <c r="G191" s="72">
        <f t="shared" si="14"/>
        <v>27.139653414882773</v>
      </c>
      <c r="H191">
        <f>ROUND(VLOOKUP($A191,Results!$A$2:$I$437,6,FALSE),2)</f>
        <v>38.4</v>
      </c>
      <c r="I191">
        <f>ROUND(VLOOKUP($A191,Results!$A$2:$I$437,7,FALSE),2)</f>
        <v>59.6</v>
      </c>
      <c r="J191" s="72">
        <f t="shared" si="15"/>
        <v>39.183673469387756</v>
      </c>
      <c r="K191" s="72">
        <f t="shared" si="16"/>
        <v>60.816326530612244</v>
      </c>
      <c r="L191" s="72">
        <f t="shared" si="17"/>
        <v>28.932653061224489</v>
      </c>
    </row>
    <row r="192" spans="1:12" x14ac:dyDescent="0.25">
      <c r="A192" s="3" t="s">
        <v>387</v>
      </c>
      <c r="B192" t="s">
        <v>387</v>
      </c>
      <c r="C192">
        <f>ROUND(VLOOKUP($A192,Results!$A$2:$I$437,4,FALSE),2)</f>
        <v>63.1</v>
      </c>
      <c r="D192">
        <f>ROUND(VLOOKUP($A192,Results!$A$2:$I$437,5,FALSE),2)</f>
        <v>35</v>
      </c>
      <c r="E192" s="72">
        <f t="shared" si="12"/>
        <v>64.32212028542304</v>
      </c>
      <c r="F192" s="72">
        <f t="shared" si="13"/>
        <v>35.677879714576967</v>
      </c>
      <c r="G192" s="72">
        <f t="shared" si="14"/>
        <v>-24.644240570846073</v>
      </c>
      <c r="H192">
        <f>ROUND(VLOOKUP($A192,Results!$A$2:$I$437,6,FALSE),2)</f>
        <v>60.6</v>
      </c>
      <c r="I192">
        <f>ROUND(VLOOKUP($A192,Results!$A$2:$I$437,7,FALSE),2)</f>
        <v>37.5</v>
      </c>
      <c r="J192" s="72">
        <f t="shared" si="15"/>
        <v>61.773700305810394</v>
      </c>
      <c r="K192" s="72">
        <f t="shared" si="16"/>
        <v>38.226299694189606</v>
      </c>
      <c r="L192" s="72">
        <f t="shared" si="17"/>
        <v>-16.247400611620787</v>
      </c>
    </row>
    <row r="193" spans="1:12" x14ac:dyDescent="0.25">
      <c r="A193" s="3" t="s">
        <v>389</v>
      </c>
      <c r="B193" t="s">
        <v>389</v>
      </c>
      <c r="C193">
        <f>ROUND(VLOOKUP($A193,Results!$A$2:$I$437,4,FALSE),2)</f>
        <v>60.7</v>
      </c>
      <c r="D193">
        <f>ROUND(VLOOKUP($A193,Results!$A$2:$I$437,5,FALSE),2)</f>
        <v>37.1</v>
      </c>
      <c r="E193" s="72">
        <f t="shared" si="12"/>
        <v>62.065439672801638</v>
      </c>
      <c r="F193" s="72">
        <f t="shared" si="13"/>
        <v>37.934560327198362</v>
      </c>
      <c r="G193" s="72">
        <f t="shared" si="14"/>
        <v>-20.130879345603276</v>
      </c>
      <c r="H193">
        <f>ROUND(VLOOKUP($A193,Results!$A$2:$I$437,6,FALSE),2)</f>
        <v>60.1</v>
      </c>
      <c r="I193">
        <f>ROUND(VLOOKUP($A193,Results!$A$2:$I$437,7,FALSE),2)</f>
        <v>38</v>
      </c>
      <c r="J193" s="72">
        <f t="shared" si="15"/>
        <v>61.264016309887872</v>
      </c>
      <c r="K193" s="72">
        <f t="shared" si="16"/>
        <v>38.735983690112128</v>
      </c>
      <c r="L193" s="72">
        <f t="shared" si="17"/>
        <v>-15.228032619775743</v>
      </c>
    </row>
    <row r="194" spans="1:12" x14ac:dyDescent="0.25">
      <c r="A194" s="3" t="s">
        <v>391</v>
      </c>
      <c r="B194" t="s">
        <v>391</v>
      </c>
      <c r="C194">
        <f>ROUND(VLOOKUP($A194,Results!$A$2:$I$437,4,FALSE),2)</f>
        <v>78.099999999999994</v>
      </c>
      <c r="D194">
        <f>ROUND(VLOOKUP($A194,Results!$A$2:$I$437,5,FALSE),2)</f>
        <v>20.8</v>
      </c>
      <c r="E194" s="72">
        <f t="shared" si="12"/>
        <v>78.968655207280079</v>
      </c>
      <c r="F194" s="72">
        <f t="shared" si="13"/>
        <v>21.031344792719921</v>
      </c>
      <c r="G194" s="72">
        <f t="shared" si="14"/>
        <v>-53.937310414560159</v>
      </c>
      <c r="H194">
        <f>ROUND(VLOOKUP($A194,Results!$A$2:$I$437,6,FALSE),2)</f>
        <v>77.3</v>
      </c>
      <c r="I194">
        <f>ROUND(VLOOKUP($A194,Results!$A$2:$I$437,7,FALSE),2)</f>
        <v>21.8</v>
      </c>
      <c r="J194" s="72">
        <f t="shared" si="15"/>
        <v>78.002018163471249</v>
      </c>
      <c r="K194" s="72">
        <f t="shared" si="16"/>
        <v>21.997981836528758</v>
      </c>
      <c r="L194" s="72">
        <f t="shared" si="17"/>
        <v>-48.704036326942493</v>
      </c>
    </row>
    <row r="195" spans="1:12" x14ac:dyDescent="0.25">
      <c r="A195" s="3" t="s">
        <v>393</v>
      </c>
      <c r="B195" t="s">
        <v>393</v>
      </c>
      <c r="C195">
        <f>ROUND(VLOOKUP($A195,Results!$A$2:$I$437,4,FALSE),2)</f>
        <v>66.099999999999994</v>
      </c>
      <c r="D195">
        <f>ROUND(VLOOKUP($A195,Results!$A$2:$I$437,5,FALSE),2)</f>
        <v>32.4</v>
      </c>
      <c r="E195" s="72">
        <f t="shared" si="12"/>
        <v>67.106598984771566</v>
      </c>
      <c r="F195" s="72">
        <f t="shared" si="13"/>
        <v>32.893401015228427</v>
      </c>
      <c r="G195" s="72">
        <f t="shared" si="14"/>
        <v>-30.213197969543138</v>
      </c>
      <c r="H195">
        <f>ROUND(VLOOKUP($A195,Results!$A$2:$I$437,6,FALSE),2)</f>
        <v>65.099999999999994</v>
      </c>
      <c r="I195">
        <f>ROUND(VLOOKUP($A195,Results!$A$2:$I$437,7,FALSE),2)</f>
        <v>33.6</v>
      </c>
      <c r="J195" s="72">
        <f t="shared" si="15"/>
        <v>65.957446808510639</v>
      </c>
      <c r="K195" s="72">
        <f t="shared" si="16"/>
        <v>34.042553191489368</v>
      </c>
      <c r="L195" s="72">
        <f t="shared" si="17"/>
        <v>-24.61489361702127</v>
      </c>
    </row>
    <row r="196" spans="1:12" x14ac:dyDescent="0.25">
      <c r="A196" s="3" t="s">
        <v>395</v>
      </c>
      <c r="B196" t="s">
        <v>395</v>
      </c>
      <c r="C196">
        <f>ROUND(VLOOKUP($A196,Results!$A$2:$I$437,4,FALSE),2)</f>
        <v>55.2</v>
      </c>
      <c r="D196">
        <f>ROUND(VLOOKUP($A196,Results!$A$2:$I$437,5,FALSE),2)</f>
        <v>42.8</v>
      </c>
      <c r="E196" s="72">
        <f t="shared" ref="E196:E259" si="18">C196/SUM(C196:D196)*100</f>
        <v>56.326530612244895</v>
      </c>
      <c r="F196" s="72">
        <f t="shared" ref="F196:F259" si="19">D196/SUM(C196:D196)*100</f>
        <v>43.673469387755098</v>
      </c>
      <c r="G196" s="72">
        <f t="shared" ref="G196:G259" si="20">F196-E196+4</f>
        <v>-8.6530612244897966</v>
      </c>
      <c r="H196">
        <f>ROUND(VLOOKUP($A196,Results!$A$2:$I$437,6,FALSE),2)</f>
        <v>56.3</v>
      </c>
      <c r="I196">
        <f>ROUND(VLOOKUP($A196,Results!$A$2:$I$437,7,FALSE),2)</f>
        <v>42</v>
      </c>
      <c r="J196" s="72">
        <f t="shared" ref="J196:J259" si="21">H196/SUM(H196:I196)*100</f>
        <v>57.273652085452696</v>
      </c>
      <c r="K196" s="72">
        <f t="shared" ref="K196:K259" si="22">I196/SUM(H196:I196)*100</f>
        <v>42.726347914547311</v>
      </c>
      <c r="L196" s="72">
        <f t="shared" ref="L196:L259" si="23">K196-J196+7.3</f>
        <v>-7.2473041709053847</v>
      </c>
    </row>
    <row r="197" spans="1:12" x14ac:dyDescent="0.25">
      <c r="A197" s="3" t="s">
        <v>397</v>
      </c>
      <c r="B197" t="s">
        <v>397</v>
      </c>
      <c r="C197">
        <f>ROUND(VLOOKUP($A197,Results!$A$2:$I$437,4,FALSE),2)</f>
        <v>76.2</v>
      </c>
      <c r="D197">
        <f>ROUND(VLOOKUP($A197,Results!$A$2:$I$437,5,FALSE),2)</f>
        <v>22.3</v>
      </c>
      <c r="E197" s="72">
        <f t="shared" si="18"/>
        <v>77.360406091370564</v>
      </c>
      <c r="F197" s="72">
        <f t="shared" si="19"/>
        <v>22.639593908629443</v>
      </c>
      <c r="G197" s="72">
        <f t="shared" si="20"/>
        <v>-50.72081218274112</v>
      </c>
      <c r="H197">
        <f>ROUND(VLOOKUP($A197,Results!$A$2:$I$437,6,FALSE),2)</f>
        <v>76.2</v>
      </c>
      <c r="I197">
        <f>ROUND(VLOOKUP($A197,Results!$A$2:$I$437,7,FALSE),2)</f>
        <v>22.4</v>
      </c>
      <c r="J197" s="72">
        <f t="shared" si="21"/>
        <v>77.281947261663291</v>
      </c>
      <c r="K197" s="72">
        <f t="shared" si="22"/>
        <v>22.718052738336713</v>
      </c>
      <c r="L197" s="72">
        <f t="shared" si="23"/>
        <v>-47.263894523326584</v>
      </c>
    </row>
    <row r="198" spans="1:12" x14ac:dyDescent="0.25">
      <c r="A198" s="3" t="s">
        <v>399</v>
      </c>
      <c r="B198" t="s">
        <v>399</v>
      </c>
      <c r="C198">
        <f>ROUND(VLOOKUP($A198,Results!$A$2:$I$437,4,FALSE),2)</f>
        <v>62</v>
      </c>
      <c r="D198">
        <f>ROUND(VLOOKUP($A198,Results!$A$2:$I$437,5,FALSE),2)</f>
        <v>36</v>
      </c>
      <c r="E198" s="72">
        <f t="shared" si="18"/>
        <v>63.265306122448983</v>
      </c>
      <c r="F198" s="72">
        <f t="shared" si="19"/>
        <v>36.734693877551024</v>
      </c>
      <c r="G198" s="72">
        <f t="shared" si="20"/>
        <v>-22.530612244897959</v>
      </c>
      <c r="H198">
        <f>ROUND(VLOOKUP($A198,Results!$A$2:$I$437,6,FALSE),2)</f>
        <v>62.8</v>
      </c>
      <c r="I198">
        <f>ROUND(VLOOKUP($A198,Results!$A$2:$I$437,7,FALSE),2)</f>
        <v>35.6</v>
      </c>
      <c r="J198" s="72">
        <f t="shared" si="21"/>
        <v>63.821138211382113</v>
      </c>
      <c r="K198" s="72">
        <f t="shared" si="22"/>
        <v>36.17886178861788</v>
      </c>
      <c r="L198" s="72">
        <f t="shared" si="23"/>
        <v>-20.342276422764233</v>
      </c>
    </row>
    <row r="199" spans="1:12" x14ac:dyDescent="0.25">
      <c r="A199" s="3" t="s">
        <v>401</v>
      </c>
      <c r="B199" t="s">
        <v>401</v>
      </c>
      <c r="C199">
        <f>ROUND(VLOOKUP($A199,Results!$A$2:$I$437,4,FALSE),2)</f>
        <v>59.6</v>
      </c>
      <c r="D199">
        <f>ROUND(VLOOKUP($A199,Results!$A$2:$I$437,5,FALSE),2)</f>
        <v>38.200000000000003</v>
      </c>
      <c r="E199" s="72">
        <f t="shared" si="18"/>
        <v>60.940695296523515</v>
      </c>
      <c r="F199" s="72">
        <f t="shared" si="19"/>
        <v>39.059304703476485</v>
      </c>
      <c r="G199" s="72">
        <f t="shared" si="20"/>
        <v>-17.88139059304703</v>
      </c>
      <c r="H199">
        <f>ROUND(VLOOKUP($A199,Results!$A$2:$I$437,6,FALSE),2)</f>
        <v>60.7</v>
      </c>
      <c r="I199">
        <f>ROUND(VLOOKUP($A199,Results!$A$2:$I$437,7,FALSE),2)</f>
        <v>37.5</v>
      </c>
      <c r="J199" s="72">
        <f t="shared" si="21"/>
        <v>61.812627291242364</v>
      </c>
      <c r="K199" s="72">
        <f t="shared" si="22"/>
        <v>38.187372708757636</v>
      </c>
      <c r="L199" s="72">
        <f t="shared" si="23"/>
        <v>-16.325254582484728</v>
      </c>
    </row>
    <row r="200" spans="1:12" x14ac:dyDescent="0.25">
      <c r="A200" s="3" t="s">
        <v>403</v>
      </c>
      <c r="B200" t="s">
        <v>403</v>
      </c>
      <c r="C200">
        <f>ROUND(VLOOKUP($A200,Results!$A$2:$I$437,4,FALSE),2)</f>
        <v>52.9</v>
      </c>
      <c r="D200">
        <f>ROUND(VLOOKUP($A200,Results!$A$2:$I$437,5,FALSE),2)</f>
        <v>44.4</v>
      </c>
      <c r="E200" s="72">
        <f t="shared" si="18"/>
        <v>54.367934224049328</v>
      </c>
      <c r="F200" s="72">
        <f t="shared" si="19"/>
        <v>45.632065775950672</v>
      </c>
      <c r="G200" s="72">
        <f t="shared" si="20"/>
        <v>-4.7358684480986568</v>
      </c>
      <c r="H200">
        <f>ROUND(VLOOKUP($A200,Results!$A$2:$I$437,6,FALSE),2)</f>
        <v>54.6</v>
      </c>
      <c r="I200">
        <f>ROUND(VLOOKUP($A200,Results!$A$2:$I$437,7,FALSE),2)</f>
        <v>43.4</v>
      </c>
      <c r="J200" s="72">
        <f t="shared" si="21"/>
        <v>55.714285714285715</v>
      </c>
      <c r="K200" s="72">
        <f t="shared" si="22"/>
        <v>44.285714285714285</v>
      </c>
      <c r="L200" s="72">
        <f t="shared" si="23"/>
        <v>-4.1285714285714308</v>
      </c>
    </row>
    <row r="201" spans="1:12" x14ac:dyDescent="0.25">
      <c r="A201" s="3" t="s">
        <v>405</v>
      </c>
      <c r="B201" t="s">
        <v>405</v>
      </c>
      <c r="C201">
        <f>ROUND(VLOOKUP($A201,Results!$A$2:$I$437,4,FALSE),2)</f>
        <v>45.3</v>
      </c>
      <c r="D201">
        <f>ROUND(VLOOKUP($A201,Results!$A$2:$I$437,5,FALSE),2)</f>
        <v>53.6</v>
      </c>
      <c r="E201" s="72">
        <f t="shared" si="18"/>
        <v>45.803842264914046</v>
      </c>
      <c r="F201" s="72">
        <f t="shared" si="19"/>
        <v>54.196157735085947</v>
      </c>
      <c r="G201" s="72">
        <f t="shared" si="20"/>
        <v>12.392315470171901</v>
      </c>
      <c r="H201">
        <f>ROUND(VLOOKUP($A201,Results!$A$2:$I$437,6,FALSE),2)</f>
        <v>49.7</v>
      </c>
      <c r="I201">
        <f>ROUND(VLOOKUP($A201,Results!$A$2:$I$437,7,FALSE),2)</f>
        <v>48.4</v>
      </c>
      <c r="J201" s="72">
        <f t="shared" si="21"/>
        <v>50.662589194699294</v>
      </c>
      <c r="K201" s="72">
        <f t="shared" si="22"/>
        <v>49.337410805300713</v>
      </c>
      <c r="L201" s="72">
        <f t="shared" si="23"/>
        <v>5.9748216106014196</v>
      </c>
    </row>
    <row r="202" spans="1:12" x14ac:dyDescent="0.25">
      <c r="A202" s="3" t="s">
        <v>407</v>
      </c>
      <c r="B202" t="s">
        <v>407</v>
      </c>
      <c r="C202">
        <f>ROUND(VLOOKUP($A202,Results!$A$2:$I$437,4,FALSE),2)</f>
        <v>43.1</v>
      </c>
      <c r="D202">
        <f>ROUND(VLOOKUP($A202,Results!$A$2:$I$437,5,FALSE),2)</f>
        <v>56</v>
      </c>
      <c r="E202" s="72">
        <f t="shared" si="18"/>
        <v>43.491422805247225</v>
      </c>
      <c r="F202" s="72">
        <f t="shared" si="19"/>
        <v>56.508577194752775</v>
      </c>
      <c r="G202" s="72">
        <f t="shared" si="20"/>
        <v>17.017154389505549</v>
      </c>
      <c r="H202">
        <f>ROUND(VLOOKUP($A202,Results!$A$2:$I$437,6,FALSE),2)</f>
        <v>48</v>
      </c>
      <c r="I202">
        <f>ROUND(VLOOKUP($A202,Results!$A$2:$I$437,7,FALSE),2)</f>
        <v>50.3</v>
      </c>
      <c r="J202" s="72">
        <f t="shared" si="21"/>
        <v>48.83011190233978</v>
      </c>
      <c r="K202" s="72">
        <f t="shared" si="22"/>
        <v>51.16988809766022</v>
      </c>
      <c r="L202" s="72">
        <f t="shared" si="23"/>
        <v>9.6397761953204402</v>
      </c>
    </row>
    <row r="203" spans="1:12" x14ac:dyDescent="0.25">
      <c r="A203" s="3" t="s">
        <v>409</v>
      </c>
      <c r="B203" t="s">
        <v>409</v>
      </c>
      <c r="C203">
        <f>ROUND(VLOOKUP($A203,Results!$A$2:$I$437,4,FALSE),2)</f>
        <v>45.8</v>
      </c>
      <c r="D203">
        <f>ROUND(VLOOKUP($A203,Results!$A$2:$I$437,5,FALSE),2)</f>
        <v>53.1</v>
      </c>
      <c r="E203" s="72">
        <f t="shared" si="18"/>
        <v>46.309403437815973</v>
      </c>
      <c r="F203" s="72">
        <f t="shared" si="19"/>
        <v>53.690596562184027</v>
      </c>
      <c r="G203" s="72">
        <f t="shared" si="20"/>
        <v>11.381193124368053</v>
      </c>
      <c r="H203">
        <f>ROUND(VLOOKUP($A203,Results!$A$2:$I$437,6,FALSE),2)</f>
        <v>49.7</v>
      </c>
      <c r="I203">
        <f>ROUND(VLOOKUP($A203,Results!$A$2:$I$437,7,FALSE),2)</f>
        <v>48.6</v>
      </c>
      <c r="J203" s="72">
        <f t="shared" si="21"/>
        <v>50.559511698880975</v>
      </c>
      <c r="K203" s="72">
        <f t="shared" si="22"/>
        <v>49.440488301119018</v>
      </c>
      <c r="L203" s="72">
        <f t="shared" si="23"/>
        <v>6.1809766022380428</v>
      </c>
    </row>
    <row r="204" spans="1:12" x14ac:dyDescent="0.25">
      <c r="A204" s="3" t="s">
        <v>411</v>
      </c>
      <c r="B204" t="s">
        <v>411</v>
      </c>
      <c r="C204">
        <f>ROUND(VLOOKUP($A204,Results!$A$2:$I$437,4,FALSE),2)</f>
        <v>45.5</v>
      </c>
      <c r="D204">
        <f>ROUND(VLOOKUP($A204,Results!$A$2:$I$437,5,FALSE),2)</f>
        <v>53.5</v>
      </c>
      <c r="E204" s="72">
        <f t="shared" si="18"/>
        <v>45.959595959595958</v>
      </c>
      <c r="F204" s="72">
        <f t="shared" si="19"/>
        <v>54.040404040404042</v>
      </c>
      <c r="G204" s="72">
        <f t="shared" si="20"/>
        <v>12.080808080808083</v>
      </c>
      <c r="H204">
        <f>ROUND(VLOOKUP($A204,Results!$A$2:$I$437,6,FALSE),2)</f>
        <v>49.6</v>
      </c>
      <c r="I204">
        <f>ROUND(VLOOKUP($A204,Results!$A$2:$I$437,7,FALSE),2)</f>
        <v>48.6</v>
      </c>
      <c r="J204" s="72">
        <f t="shared" si="21"/>
        <v>50.509164969450104</v>
      </c>
      <c r="K204" s="72">
        <f t="shared" si="22"/>
        <v>49.490835030549896</v>
      </c>
      <c r="L204" s="72">
        <f t="shared" si="23"/>
        <v>6.2816700610997911</v>
      </c>
    </row>
    <row r="205" spans="1:12" x14ac:dyDescent="0.25">
      <c r="A205" s="3" t="s">
        <v>413</v>
      </c>
      <c r="B205" t="s">
        <v>413</v>
      </c>
      <c r="C205">
        <f>ROUND(VLOOKUP($A205,Results!$A$2:$I$437,4,FALSE),2)</f>
        <v>60.7</v>
      </c>
      <c r="D205">
        <f>ROUND(VLOOKUP($A205,Results!$A$2:$I$437,5,FALSE),2)</f>
        <v>38.299999999999997</v>
      </c>
      <c r="E205" s="72">
        <f t="shared" si="18"/>
        <v>61.313131313131322</v>
      </c>
      <c r="F205" s="72">
        <f t="shared" si="19"/>
        <v>38.686868686868685</v>
      </c>
      <c r="G205" s="72">
        <f t="shared" si="20"/>
        <v>-18.626262626262637</v>
      </c>
      <c r="H205">
        <f>ROUND(VLOOKUP($A205,Results!$A$2:$I$437,6,FALSE),2)</f>
        <v>63</v>
      </c>
      <c r="I205">
        <f>ROUND(VLOOKUP($A205,Results!$A$2:$I$437,7,FALSE),2)</f>
        <v>35.299999999999997</v>
      </c>
      <c r="J205" s="72">
        <f t="shared" si="21"/>
        <v>64.089521871820949</v>
      </c>
      <c r="K205" s="72">
        <f t="shared" si="22"/>
        <v>35.910478128179044</v>
      </c>
      <c r="L205" s="72">
        <f t="shared" si="23"/>
        <v>-20.879043743641905</v>
      </c>
    </row>
    <row r="206" spans="1:12" x14ac:dyDescent="0.25">
      <c r="A206" s="3" t="s">
        <v>415</v>
      </c>
      <c r="B206" t="s">
        <v>415</v>
      </c>
      <c r="C206">
        <f>ROUND(VLOOKUP($A206,Results!$A$2:$I$437,4,FALSE),2)</f>
        <v>48.8</v>
      </c>
      <c r="D206">
        <f>ROUND(VLOOKUP($A206,Results!$A$2:$I$437,5,FALSE),2)</f>
        <v>50.2</v>
      </c>
      <c r="E206" s="72">
        <f t="shared" si="18"/>
        <v>49.292929292929287</v>
      </c>
      <c r="F206" s="72">
        <f t="shared" si="19"/>
        <v>50.707070707070713</v>
      </c>
      <c r="G206" s="72">
        <f t="shared" si="20"/>
        <v>5.4141414141414259</v>
      </c>
      <c r="H206">
        <f>ROUND(VLOOKUP($A206,Results!$A$2:$I$437,6,FALSE),2)</f>
        <v>53.1</v>
      </c>
      <c r="I206">
        <f>ROUND(VLOOKUP($A206,Results!$A$2:$I$437,7,FALSE),2)</f>
        <v>45.2</v>
      </c>
      <c r="J206" s="72">
        <f t="shared" si="21"/>
        <v>54.018311291963371</v>
      </c>
      <c r="K206" s="72">
        <f t="shared" si="22"/>
        <v>45.981688708036621</v>
      </c>
      <c r="L206" s="72">
        <f t="shared" si="23"/>
        <v>-0.73662258392675017</v>
      </c>
    </row>
    <row r="207" spans="1:12" x14ac:dyDescent="0.25">
      <c r="A207" s="3" t="s">
        <v>417</v>
      </c>
      <c r="B207" t="s">
        <v>417</v>
      </c>
      <c r="C207">
        <f>ROUND(VLOOKUP($A207,Results!$A$2:$I$437,4,FALSE),2)</f>
        <v>47.9</v>
      </c>
      <c r="D207">
        <f>ROUND(VLOOKUP($A207,Results!$A$2:$I$437,5,FALSE),2)</f>
        <v>51</v>
      </c>
      <c r="E207" s="72">
        <f t="shared" si="18"/>
        <v>48.432760364004039</v>
      </c>
      <c r="F207" s="72">
        <f t="shared" si="19"/>
        <v>51.567239635995954</v>
      </c>
      <c r="G207" s="72">
        <f t="shared" si="20"/>
        <v>7.1344792719919141</v>
      </c>
      <c r="H207">
        <f>ROUND(VLOOKUP($A207,Results!$A$2:$I$437,6,FALSE),2)</f>
        <v>50.8</v>
      </c>
      <c r="I207">
        <f>ROUND(VLOOKUP($A207,Results!$A$2:$I$437,7,FALSE),2)</f>
        <v>47.4</v>
      </c>
      <c r="J207" s="72">
        <f t="shared" si="21"/>
        <v>51.731160896130348</v>
      </c>
      <c r="K207" s="72">
        <f t="shared" si="22"/>
        <v>48.268839103869659</v>
      </c>
      <c r="L207" s="72">
        <f t="shared" si="23"/>
        <v>3.8376782077393115</v>
      </c>
    </row>
    <row r="208" spans="1:12" x14ac:dyDescent="0.25">
      <c r="A208" s="3" t="s">
        <v>419</v>
      </c>
      <c r="B208" t="s">
        <v>419</v>
      </c>
      <c r="C208">
        <f>ROUND(VLOOKUP($A208,Results!$A$2:$I$437,4,FALSE),2)</f>
        <v>48</v>
      </c>
      <c r="D208">
        <f>ROUND(VLOOKUP($A208,Results!$A$2:$I$437,5,FALSE),2)</f>
        <v>51.1</v>
      </c>
      <c r="E208" s="72">
        <f t="shared" si="18"/>
        <v>48.435923309788095</v>
      </c>
      <c r="F208" s="72">
        <f t="shared" si="19"/>
        <v>51.564076690211913</v>
      </c>
      <c r="G208" s="72">
        <f t="shared" si="20"/>
        <v>7.128153380423818</v>
      </c>
      <c r="H208">
        <f>ROUND(VLOOKUP($A208,Results!$A$2:$I$437,6,FALSE),2)</f>
        <v>52</v>
      </c>
      <c r="I208">
        <f>ROUND(VLOOKUP($A208,Results!$A$2:$I$437,7,FALSE),2)</f>
        <v>46.4</v>
      </c>
      <c r="J208" s="72">
        <f t="shared" si="21"/>
        <v>52.845528455284551</v>
      </c>
      <c r="K208" s="72">
        <f t="shared" si="22"/>
        <v>47.154471544715442</v>
      </c>
      <c r="L208" s="72">
        <f t="shared" si="23"/>
        <v>1.6089430894308903</v>
      </c>
    </row>
    <row r="209" spans="1:12" x14ac:dyDescent="0.25">
      <c r="A209" s="3" t="s">
        <v>421</v>
      </c>
      <c r="B209" t="s">
        <v>421</v>
      </c>
      <c r="C209">
        <f>ROUND(VLOOKUP($A209,Results!$A$2:$I$437,4,FALSE),2)</f>
        <v>57.2</v>
      </c>
      <c r="D209">
        <f>ROUND(VLOOKUP($A209,Results!$A$2:$I$437,5,FALSE),2)</f>
        <v>41.9</v>
      </c>
      <c r="E209" s="72">
        <f t="shared" si="18"/>
        <v>57.71947527749748</v>
      </c>
      <c r="F209" s="72">
        <f t="shared" si="19"/>
        <v>42.28052472250252</v>
      </c>
      <c r="G209" s="72">
        <f t="shared" si="20"/>
        <v>-11.43895055499496</v>
      </c>
      <c r="H209">
        <f>ROUND(VLOOKUP($A209,Results!$A$2:$I$437,6,FALSE),2)</f>
        <v>58.1</v>
      </c>
      <c r="I209">
        <f>ROUND(VLOOKUP($A209,Results!$A$2:$I$437,7,FALSE),2)</f>
        <v>40.1</v>
      </c>
      <c r="J209" s="72">
        <f t="shared" si="21"/>
        <v>59.164969450101836</v>
      </c>
      <c r="K209" s="72">
        <f t="shared" si="22"/>
        <v>40.835030549898164</v>
      </c>
      <c r="L209" s="72">
        <f t="shared" si="23"/>
        <v>-11.029938900203671</v>
      </c>
    </row>
    <row r="210" spans="1:12" x14ac:dyDescent="0.25">
      <c r="A210" s="3" t="s">
        <v>423</v>
      </c>
      <c r="B210" t="s">
        <v>423</v>
      </c>
      <c r="C210">
        <f>ROUND(VLOOKUP($A210,Results!$A$2:$I$437,4,FALSE),2)</f>
        <v>43.7</v>
      </c>
      <c r="D210">
        <f>ROUND(VLOOKUP($A210,Results!$A$2:$I$437,5,FALSE),2)</f>
        <v>55.3</v>
      </c>
      <c r="E210" s="72">
        <f t="shared" si="18"/>
        <v>44.141414141414145</v>
      </c>
      <c r="F210" s="72">
        <f t="shared" si="19"/>
        <v>55.858585858585855</v>
      </c>
      <c r="G210" s="72">
        <f t="shared" si="20"/>
        <v>15.717171717171709</v>
      </c>
      <c r="H210">
        <f>ROUND(VLOOKUP($A210,Results!$A$2:$I$437,6,FALSE),2)</f>
        <v>48</v>
      </c>
      <c r="I210">
        <f>ROUND(VLOOKUP($A210,Results!$A$2:$I$437,7,FALSE),2)</f>
        <v>50</v>
      </c>
      <c r="J210" s="72">
        <f t="shared" si="21"/>
        <v>48.979591836734691</v>
      </c>
      <c r="K210" s="72">
        <f t="shared" si="22"/>
        <v>51.020408163265309</v>
      </c>
      <c r="L210" s="72">
        <f t="shared" si="23"/>
        <v>9.3408163265306179</v>
      </c>
    </row>
    <row r="211" spans="1:12" x14ac:dyDescent="0.25">
      <c r="A211" s="3" t="s">
        <v>425</v>
      </c>
      <c r="B211" t="s">
        <v>425</v>
      </c>
      <c r="C211">
        <f>ROUND(VLOOKUP($A211,Results!$A$2:$I$437,4,FALSE),2)</f>
        <v>46.9</v>
      </c>
      <c r="D211">
        <f>ROUND(VLOOKUP($A211,Results!$A$2:$I$437,5,FALSE),2)</f>
        <v>52.3</v>
      </c>
      <c r="E211" s="72">
        <f t="shared" si="18"/>
        <v>47.278225806451616</v>
      </c>
      <c r="F211" s="72">
        <f t="shared" si="19"/>
        <v>52.721774193548384</v>
      </c>
      <c r="G211" s="72">
        <f t="shared" si="20"/>
        <v>9.4435483870967687</v>
      </c>
      <c r="H211">
        <f>ROUND(VLOOKUP($A211,Results!$A$2:$I$437,6,FALSE),2)</f>
        <v>50.2</v>
      </c>
      <c r="I211">
        <f>ROUND(VLOOKUP($A211,Results!$A$2:$I$437,7,FALSE),2)</f>
        <v>48.3</v>
      </c>
      <c r="J211" s="72">
        <f t="shared" si="21"/>
        <v>50.964467005076145</v>
      </c>
      <c r="K211" s="72">
        <f t="shared" si="22"/>
        <v>49.035532994923855</v>
      </c>
      <c r="L211" s="72">
        <f t="shared" si="23"/>
        <v>5.3710659898477102</v>
      </c>
    </row>
    <row r="212" spans="1:12" x14ac:dyDescent="0.25">
      <c r="A212" s="3" t="s">
        <v>427</v>
      </c>
      <c r="B212" t="s">
        <v>427</v>
      </c>
      <c r="C212">
        <f>ROUND(VLOOKUP($A212,Results!$A$2:$I$437,4,FALSE),2)</f>
        <v>66.2</v>
      </c>
      <c r="D212">
        <f>ROUND(VLOOKUP($A212,Results!$A$2:$I$437,5,FALSE),2)</f>
        <v>32.799999999999997</v>
      </c>
      <c r="E212" s="72">
        <f t="shared" si="18"/>
        <v>66.868686868686865</v>
      </c>
      <c r="F212" s="72">
        <f t="shared" si="19"/>
        <v>33.131313131313128</v>
      </c>
      <c r="G212" s="72">
        <f t="shared" si="20"/>
        <v>-29.737373737373737</v>
      </c>
      <c r="H212">
        <f>ROUND(VLOOKUP($A212,Results!$A$2:$I$437,6,FALSE),2)</f>
        <v>66.900000000000006</v>
      </c>
      <c r="I212">
        <f>ROUND(VLOOKUP($A212,Results!$A$2:$I$437,7,FALSE),2)</f>
        <v>31.4</v>
      </c>
      <c r="J212" s="72">
        <f t="shared" si="21"/>
        <v>68.056968463886065</v>
      </c>
      <c r="K212" s="72">
        <f t="shared" si="22"/>
        <v>31.943031536113931</v>
      </c>
      <c r="L212" s="72">
        <f t="shared" si="23"/>
        <v>-28.813936927772129</v>
      </c>
    </row>
    <row r="213" spans="1:12" x14ac:dyDescent="0.25">
      <c r="A213" s="3" t="s">
        <v>429</v>
      </c>
      <c r="B213" t="s">
        <v>429</v>
      </c>
      <c r="C213">
        <f>ROUND(VLOOKUP($A213,Results!$A$2:$I$437,4,FALSE),2)</f>
        <v>85.2</v>
      </c>
      <c r="D213">
        <f>ROUND(VLOOKUP($A213,Results!$A$2:$I$437,5,FALSE),2)</f>
        <v>14.3</v>
      </c>
      <c r="E213" s="72">
        <f t="shared" si="18"/>
        <v>85.628140703517587</v>
      </c>
      <c r="F213" s="72">
        <f t="shared" si="19"/>
        <v>14.371859296482411</v>
      </c>
      <c r="G213" s="72">
        <f t="shared" si="20"/>
        <v>-67.256281407035175</v>
      </c>
      <c r="H213">
        <f>ROUND(VLOOKUP($A213,Results!$A$2:$I$437,6,FALSE),2)</f>
        <v>84.8</v>
      </c>
      <c r="I213">
        <f>ROUND(VLOOKUP($A213,Results!$A$2:$I$437,7,FALSE),2)</f>
        <v>14.2</v>
      </c>
      <c r="J213" s="72">
        <f t="shared" si="21"/>
        <v>85.656565656565647</v>
      </c>
      <c r="K213" s="72">
        <f t="shared" si="22"/>
        <v>14.343434343434341</v>
      </c>
      <c r="L213" s="72">
        <f t="shared" si="23"/>
        <v>-64.013131313131311</v>
      </c>
    </row>
    <row r="214" spans="1:12" x14ac:dyDescent="0.25">
      <c r="A214" s="3" t="s">
        <v>431</v>
      </c>
      <c r="B214" t="s">
        <v>431</v>
      </c>
      <c r="C214">
        <f>ROUND(VLOOKUP($A214,Results!$A$2:$I$437,4,FALSE),2)</f>
        <v>81</v>
      </c>
      <c r="D214">
        <f>ROUND(VLOOKUP($A214,Results!$A$2:$I$437,5,FALSE),2)</f>
        <v>18.600000000000001</v>
      </c>
      <c r="E214" s="72">
        <f t="shared" si="18"/>
        <v>81.325301204819283</v>
      </c>
      <c r="F214" s="72">
        <f t="shared" si="19"/>
        <v>18.674698795180724</v>
      </c>
      <c r="G214" s="72">
        <f t="shared" si="20"/>
        <v>-58.650602409638559</v>
      </c>
      <c r="H214">
        <f>ROUND(VLOOKUP($A214,Results!$A$2:$I$437,6,FALSE),2)</f>
        <v>82.2</v>
      </c>
      <c r="I214">
        <f>ROUND(VLOOKUP($A214,Results!$A$2:$I$437,7,FALSE),2)</f>
        <v>17.100000000000001</v>
      </c>
      <c r="J214" s="72">
        <f t="shared" si="21"/>
        <v>82.779456193353468</v>
      </c>
      <c r="K214" s="72">
        <f t="shared" si="22"/>
        <v>17.220543806646525</v>
      </c>
      <c r="L214" s="72">
        <f t="shared" si="23"/>
        <v>-58.258912386706939</v>
      </c>
    </row>
    <row r="215" spans="1:12" x14ac:dyDescent="0.25">
      <c r="A215" s="3" t="s">
        <v>433</v>
      </c>
      <c r="B215" t="s">
        <v>433</v>
      </c>
      <c r="C215">
        <f>ROUND(VLOOKUP($A215,Results!$A$2:$I$437,4,FALSE),2)</f>
        <v>49.6</v>
      </c>
      <c r="D215">
        <f>ROUND(VLOOKUP($A215,Results!$A$2:$I$437,5,FALSE),2)</f>
        <v>48.2</v>
      </c>
      <c r="E215" s="72">
        <f t="shared" si="18"/>
        <v>50.715746421267895</v>
      </c>
      <c r="F215" s="72">
        <f t="shared" si="19"/>
        <v>49.284253578732098</v>
      </c>
      <c r="G215" s="72">
        <f t="shared" si="20"/>
        <v>2.5685071574642038</v>
      </c>
      <c r="H215">
        <f>ROUND(VLOOKUP($A215,Results!$A$2:$I$437,6,FALSE),2)</f>
        <v>50.8</v>
      </c>
      <c r="I215">
        <f>ROUND(VLOOKUP($A215,Results!$A$2:$I$437,7,FALSE),2)</f>
        <v>46.7</v>
      </c>
      <c r="J215" s="72">
        <f t="shared" si="21"/>
        <v>52.102564102564095</v>
      </c>
      <c r="K215" s="72">
        <f t="shared" si="22"/>
        <v>47.897435897435905</v>
      </c>
      <c r="L215" s="72">
        <f t="shared" si="23"/>
        <v>3.0948717948718096</v>
      </c>
    </row>
    <row r="216" spans="1:12" x14ac:dyDescent="0.25">
      <c r="A216" s="3" t="s">
        <v>435</v>
      </c>
      <c r="B216" t="s">
        <v>435</v>
      </c>
      <c r="C216">
        <f>ROUND(VLOOKUP($A216,Results!$A$2:$I$437,4,FALSE),2)</f>
        <v>49.1</v>
      </c>
      <c r="D216">
        <f>ROUND(VLOOKUP($A216,Results!$A$2:$I$437,5,FALSE),2)</f>
        <v>49</v>
      </c>
      <c r="E216" s="72">
        <f t="shared" si="18"/>
        <v>50.050968399592257</v>
      </c>
      <c r="F216" s="72">
        <f t="shared" si="19"/>
        <v>49.94903160040775</v>
      </c>
      <c r="G216" s="72">
        <f t="shared" si="20"/>
        <v>3.8980632008154927</v>
      </c>
      <c r="H216">
        <f>ROUND(VLOOKUP($A216,Results!$A$2:$I$437,6,FALSE),2)</f>
        <v>50.5</v>
      </c>
      <c r="I216">
        <f>ROUND(VLOOKUP($A216,Results!$A$2:$I$437,7,FALSE),2)</f>
        <v>47.6</v>
      </c>
      <c r="J216" s="72">
        <f t="shared" si="21"/>
        <v>51.478083588175338</v>
      </c>
      <c r="K216" s="72">
        <f t="shared" si="22"/>
        <v>48.52191641182467</v>
      </c>
      <c r="L216" s="72">
        <f t="shared" si="23"/>
        <v>4.3438328236493318</v>
      </c>
    </row>
    <row r="217" spans="1:12" x14ac:dyDescent="0.25">
      <c r="A217" s="3" t="s">
        <v>437</v>
      </c>
      <c r="B217" t="s">
        <v>437</v>
      </c>
      <c r="C217">
        <f>ROUND(VLOOKUP($A217,Results!$A$2:$I$437,4,FALSE),2)</f>
        <v>49.6</v>
      </c>
      <c r="D217">
        <f>ROUND(VLOOKUP($A217,Results!$A$2:$I$437,5,FALSE),2)</f>
        <v>48.8</v>
      </c>
      <c r="E217" s="72">
        <f t="shared" si="18"/>
        <v>50.40650406504065</v>
      </c>
      <c r="F217" s="72">
        <f t="shared" si="19"/>
        <v>49.593495934959343</v>
      </c>
      <c r="G217" s="72">
        <f t="shared" si="20"/>
        <v>3.1869918699186925</v>
      </c>
      <c r="H217">
        <f>ROUND(VLOOKUP($A217,Results!$A$2:$I$437,6,FALSE),2)</f>
        <v>51</v>
      </c>
      <c r="I217">
        <f>ROUND(VLOOKUP($A217,Results!$A$2:$I$437,7,FALSE),2)</f>
        <v>47.4</v>
      </c>
      <c r="J217" s="72">
        <f t="shared" si="21"/>
        <v>51.829268292682926</v>
      </c>
      <c r="K217" s="72">
        <f t="shared" si="22"/>
        <v>48.170731707317074</v>
      </c>
      <c r="L217" s="72">
        <f t="shared" si="23"/>
        <v>3.6414634146341482</v>
      </c>
    </row>
    <row r="218" spans="1:12" x14ac:dyDescent="0.25">
      <c r="A218" s="3" t="s">
        <v>439</v>
      </c>
      <c r="B218" t="s">
        <v>439</v>
      </c>
      <c r="C218">
        <f>ROUND(VLOOKUP($A218,Results!$A$2:$I$437,4,FALSE),2)</f>
        <v>62.5</v>
      </c>
      <c r="D218">
        <f>ROUND(VLOOKUP($A218,Results!$A$2:$I$437,5,FALSE),2)</f>
        <v>35.5</v>
      </c>
      <c r="E218" s="72">
        <f t="shared" si="18"/>
        <v>63.775510204081634</v>
      </c>
      <c r="F218" s="72">
        <f t="shared" si="19"/>
        <v>36.224489795918366</v>
      </c>
      <c r="G218" s="72">
        <f t="shared" si="20"/>
        <v>-23.551020408163268</v>
      </c>
      <c r="H218">
        <f>ROUND(VLOOKUP($A218,Results!$A$2:$I$437,6,FALSE),2)</f>
        <v>62.6</v>
      </c>
      <c r="I218">
        <f>ROUND(VLOOKUP($A218,Results!$A$2:$I$437,7,FALSE),2)</f>
        <v>35.5</v>
      </c>
      <c r="J218" s="72">
        <f t="shared" si="21"/>
        <v>63.812436289500518</v>
      </c>
      <c r="K218" s="72">
        <f t="shared" si="22"/>
        <v>36.187563710499489</v>
      </c>
      <c r="L218" s="72">
        <f t="shared" si="23"/>
        <v>-20.324872579001028</v>
      </c>
    </row>
    <row r="219" spans="1:12" x14ac:dyDescent="0.25">
      <c r="A219" s="3" t="s">
        <v>441</v>
      </c>
      <c r="B219" t="s">
        <v>441</v>
      </c>
      <c r="C219">
        <f>ROUND(VLOOKUP($A219,Results!$A$2:$I$437,4,FALSE),2)</f>
        <v>73.5</v>
      </c>
      <c r="D219">
        <f>ROUND(VLOOKUP($A219,Results!$A$2:$I$437,5,FALSE),2)</f>
        <v>24</v>
      </c>
      <c r="E219" s="72">
        <f t="shared" si="18"/>
        <v>75.384615384615387</v>
      </c>
      <c r="F219" s="72">
        <f t="shared" si="19"/>
        <v>24.615384615384617</v>
      </c>
      <c r="G219" s="72">
        <f t="shared" si="20"/>
        <v>-46.769230769230774</v>
      </c>
      <c r="H219">
        <f>ROUND(VLOOKUP($A219,Results!$A$2:$I$437,6,FALSE),2)</f>
        <v>73.400000000000006</v>
      </c>
      <c r="I219">
        <f>ROUND(VLOOKUP($A219,Results!$A$2:$I$437,7,FALSE),2)</f>
        <v>24.5</v>
      </c>
      <c r="J219" s="72">
        <f t="shared" si="21"/>
        <v>74.974463738508675</v>
      </c>
      <c r="K219" s="72">
        <f t="shared" si="22"/>
        <v>25.025536261491315</v>
      </c>
      <c r="L219" s="72">
        <f t="shared" si="23"/>
        <v>-42.648927477017367</v>
      </c>
    </row>
    <row r="220" spans="1:12" x14ac:dyDescent="0.25">
      <c r="A220" s="3" t="s">
        <v>443</v>
      </c>
      <c r="B220" t="s">
        <v>443</v>
      </c>
      <c r="C220">
        <f>ROUND(VLOOKUP($A220,Results!$A$2:$I$437,4,FALSE),2)</f>
        <v>41.5</v>
      </c>
      <c r="D220">
        <f>ROUND(VLOOKUP($A220,Results!$A$2:$I$437,5,FALSE),2)</f>
        <v>56.5</v>
      </c>
      <c r="E220" s="72">
        <f t="shared" si="18"/>
        <v>42.346938775510203</v>
      </c>
      <c r="F220" s="72">
        <f t="shared" si="19"/>
        <v>57.653061224489797</v>
      </c>
      <c r="G220" s="72">
        <f t="shared" si="20"/>
        <v>19.306122448979593</v>
      </c>
      <c r="H220">
        <f>ROUND(VLOOKUP($A220,Results!$A$2:$I$437,6,FALSE),2)</f>
        <v>43.2</v>
      </c>
      <c r="I220">
        <f>ROUND(VLOOKUP($A220,Results!$A$2:$I$437,7,FALSE),2)</f>
        <v>54.7</v>
      </c>
      <c r="J220" s="72">
        <f t="shared" si="21"/>
        <v>44.126659856996937</v>
      </c>
      <c r="K220" s="72">
        <f t="shared" si="22"/>
        <v>55.873340143003055</v>
      </c>
      <c r="L220" s="72">
        <f t="shared" si="23"/>
        <v>19.046680286006119</v>
      </c>
    </row>
    <row r="221" spans="1:12" x14ac:dyDescent="0.25">
      <c r="A221" s="3" t="s">
        <v>445</v>
      </c>
      <c r="B221" t="s">
        <v>445</v>
      </c>
      <c r="C221">
        <f>ROUND(VLOOKUP($A221,Results!$A$2:$I$437,4,FALSE),2)</f>
        <v>44.1</v>
      </c>
      <c r="D221">
        <f>ROUND(VLOOKUP($A221,Results!$A$2:$I$437,5,FALSE),2)</f>
        <v>53.9</v>
      </c>
      <c r="E221" s="72">
        <f t="shared" si="18"/>
        <v>45</v>
      </c>
      <c r="F221" s="72">
        <f t="shared" si="19"/>
        <v>54.999999999999993</v>
      </c>
      <c r="G221" s="72">
        <f t="shared" si="20"/>
        <v>13.999999999999993</v>
      </c>
      <c r="H221">
        <f>ROUND(VLOOKUP($A221,Results!$A$2:$I$437,6,FALSE),2)</f>
        <v>47.1</v>
      </c>
      <c r="I221">
        <f>ROUND(VLOOKUP($A221,Results!$A$2:$I$437,7,FALSE),2)</f>
        <v>50.4</v>
      </c>
      <c r="J221" s="72">
        <f t="shared" si="21"/>
        <v>48.307692307692307</v>
      </c>
      <c r="K221" s="72">
        <f t="shared" si="22"/>
        <v>51.692307692307693</v>
      </c>
      <c r="L221" s="72">
        <f t="shared" si="23"/>
        <v>10.684615384615388</v>
      </c>
    </row>
    <row r="222" spans="1:12" x14ac:dyDescent="0.25">
      <c r="A222" s="3" t="s">
        <v>447</v>
      </c>
      <c r="B222" t="s">
        <v>447</v>
      </c>
      <c r="C222">
        <f>ROUND(VLOOKUP($A222,Results!$A$2:$I$437,4,FALSE),2)</f>
        <v>51.7</v>
      </c>
      <c r="D222">
        <f>ROUND(VLOOKUP($A222,Results!$A$2:$I$437,5,FALSE),2)</f>
        <v>46.2</v>
      </c>
      <c r="E222" s="72">
        <f t="shared" si="18"/>
        <v>52.80898876404494</v>
      </c>
      <c r="F222" s="72">
        <f t="shared" si="19"/>
        <v>47.191011235955052</v>
      </c>
      <c r="G222" s="72">
        <f t="shared" si="20"/>
        <v>-1.617977528089888</v>
      </c>
      <c r="H222">
        <f>ROUND(VLOOKUP($A222,Results!$A$2:$I$437,6,FALSE),2)</f>
        <v>53.1</v>
      </c>
      <c r="I222">
        <f>ROUND(VLOOKUP($A222,Results!$A$2:$I$437,7,FALSE),2)</f>
        <v>44.5</v>
      </c>
      <c r="J222" s="72">
        <f t="shared" si="21"/>
        <v>54.405737704918032</v>
      </c>
      <c r="K222" s="72">
        <f t="shared" si="22"/>
        <v>45.594262295081975</v>
      </c>
      <c r="L222" s="72">
        <f t="shared" si="23"/>
        <v>-1.5114754098360565</v>
      </c>
    </row>
    <row r="223" spans="1:12" x14ac:dyDescent="0.25">
      <c r="A223" s="3" t="s">
        <v>449</v>
      </c>
      <c r="B223" t="s">
        <v>449</v>
      </c>
      <c r="C223">
        <f>ROUND(VLOOKUP($A223,Results!$A$2:$I$437,4,FALSE),2)</f>
        <v>79.900000000000006</v>
      </c>
      <c r="D223">
        <f>ROUND(VLOOKUP($A223,Results!$A$2:$I$437,5,FALSE),2)</f>
        <v>18.899999999999999</v>
      </c>
      <c r="E223" s="72">
        <f t="shared" si="18"/>
        <v>80.87044534412955</v>
      </c>
      <c r="F223" s="72">
        <f t="shared" si="19"/>
        <v>19.129554655870443</v>
      </c>
      <c r="G223" s="72">
        <f t="shared" si="20"/>
        <v>-57.740890688259107</v>
      </c>
      <c r="H223">
        <f>ROUND(VLOOKUP($A223,Results!$A$2:$I$437,6,FALSE),2)</f>
        <v>80.3</v>
      </c>
      <c r="I223">
        <f>ROUND(VLOOKUP($A223,Results!$A$2:$I$437,7,FALSE),2)</f>
        <v>18.600000000000001</v>
      </c>
      <c r="J223" s="72">
        <f t="shared" si="21"/>
        <v>81.19312436804853</v>
      </c>
      <c r="K223" s="72">
        <f t="shared" si="22"/>
        <v>18.806875631951467</v>
      </c>
      <c r="L223" s="72">
        <f t="shared" si="23"/>
        <v>-55.086248736097062</v>
      </c>
    </row>
    <row r="224" spans="1:12" x14ac:dyDescent="0.25">
      <c r="A224" s="3" t="s">
        <v>451</v>
      </c>
      <c r="B224" t="s">
        <v>451</v>
      </c>
      <c r="C224">
        <f>ROUND(VLOOKUP($A224,Results!$A$2:$I$437,4,FALSE),2)</f>
        <v>41.4</v>
      </c>
      <c r="D224">
        <f>ROUND(VLOOKUP($A224,Results!$A$2:$I$437,5,FALSE),2)</f>
        <v>57.1</v>
      </c>
      <c r="E224" s="72">
        <f t="shared" si="18"/>
        <v>42.030456852791872</v>
      </c>
      <c r="F224" s="72">
        <f t="shared" si="19"/>
        <v>57.969543147208128</v>
      </c>
      <c r="G224" s="72">
        <f t="shared" si="20"/>
        <v>19.939086294416256</v>
      </c>
      <c r="H224">
        <f>ROUND(VLOOKUP($A224,Results!$A$2:$I$437,6,FALSE),2)</f>
        <v>46.4</v>
      </c>
      <c r="I224">
        <f>ROUND(VLOOKUP($A224,Results!$A$2:$I$437,7,FALSE),2)</f>
        <v>52.6</v>
      </c>
      <c r="J224" s="72">
        <f t="shared" si="21"/>
        <v>46.868686868686865</v>
      </c>
      <c r="K224" s="72">
        <f t="shared" si="22"/>
        <v>53.131313131313128</v>
      </c>
      <c r="L224" s="72">
        <f t="shared" si="23"/>
        <v>13.562626262626264</v>
      </c>
    </row>
    <row r="225" spans="1:12" x14ac:dyDescent="0.25">
      <c r="A225" s="3" t="s">
        <v>453</v>
      </c>
      <c r="B225" t="s">
        <v>453</v>
      </c>
      <c r="C225">
        <f>ROUND(VLOOKUP($A225,Results!$A$2:$I$437,4,FALSE),2)</f>
        <v>36.1</v>
      </c>
      <c r="D225">
        <f>ROUND(VLOOKUP($A225,Results!$A$2:$I$437,5,FALSE),2)</f>
        <v>62</v>
      </c>
      <c r="E225" s="72">
        <f t="shared" si="18"/>
        <v>36.799184505606526</v>
      </c>
      <c r="F225" s="72">
        <f t="shared" si="19"/>
        <v>63.200815494393481</v>
      </c>
      <c r="G225" s="72">
        <f t="shared" si="20"/>
        <v>30.401630988786955</v>
      </c>
      <c r="H225">
        <f>ROUND(VLOOKUP($A225,Results!$A$2:$I$437,6,FALSE),2)</f>
        <v>42.8</v>
      </c>
      <c r="I225">
        <f>ROUND(VLOOKUP($A225,Results!$A$2:$I$437,7,FALSE),2)</f>
        <v>55.8</v>
      </c>
      <c r="J225" s="72">
        <f t="shared" si="21"/>
        <v>43.40770791075051</v>
      </c>
      <c r="K225" s="72">
        <f t="shared" si="22"/>
        <v>56.592292089249497</v>
      </c>
      <c r="L225" s="72">
        <f t="shared" si="23"/>
        <v>20.484584178498988</v>
      </c>
    </row>
    <row r="226" spans="1:12" x14ac:dyDescent="0.25">
      <c r="A226" s="3" t="s">
        <v>455</v>
      </c>
      <c r="B226" t="s">
        <v>455</v>
      </c>
      <c r="C226">
        <f>ROUND(VLOOKUP($A226,Results!$A$2:$I$437,4,FALSE),2)</f>
        <v>36.4</v>
      </c>
      <c r="D226">
        <f>ROUND(VLOOKUP($A226,Results!$A$2:$I$437,5,FALSE),2)</f>
        <v>61.2</v>
      </c>
      <c r="E226" s="72">
        <f t="shared" si="18"/>
        <v>37.295081967213115</v>
      </c>
      <c r="F226" s="72">
        <f t="shared" si="19"/>
        <v>62.704918032786892</v>
      </c>
      <c r="G226" s="72">
        <f t="shared" si="20"/>
        <v>29.409836065573778</v>
      </c>
      <c r="H226">
        <f>ROUND(VLOOKUP($A226,Results!$A$2:$I$437,6,FALSE),2)</f>
        <v>41.9</v>
      </c>
      <c r="I226">
        <f>ROUND(VLOOKUP($A226,Results!$A$2:$I$437,7,FALSE),2)</f>
        <v>56.5</v>
      </c>
      <c r="J226" s="72">
        <f t="shared" si="21"/>
        <v>42.581300813008127</v>
      </c>
      <c r="K226" s="72">
        <f t="shared" si="22"/>
        <v>57.418699186991859</v>
      </c>
      <c r="L226" s="72">
        <f t="shared" si="23"/>
        <v>22.137398373983732</v>
      </c>
    </row>
    <row r="227" spans="1:12" x14ac:dyDescent="0.25">
      <c r="A227" s="3" t="s">
        <v>457</v>
      </c>
      <c r="B227" t="s">
        <v>457</v>
      </c>
      <c r="C227">
        <f>ROUND(VLOOKUP($A227,Results!$A$2:$I$437,4,FALSE),2)</f>
        <v>58.9</v>
      </c>
      <c r="D227">
        <f>ROUND(VLOOKUP($A227,Results!$A$2:$I$437,5,FALSE),2)</f>
        <v>39.4</v>
      </c>
      <c r="E227" s="72">
        <f t="shared" si="18"/>
        <v>59.918616480162768</v>
      </c>
      <c r="F227" s="72">
        <f t="shared" si="19"/>
        <v>40.081383519837232</v>
      </c>
      <c r="G227" s="72">
        <f t="shared" si="20"/>
        <v>-15.837232960325537</v>
      </c>
      <c r="H227">
        <f>ROUND(VLOOKUP($A227,Results!$A$2:$I$437,6,FALSE),2)</f>
        <v>62</v>
      </c>
      <c r="I227">
        <f>ROUND(VLOOKUP($A227,Results!$A$2:$I$437,7,FALSE),2)</f>
        <v>36.799999999999997</v>
      </c>
      <c r="J227" s="72">
        <f t="shared" si="21"/>
        <v>62.753036437246969</v>
      </c>
      <c r="K227" s="72">
        <f t="shared" si="22"/>
        <v>37.246963562753031</v>
      </c>
      <c r="L227" s="72">
        <f t="shared" si="23"/>
        <v>-18.206072874493938</v>
      </c>
    </row>
    <row r="228" spans="1:12" x14ac:dyDescent="0.25">
      <c r="A228" s="3" t="s">
        <v>459</v>
      </c>
      <c r="B228" t="s">
        <v>459</v>
      </c>
      <c r="C228">
        <f>ROUND(VLOOKUP($A228,Results!$A$2:$I$437,4,FALSE),2)</f>
        <v>37.9</v>
      </c>
      <c r="D228">
        <f>ROUND(VLOOKUP($A228,Results!$A$2:$I$437,5,FALSE),2)</f>
        <v>60</v>
      </c>
      <c r="E228" s="72">
        <f t="shared" si="18"/>
        <v>38.712972420837588</v>
      </c>
      <c r="F228" s="72">
        <f t="shared" si="19"/>
        <v>61.287027579162412</v>
      </c>
      <c r="G228" s="72">
        <f t="shared" si="20"/>
        <v>26.574055158324825</v>
      </c>
      <c r="H228">
        <f>ROUND(VLOOKUP($A228,Results!$A$2:$I$437,6,FALSE),2)</f>
        <v>43.1</v>
      </c>
      <c r="I228">
        <f>ROUND(VLOOKUP($A228,Results!$A$2:$I$437,7,FALSE),2)</f>
        <v>55.3</v>
      </c>
      <c r="J228" s="72">
        <f t="shared" si="21"/>
        <v>43.800813008130078</v>
      </c>
      <c r="K228" s="72">
        <f t="shared" si="22"/>
        <v>56.199186991869908</v>
      </c>
      <c r="L228" s="72">
        <f t="shared" si="23"/>
        <v>19.698373983739831</v>
      </c>
    </row>
    <row r="229" spans="1:12" x14ac:dyDescent="0.25">
      <c r="A229" s="3" t="s">
        <v>461</v>
      </c>
      <c r="B229" t="s">
        <v>461</v>
      </c>
      <c r="C229">
        <f>ROUND(VLOOKUP($A229,Results!$A$2:$I$437,4,FALSE),2)</f>
        <v>30.3</v>
      </c>
      <c r="D229">
        <f>ROUND(VLOOKUP($A229,Results!$A$2:$I$437,5,FALSE),2)</f>
        <v>67.599999999999994</v>
      </c>
      <c r="E229" s="72">
        <f t="shared" si="18"/>
        <v>30.949948927477024</v>
      </c>
      <c r="F229" s="72">
        <f t="shared" si="19"/>
        <v>69.050051072522976</v>
      </c>
      <c r="G229" s="72">
        <f t="shared" si="20"/>
        <v>42.100102145045952</v>
      </c>
      <c r="H229">
        <f>ROUND(VLOOKUP($A229,Results!$A$2:$I$437,6,FALSE),2)</f>
        <v>35.299999999999997</v>
      </c>
      <c r="I229">
        <f>ROUND(VLOOKUP($A229,Results!$A$2:$I$437,7,FALSE),2)</f>
        <v>63.1</v>
      </c>
      <c r="J229" s="72">
        <f t="shared" si="21"/>
        <v>35.873983739837392</v>
      </c>
      <c r="K229" s="72">
        <f t="shared" si="22"/>
        <v>64.126016260162601</v>
      </c>
      <c r="L229" s="72">
        <f t="shared" si="23"/>
        <v>35.552032520325206</v>
      </c>
    </row>
    <row r="230" spans="1:12" x14ac:dyDescent="0.25">
      <c r="A230" s="3" t="s">
        <v>463</v>
      </c>
      <c r="B230" t="s">
        <v>463</v>
      </c>
      <c r="C230">
        <f>ROUND(VLOOKUP($A230,Results!$A$2:$I$437,4,FALSE),2)</f>
        <v>32</v>
      </c>
      <c r="D230">
        <f>ROUND(VLOOKUP($A230,Results!$A$2:$I$437,5,FALSE),2)</f>
        <v>65.900000000000006</v>
      </c>
      <c r="E230" s="72">
        <f t="shared" si="18"/>
        <v>32.686414708886616</v>
      </c>
      <c r="F230" s="72">
        <f t="shared" si="19"/>
        <v>67.313585291113384</v>
      </c>
      <c r="G230" s="72">
        <f t="shared" si="20"/>
        <v>38.627170582226768</v>
      </c>
      <c r="H230">
        <f>ROUND(VLOOKUP($A230,Results!$A$2:$I$437,6,FALSE),2)</f>
        <v>38.299999999999997</v>
      </c>
      <c r="I230">
        <f>ROUND(VLOOKUP($A230,Results!$A$2:$I$437,7,FALSE),2)</f>
        <v>60</v>
      </c>
      <c r="J230" s="72">
        <f t="shared" si="21"/>
        <v>38.962360122075282</v>
      </c>
      <c r="K230" s="72">
        <f t="shared" si="22"/>
        <v>61.037639877924718</v>
      </c>
      <c r="L230" s="72">
        <f t="shared" si="23"/>
        <v>29.375279755849437</v>
      </c>
    </row>
    <row r="231" spans="1:12" x14ac:dyDescent="0.25">
      <c r="A231" s="3" t="s">
        <v>465</v>
      </c>
      <c r="B231" t="s">
        <v>465</v>
      </c>
      <c r="C231">
        <f>ROUND(VLOOKUP($A231,Results!$A$2:$I$437,4,FALSE),2)</f>
        <v>37</v>
      </c>
      <c r="D231">
        <f>ROUND(VLOOKUP($A231,Results!$A$2:$I$437,5,FALSE),2)</f>
        <v>61.9</v>
      </c>
      <c r="E231" s="72">
        <f t="shared" si="18"/>
        <v>37.411526794742159</v>
      </c>
      <c r="F231" s="72">
        <f t="shared" si="19"/>
        <v>62.588473205257834</v>
      </c>
      <c r="G231" s="72">
        <f t="shared" si="20"/>
        <v>29.176946410515676</v>
      </c>
      <c r="H231">
        <f>ROUND(VLOOKUP($A231,Results!$A$2:$I$437,6,FALSE),2)</f>
        <v>36.6</v>
      </c>
      <c r="I231">
        <f>ROUND(VLOOKUP($A231,Results!$A$2:$I$437,7,FALSE),2)</f>
        <v>62.4</v>
      </c>
      <c r="J231" s="72">
        <f t="shared" si="21"/>
        <v>36.969696969696969</v>
      </c>
      <c r="K231" s="72">
        <f t="shared" si="22"/>
        <v>63.030303030303024</v>
      </c>
      <c r="L231" s="72">
        <f t="shared" si="23"/>
        <v>33.360606060606052</v>
      </c>
    </row>
    <row r="232" spans="1:12" x14ac:dyDescent="0.25">
      <c r="A232" s="3" t="s">
        <v>467</v>
      </c>
      <c r="B232" t="s">
        <v>467</v>
      </c>
      <c r="C232">
        <f>ROUND(VLOOKUP($A232,Results!$A$2:$I$437,4,FALSE),2)</f>
        <v>66.400000000000006</v>
      </c>
      <c r="D232">
        <f>ROUND(VLOOKUP($A232,Results!$A$2:$I$437,5,FALSE),2)</f>
        <v>33</v>
      </c>
      <c r="E232" s="72">
        <f t="shared" si="18"/>
        <v>66.800804828973853</v>
      </c>
      <c r="F232" s="72">
        <f t="shared" si="19"/>
        <v>33.199195171026155</v>
      </c>
      <c r="G232" s="72">
        <f t="shared" si="20"/>
        <v>-29.601609657947698</v>
      </c>
      <c r="H232">
        <f>ROUND(VLOOKUP($A232,Results!$A$2:$I$437,6,FALSE),2)</f>
        <v>64.2</v>
      </c>
      <c r="I232">
        <f>ROUND(VLOOKUP($A232,Results!$A$2:$I$437,7,FALSE),2)</f>
        <v>35.200000000000003</v>
      </c>
      <c r="J232" s="72">
        <f t="shared" si="21"/>
        <v>64.587525150905435</v>
      </c>
      <c r="K232" s="72">
        <f t="shared" si="22"/>
        <v>35.412474849094565</v>
      </c>
      <c r="L232" s="72">
        <f t="shared" si="23"/>
        <v>-21.87505030181087</v>
      </c>
    </row>
    <row r="233" spans="1:12" x14ac:dyDescent="0.25">
      <c r="A233" s="3" t="s">
        <v>469</v>
      </c>
      <c r="B233" t="s">
        <v>469</v>
      </c>
      <c r="C233">
        <f>ROUND(VLOOKUP($A233,Results!$A$2:$I$437,4,FALSE),2)</f>
        <v>39.1</v>
      </c>
      <c r="D233">
        <f>ROUND(VLOOKUP($A233,Results!$A$2:$I$437,5,FALSE),2)</f>
        <v>60</v>
      </c>
      <c r="E233" s="72">
        <f t="shared" si="18"/>
        <v>39.455095862764885</v>
      </c>
      <c r="F233" s="72">
        <f t="shared" si="19"/>
        <v>60.544904137235122</v>
      </c>
      <c r="G233" s="72">
        <f t="shared" si="20"/>
        <v>25.089808274470236</v>
      </c>
      <c r="H233">
        <f>ROUND(VLOOKUP($A233,Results!$A$2:$I$437,6,FALSE),2)</f>
        <v>38.4</v>
      </c>
      <c r="I233">
        <f>ROUND(VLOOKUP($A233,Results!$A$2:$I$437,7,FALSE),2)</f>
        <v>60.8</v>
      </c>
      <c r="J233" s="72">
        <f t="shared" si="21"/>
        <v>38.70967741935484</v>
      </c>
      <c r="K233" s="72">
        <f t="shared" si="22"/>
        <v>61.29032258064516</v>
      </c>
      <c r="L233" s="72">
        <f t="shared" si="23"/>
        <v>29.880645161290321</v>
      </c>
    </row>
    <row r="234" spans="1:12" x14ac:dyDescent="0.25">
      <c r="A234" s="3" t="s">
        <v>471</v>
      </c>
      <c r="B234" t="s">
        <v>471</v>
      </c>
      <c r="C234">
        <f>ROUND(VLOOKUP($A234,Results!$A$2:$I$437,4,FALSE),2)</f>
        <v>31.2</v>
      </c>
      <c r="D234">
        <f>ROUND(VLOOKUP($A234,Results!$A$2:$I$437,5,FALSE),2)</f>
        <v>67.599999999999994</v>
      </c>
      <c r="E234" s="72">
        <f t="shared" si="18"/>
        <v>31.578947368421051</v>
      </c>
      <c r="F234" s="72">
        <f t="shared" si="19"/>
        <v>68.421052631578945</v>
      </c>
      <c r="G234" s="72">
        <f t="shared" si="20"/>
        <v>40.84210526315789</v>
      </c>
      <c r="H234">
        <f>ROUND(VLOOKUP($A234,Results!$A$2:$I$437,6,FALSE),2)</f>
        <v>31.1</v>
      </c>
      <c r="I234">
        <f>ROUND(VLOOKUP($A234,Results!$A$2:$I$437,7,FALSE),2)</f>
        <v>67.900000000000006</v>
      </c>
      <c r="J234" s="72">
        <f t="shared" si="21"/>
        <v>31.414141414141415</v>
      </c>
      <c r="K234" s="72">
        <f t="shared" si="22"/>
        <v>68.585858585858588</v>
      </c>
      <c r="L234" s="72">
        <f t="shared" si="23"/>
        <v>44.471717171717174</v>
      </c>
    </row>
    <row r="235" spans="1:12" x14ac:dyDescent="0.25">
      <c r="A235" s="3" t="s">
        <v>473</v>
      </c>
      <c r="B235" t="s">
        <v>1174</v>
      </c>
      <c r="C235">
        <f>ROUND(VLOOKUP($A235,Results!$A$2:$I$437,4,FALSE),2)</f>
        <v>41.7</v>
      </c>
      <c r="D235">
        <f>ROUND(VLOOKUP($A235,Results!$A$2:$I$437,5,FALSE),2)</f>
        <v>55.4</v>
      </c>
      <c r="E235" s="72">
        <f t="shared" si="18"/>
        <v>42.945417095777557</v>
      </c>
      <c r="F235" s="72">
        <f t="shared" si="19"/>
        <v>57.05458290422245</v>
      </c>
      <c r="G235" s="72">
        <f t="shared" si="20"/>
        <v>18.109165808444892</v>
      </c>
      <c r="H235">
        <f>ROUND(VLOOKUP($A235,Results!$A$2:$I$437,6,FALSE),2)</f>
        <v>47.3</v>
      </c>
      <c r="I235">
        <f>ROUND(VLOOKUP($A235,Results!$A$2:$I$437,7,FALSE),2)</f>
        <v>49.5</v>
      </c>
      <c r="J235" s="72">
        <f t="shared" si="21"/>
        <v>48.863636363636367</v>
      </c>
      <c r="K235" s="72">
        <f t="shared" si="22"/>
        <v>51.136363636363633</v>
      </c>
      <c r="L235" s="72">
        <f t="shared" si="23"/>
        <v>9.572727272727267</v>
      </c>
    </row>
    <row r="236" spans="1:12" x14ac:dyDescent="0.25">
      <c r="A236" s="3" t="s">
        <v>475</v>
      </c>
      <c r="B236" t="s">
        <v>475</v>
      </c>
      <c r="C236">
        <f>ROUND(VLOOKUP($A236,Results!$A$2:$I$437,4,FALSE),2)</f>
        <v>71.599999999999994</v>
      </c>
      <c r="D236">
        <f>ROUND(VLOOKUP($A236,Results!$A$2:$I$437,5,FALSE),2)</f>
        <v>27.9</v>
      </c>
      <c r="E236" s="72">
        <f t="shared" si="18"/>
        <v>71.959798994974861</v>
      </c>
      <c r="F236" s="72">
        <f t="shared" si="19"/>
        <v>28.040201005025121</v>
      </c>
      <c r="G236" s="72">
        <f t="shared" si="20"/>
        <v>-39.919597989949736</v>
      </c>
      <c r="H236">
        <f>ROUND(VLOOKUP($A236,Results!$A$2:$I$437,6,FALSE),2)</f>
        <v>71</v>
      </c>
      <c r="I236">
        <f>ROUND(VLOOKUP($A236,Results!$A$2:$I$437,7,FALSE),2)</f>
        <v>29</v>
      </c>
      <c r="J236" s="72">
        <f t="shared" si="21"/>
        <v>71</v>
      </c>
      <c r="K236" s="72">
        <f t="shared" si="22"/>
        <v>28.999999999999996</v>
      </c>
      <c r="L236" s="72">
        <f t="shared" si="23"/>
        <v>-34.700000000000003</v>
      </c>
    </row>
    <row r="237" spans="1:12" x14ac:dyDescent="0.25">
      <c r="A237" s="3" t="s">
        <v>477</v>
      </c>
      <c r="B237" t="s">
        <v>477</v>
      </c>
      <c r="C237">
        <f>ROUND(VLOOKUP($A237,Results!$A$2:$I$437,4,FALSE),2)</f>
        <v>41.7</v>
      </c>
      <c r="D237">
        <f>ROUND(VLOOKUP($A237,Results!$A$2:$I$437,5,FALSE),2)</f>
        <v>57.3</v>
      </c>
      <c r="E237" s="72">
        <f t="shared" si="18"/>
        <v>42.121212121212125</v>
      </c>
      <c r="F237" s="72">
        <f t="shared" si="19"/>
        <v>57.878787878787875</v>
      </c>
      <c r="G237" s="72">
        <f t="shared" si="20"/>
        <v>19.757575757575751</v>
      </c>
      <c r="H237">
        <f>ROUND(VLOOKUP($A237,Results!$A$2:$I$437,6,FALSE),2)</f>
        <v>43</v>
      </c>
      <c r="I237">
        <f>ROUND(VLOOKUP($A237,Results!$A$2:$I$437,7,FALSE),2)</f>
        <v>56</v>
      </c>
      <c r="J237" s="72">
        <f t="shared" si="21"/>
        <v>43.43434343434344</v>
      </c>
      <c r="K237" s="72">
        <f t="shared" si="22"/>
        <v>56.56565656565656</v>
      </c>
      <c r="L237" s="72">
        <f t="shared" si="23"/>
        <v>20.431313131313122</v>
      </c>
    </row>
    <row r="238" spans="1:12" x14ac:dyDescent="0.25">
      <c r="A238" s="3" t="s">
        <v>479</v>
      </c>
      <c r="B238" t="s">
        <v>479</v>
      </c>
      <c r="C238">
        <f>ROUND(VLOOKUP($A238,Results!$A$2:$I$437,4,FALSE),2)</f>
        <v>41</v>
      </c>
      <c r="D238">
        <f>ROUND(VLOOKUP($A238,Results!$A$2:$I$437,5,FALSE),2)</f>
        <v>58</v>
      </c>
      <c r="E238" s="72">
        <f t="shared" si="18"/>
        <v>41.414141414141412</v>
      </c>
      <c r="F238" s="72">
        <f t="shared" si="19"/>
        <v>58.585858585858588</v>
      </c>
      <c r="G238" s="72">
        <f t="shared" si="20"/>
        <v>21.171717171717177</v>
      </c>
      <c r="H238">
        <f>ROUND(VLOOKUP($A238,Results!$A$2:$I$437,6,FALSE),2)</f>
        <v>43</v>
      </c>
      <c r="I238">
        <f>ROUND(VLOOKUP($A238,Results!$A$2:$I$437,7,FALSE),2)</f>
        <v>56</v>
      </c>
      <c r="J238" s="72">
        <f t="shared" si="21"/>
        <v>43.43434343434344</v>
      </c>
      <c r="K238" s="72">
        <f t="shared" si="22"/>
        <v>56.56565656565656</v>
      </c>
      <c r="L238" s="72">
        <f t="shared" si="23"/>
        <v>20.431313131313122</v>
      </c>
    </row>
    <row r="239" spans="1:12" x14ac:dyDescent="0.25">
      <c r="A239" s="3" t="s">
        <v>481</v>
      </c>
      <c r="B239" t="s">
        <v>481</v>
      </c>
      <c r="C239">
        <f>ROUND(VLOOKUP($A239,Results!$A$2:$I$437,4,FALSE),2)</f>
        <v>71.400000000000006</v>
      </c>
      <c r="D239">
        <f>ROUND(VLOOKUP($A239,Results!$A$2:$I$437,5,FALSE),2)</f>
        <v>27.4</v>
      </c>
      <c r="E239" s="72">
        <f t="shared" si="18"/>
        <v>72.267206477732799</v>
      </c>
      <c r="F239" s="72">
        <f t="shared" si="19"/>
        <v>27.732793522267201</v>
      </c>
      <c r="G239" s="72">
        <f t="shared" si="20"/>
        <v>-40.534412955465598</v>
      </c>
      <c r="H239">
        <f>ROUND(VLOOKUP($A239,Results!$A$2:$I$437,6,FALSE),2)</f>
        <v>72</v>
      </c>
      <c r="I239">
        <f>ROUND(VLOOKUP($A239,Results!$A$2:$I$437,7,FALSE),2)</f>
        <v>27</v>
      </c>
      <c r="J239" s="72">
        <f t="shared" si="21"/>
        <v>72.727272727272734</v>
      </c>
      <c r="K239" s="72">
        <f t="shared" si="22"/>
        <v>27.27272727272727</v>
      </c>
      <c r="L239" s="72">
        <f t="shared" si="23"/>
        <v>-38.15454545454547</v>
      </c>
    </row>
    <row r="240" spans="1:12" x14ac:dyDescent="0.25">
      <c r="A240" s="3" t="s">
        <v>483</v>
      </c>
      <c r="B240" t="s">
        <v>483</v>
      </c>
      <c r="C240">
        <f>ROUND(VLOOKUP($A240,Results!$A$2:$I$437,4,FALSE),2)</f>
        <v>39.799999999999997</v>
      </c>
      <c r="D240">
        <f>ROUND(VLOOKUP($A240,Results!$A$2:$I$437,5,FALSE),2)</f>
        <v>59.1</v>
      </c>
      <c r="E240" s="72">
        <f t="shared" si="18"/>
        <v>40.242669362992913</v>
      </c>
      <c r="F240" s="72">
        <f t="shared" si="19"/>
        <v>59.75733063700708</v>
      </c>
      <c r="G240" s="72">
        <f t="shared" si="20"/>
        <v>23.514661274014166</v>
      </c>
      <c r="H240">
        <f>ROUND(VLOOKUP($A240,Results!$A$2:$I$437,6,FALSE),2)</f>
        <v>42</v>
      </c>
      <c r="I240">
        <f>ROUND(VLOOKUP($A240,Results!$A$2:$I$437,7,FALSE),2)</f>
        <v>57</v>
      </c>
      <c r="J240" s="72">
        <f t="shared" si="21"/>
        <v>42.424242424242422</v>
      </c>
      <c r="K240" s="72">
        <f t="shared" si="22"/>
        <v>57.575757575757578</v>
      </c>
      <c r="L240" s="72">
        <f t="shared" si="23"/>
        <v>22.451515151515157</v>
      </c>
    </row>
    <row r="241" spans="1:12" x14ac:dyDescent="0.25">
      <c r="A241" s="3" t="s">
        <v>485</v>
      </c>
      <c r="B241" t="s">
        <v>485</v>
      </c>
      <c r="C241">
        <f>ROUND(VLOOKUP($A241,Results!$A$2:$I$437,4,FALSE),2)</f>
        <v>41.3</v>
      </c>
      <c r="D241">
        <f>ROUND(VLOOKUP($A241,Results!$A$2:$I$437,5,FALSE),2)</f>
        <v>57.7</v>
      </c>
      <c r="E241" s="72">
        <f t="shared" si="18"/>
        <v>41.717171717171716</v>
      </c>
      <c r="F241" s="72">
        <f t="shared" si="19"/>
        <v>58.282828282828284</v>
      </c>
      <c r="G241" s="72">
        <f t="shared" si="20"/>
        <v>20.565656565656568</v>
      </c>
      <c r="H241">
        <f>ROUND(VLOOKUP($A241,Results!$A$2:$I$437,6,FALSE),2)</f>
        <v>43</v>
      </c>
      <c r="I241">
        <f>ROUND(VLOOKUP($A241,Results!$A$2:$I$437,7,FALSE),2)</f>
        <v>56</v>
      </c>
      <c r="J241" s="72">
        <f t="shared" si="21"/>
        <v>43.43434343434344</v>
      </c>
      <c r="K241" s="72">
        <f t="shared" si="22"/>
        <v>56.56565656565656</v>
      </c>
      <c r="L241" s="72">
        <f t="shared" si="23"/>
        <v>20.431313131313122</v>
      </c>
    </row>
    <row r="242" spans="1:12" x14ac:dyDescent="0.25">
      <c r="A242" s="3" t="s">
        <v>487</v>
      </c>
      <c r="B242" t="s">
        <v>487</v>
      </c>
      <c r="C242">
        <f>ROUND(VLOOKUP($A242,Results!$A$2:$I$437,4,FALSE),2)</f>
        <v>39.9</v>
      </c>
      <c r="D242">
        <f>ROUND(VLOOKUP($A242,Results!$A$2:$I$437,5,FALSE),2)</f>
        <v>59.2</v>
      </c>
      <c r="E242" s="72">
        <f t="shared" si="18"/>
        <v>40.262361251261353</v>
      </c>
      <c r="F242" s="72">
        <f t="shared" si="19"/>
        <v>59.737638748738654</v>
      </c>
      <c r="G242" s="72">
        <f t="shared" si="20"/>
        <v>23.4752774974773</v>
      </c>
      <c r="H242">
        <f>ROUND(VLOOKUP($A242,Results!$A$2:$I$437,6,FALSE),2)</f>
        <v>42</v>
      </c>
      <c r="I242">
        <f>ROUND(VLOOKUP($A242,Results!$A$2:$I$437,7,FALSE),2)</f>
        <v>58</v>
      </c>
      <c r="J242" s="72">
        <f t="shared" si="21"/>
        <v>42</v>
      </c>
      <c r="K242" s="72">
        <f t="shared" si="22"/>
        <v>57.999999999999993</v>
      </c>
      <c r="L242" s="72">
        <f t="shared" si="23"/>
        <v>23.299999999999994</v>
      </c>
    </row>
    <row r="243" spans="1:12" x14ac:dyDescent="0.25">
      <c r="A243" s="3" t="s">
        <v>489</v>
      </c>
      <c r="B243" t="s">
        <v>489</v>
      </c>
      <c r="C243">
        <f>ROUND(VLOOKUP($A243,Results!$A$2:$I$437,4,FALSE),2)</f>
        <v>41</v>
      </c>
      <c r="D243">
        <f>ROUND(VLOOKUP($A243,Results!$A$2:$I$437,5,FALSE),2)</f>
        <v>58.1</v>
      </c>
      <c r="E243" s="72">
        <f t="shared" si="18"/>
        <v>41.372351160443998</v>
      </c>
      <c r="F243" s="72">
        <f t="shared" si="19"/>
        <v>58.627648839556009</v>
      </c>
      <c r="G243" s="72">
        <f t="shared" si="20"/>
        <v>21.255297679112012</v>
      </c>
      <c r="H243">
        <f>ROUND(VLOOKUP($A243,Results!$A$2:$I$437,6,FALSE),2)</f>
        <v>42</v>
      </c>
      <c r="I243">
        <f>ROUND(VLOOKUP($A243,Results!$A$2:$I$437,7,FALSE),2)</f>
        <v>57</v>
      </c>
      <c r="J243" s="72">
        <f t="shared" si="21"/>
        <v>42.424242424242422</v>
      </c>
      <c r="K243" s="72">
        <f t="shared" si="22"/>
        <v>57.575757575757578</v>
      </c>
      <c r="L243" s="72">
        <f t="shared" si="23"/>
        <v>22.451515151515157</v>
      </c>
    </row>
    <row r="244" spans="1:12" x14ac:dyDescent="0.25">
      <c r="A244" s="3" t="s">
        <v>491</v>
      </c>
      <c r="B244" t="s">
        <v>491</v>
      </c>
      <c r="C244">
        <f>ROUND(VLOOKUP($A244,Results!$A$2:$I$437,4,FALSE),2)</f>
        <v>42.8</v>
      </c>
      <c r="D244">
        <f>ROUND(VLOOKUP($A244,Results!$A$2:$I$437,5,FALSE),2)</f>
        <v>56.2</v>
      </c>
      <c r="E244" s="72">
        <f t="shared" si="18"/>
        <v>43.232323232323225</v>
      </c>
      <c r="F244" s="72">
        <f t="shared" si="19"/>
        <v>56.767676767676768</v>
      </c>
      <c r="G244" s="72">
        <f t="shared" si="20"/>
        <v>17.535353535353543</v>
      </c>
      <c r="H244">
        <f>ROUND(VLOOKUP($A244,Results!$A$2:$I$437,6,FALSE),2)</f>
        <v>45</v>
      </c>
      <c r="I244">
        <f>ROUND(VLOOKUP($A244,Results!$A$2:$I$437,7,FALSE),2)</f>
        <v>54</v>
      </c>
      <c r="J244" s="72">
        <f t="shared" si="21"/>
        <v>45.454545454545453</v>
      </c>
      <c r="K244" s="72">
        <f t="shared" si="22"/>
        <v>54.54545454545454</v>
      </c>
      <c r="L244" s="72">
        <f t="shared" si="23"/>
        <v>16.390909090909087</v>
      </c>
    </row>
    <row r="245" spans="1:12" x14ac:dyDescent="0.25">
      <c r="A245" s="3" t="s">
        <v>493</v>
      </c>
      <c r="B245" t="s">
        <v>493</v>
      </c>
      <c r="C245">
        <f>ROUND(VLOOKUP($A245,Results!$A$2:$I$437,4,FALSE),2)</f>
        <v>40.9</v>
      </c>
      <c r="D245">
        <f>ROUND(VLOOKUP($A245,Results!$A$2:$I$437,5,FALSE),2)</f>
        <v>58</v>
      </c>
      <c r="E245" s="72">
        <f t="shared" si="18"/>
        <v>41.354903943377145</v>
      </c>
      <c r="F245" s="72">
        <f t="shared" si="19"/>
        <v>58.645096056622847</v>
      </c>
      <c r="G245" s="72">
        <f t="shared" si="20"/>
        <v>21.290192113245702</v>
      </c>
      <c r="H245">
        <f>ROUND(VLOOKUP($A245,Results!$A$2:$I$437,6,FALSE),2)</f>
        <v>42</v>
      </c>
      <c r="I245">
        <f>ROUND(VLOOKUP($A245,Results!$A$2:$I$437,7,FALSE),2)</f>
        <v>57</v>
      </c>
      <c r="J245" s="72">
        <f t="shared" si="21"/>
        <v>42.424242424242422</v>
      </c>
      <c r="K245" s="72">
        <f t="shared" si="22"/>
        <v>57.575757575757578</v>
      </c>
      <c r="L245" s="72">
        <f t="shared" si="23"/>
        <v>22.451515151515157</v>
      </c>
    </row>
    <row r="246" spans="1:12" x14ac:dyDescent="0.25">
      <c r="A246" s="3" t="s">
        <v>495</v>
      </c>
      <c r="B246" t="s">
        <v>495</v>
      </c>
      <c r="C246">
        <f>ROUND(VLOOKUP($A246,Results!$A$2:$I$437,4,FALSE),2)</f>
        <v>37.799999999999997</v>
      </c>
      <c r="D246">
        <f>ROUND(VLOOKUP($A246,Results!$A$2:$I$437,5,FALSE),2)</f>
        <v>60.9</v>
      </c>
      <c r="E246" s="72">
        <f t="shared" si="18"/>
        <v>38.297872340425535</v>
      </c>
      <c r="F246" s="72">
        <f t="shared" si="19"/>
        <v>61.702127659574465</v>
      </c>
      <c r="G246" s="72">
        <f t="shared" si="20"/>
        <v>27.40425531914893</v>
      </c>
      <c r="H246">
        <f>ROUND(VLOOKUP($A246,Results!$A$2:$I$437,6,FALSE),2)</f>
        <v>40</v>
      </c>
      <c r="I246">
        <f>ROUND(VLOOKUP($A246,Results!$A$2:$I$437,7,FALSE),2)</f>
        <v>58</v>
      </c>
      <c r="J246" s="72">
        <f t="shared" si="21"/>
        <v>40.816326530612244</v>
      </c>
      <c r="K246" s="72">
        <f t="shared" si="22"/>
        <v>59.183673469387756</v>
      </c>
      <c r="L246" s="72">
        <f t="shared" si="23"/>
        <v>25.667346938775513</v>
      </c>
    </row>
    <row r="247" spans="1:12" x14ac:dyDescent="0.25">
      <c r="A247" s="3" t="s">
        <v>497</v>
      </c>
      <c r="B247" t="s">
        <v>497</v>
      </c>
      <c r="C247">
        <f>ROUND(VLOOKUP($A247,Results!$A$2:$I$437,4,FALSE),2)</f>
        <v>78.5</v>
      </c>
      <c r="D247">
        <f>ROUND(VLOOKUP($A247,Results!$A$2:$I$437,5,FALSE),2)</f>
        <v>20.8</v>
      </c>
      <c r="E247" s="72">
        <f t="shared" si="18"/>
        <v>79.053373615307152</v>
      </c>
      <c r="F247" s="72">
        <f t="shared" si="19"/>
        <v>20.946626384692852</v>
      </c>
      <c r="G247" s="72">
        <f t="shared" si="20"/>
        <v>-54.106747230614303</v>
      </c>
      <c r="H247">
        <f>ROUND(VLOOKUP($A247,Results!$A$2:$I$437,6,FALSE),2)</f>
        <v>78</v>
      </c>
      <c r="I247">
        <f>ROUND(VLOOKUP($A247,Results!$A$2:$I$437,7,FALSE),2)</f>
        <v>21</v>
      </c>
      <c r="J247" s="72">
        <f t="shared" si="21"/>
        <v>78.787878787878782</v>
      </c>
      <c r="K247" s="72">
        <f t="shared" si="22"/>
        <v>21.212121212121211</v>
      </c>
      <c r="L247" s="72">
        <f t="shared" si="23"/>
        <v>-50.275757575757574</v>
      </c>
    </row>
    <row r="248" spans="1:12" x14ac:dyDescent="0.25">
      <c r="A248" s="3" t="s">
        <v>499</v>
      </c>
      <c r="B248" t="s">
        <v>499</v>
      </c>
      <c r="C248">
        <f>ROUND(VLOOKUP($A248,Results!$A$2:$I$437,4,FALSE),2)</f>
        <v>43.5</v>
      </c>
      <c r="D248">
        <f>ROUND(VLOOKUP($A248,Results!$A$2:$I$437,5,FALSE),2)</f>
        <v>55.4</v>
      </c>
      <c r="E248" s="72">
        <f t="shared" si="18"/>
        <v>43.983822042467139</v>
      </c>
      <c r="F248" s="72">
        <f t="shared" si="19"/>
        <v>56.016177957532854</v>
      </c>
      <c r="G248" s="72">
        <f t="shared" si="20"/>
        <v>16.032355915065715</v>
      </c>
      <c r="H248">
        <f>ROUND(VLOOKUP($A248,Results!$A$2:$I$437,6,FALSE),2)</f>
        <v>45</v>
      </c>
      <c r="I248">
        <f>ROUND(VLOOKUP($A248,Results!$A$2:$I$437,7,FALSE),2)</f>
        <v>54</v>
      </c>
      <c r="J248" s="72">
        <f t="shared" si="21"/>
        <v>45.454545454545453</v>
      </c>
      <c r="K248" s="72">
        <f t="shared" si="22"/>
        <v>54.54545454545454</v>
      </c>
      <c r="L248" s="72">
        <f t="shared" si="23"/>
        <v>16.390909090909087</v>
      </c>
    </row>
    <row r="249" spans="1:12" x14ac:dyDescent="0.25">
      <c r="A249" s="3" t="s">
        <v>501</v>
      </c>
      <c r="B249" t="s">
        <v>1175</v>
      </c>
      <c r="C249">
        <f>ROUND(VLOOKUP($A249,Results!$A$2:$I$437,4,FALSE),2)</f>
        <v>38.9</v>
      </c>
      <c r="D249">
        <f>ROUND(VLOOKUP($A249,Results!$A$2:$I$437,5,FALSE),2)</f>
        <v>58.7</v>
      </c>
      <c r="E249" s="72">
        <f t="shared" si="18"/>
        <v>39.856557377049178</v>
      </c>
      <c r="F249" s="72">
        <f t="shared" si="19"/>
        <v>60.143442622950829</v>
      </c>
      <c r="G249" s="72">
        <f t="shared" si="20"/>
        <v>24.286885245901651</v>
      </c>
      <c r="H249">
        <f>ROUND(VLOOKUP($A249,Results!$A$2:$I$437,6,FALSE),2)</f>
        <v>44.6</v>
      </c>
      <c r="I249">
        <f>ROUND(VLOOKUP($A249,Results!$A$2:$I$437,7,FALSE),2)</f>
        <v>53.3</v>
      </c>
      <c r="J249" s="72">
        <f t="shared" si="21"/>
        <v>45.556690500510719</v>
      </c>
      <c r="K249" s="72">
        <f t="shared" si="22"/>
        <v>54.443309499489267</v>
      </c>
      <c r="L249" s="72">
        <f t="shared" si="23"/>
        <v>16.186618998978549</v>
      </c>
    </row>
    <row r="250" spans="1:12" x14ac:dyDescent="0.25">
      <c r="A250" s="3" t="s">
        <v>503</v>
      </c>
      <c r="B250" t="s">
        <v>503</v>
      </c>
      <c r="C250">
        <f>ROUND(VLOOKUP($A250,Results!$A$2:$I$437,4,FALSE),2)</f>
        <v>40.799999999999997</v>
      </c>
      <c r="D250">
        <f>ROUND(VLOOKUP($A250,Results!$A$2:$I$437,5,FALSE),2)</f>
        <v>57.4</v>
      </c>
      <c r="E250" s="72">
        <f t="shared" si="18"/>
        <v>41.547861507128317</v>
      </c>
      <c r="F250" s="72">
        <f t="shared" si="19"/>
        <v>58.452138492871697</v>
      </c>
      <c r="G250" s="72">
        <f t="shared" si="20"/>
        <v>20.90427698574338</v>
      </c>
      <c r="H250">
        <f>ROUND(VLOOKUP($A250,Results!$A$2:$I$437,6,FALSE),2)</f>
        <v>44.2</v>
      </c>
      <c r="I250">
        <f>ROUND(VLOOKUP($A250,Results!$A$2:$I$437,7,FALSE),2)</f>
        <v>54.3</v>
      </c>
      <c r="J250" s="72">
        <f t="shared" si="21"/>
        <v>44.873096446700508</v>
      </c>
      <c r="K250" s="72">
        <f t="shared" si="22"/>
        <v>55.126903553299492</v>
      </c>
      <c r="L250" s="72">
        <f t="shared" si="23"/>
        <v>17.553807106598985</v>
      </c>
    </row>
    <row r="251" spans="1:12" x14ac:dyDescent="0.25">
      <c r="A251" s="3" t="s">
        <v>505</v>
      </c>
      <c r="B251" t="s">
        <v>505</v>
      </c>
      <c r="C251">
        <f>ROUND(VLOOKUP($A251,Results!$A$2:$I$437,4,FALSE),2)</f>
        <v>45.7</v>
      </c>
      <c r="D251">
        <f>ROUND(VLOOKUP($A251,Results!$A$2:$I$437,5,FALSE),2)</f>
        <v>52.9</v>
      </c>
      <c r="E251" s="72">
        <f t="shared" si="18"/>
        <v>46.348884381338742</v>
      </c>
      <c r="F251" s="72">
        <f t="shared" si="19"/>
        <v>53.651115618661258</v>
      </c>
      <c r="G251" s="72">
        <f t="shared" si="20"/>
        <v>11.302231237322516</v>
      </c>
      <c r="H251">
        <f>ROUND(VLOOKUP($A251,Results!$A$2:$I$437,6,FALSE),2)</f>
        <v>50</v>
      </c>
      <c r="I251">
        <f>ROUND(VLOOKUP($A251,Results!$A$2:$I$437,7,FALSE),2)</f>
        <v>48.8</v>
      </c>
      <c r="J251" s="72">
        <f t="shared" si="21"/>
        <v>50.607287449392715</v>
      </c>
      <c r="K251" s="72">
        <f t="shared" si="22"/>
        <v>49.392712550607285</v>
      </c>
      <c r="L251" s="72">
        <f t="shared" si="23"/>
        <v>6.0854251012145708</v>
      </c>
    </row>
    <row r="252" spans="1:12" x14ac:dyDescent="0.25">
      <c r="A252" s="3" t="s">
        <v>507</v>
      </c>
      <c r="B252" t="s">
        <v>507</v>
      </c>
      <c r="C252">
        <f>ROUND(VLOOKUP($A252,Results!$A$2:$I$437,4,FALSE),2)</f>
        <v>27.8</v>
      </c>
      <c r="D252">
        <f>ROUND(VLOOKUP($A252,Results!$A$2:$I$437,5,FALSE),2)</f>
        <v>70.2</v>
      </c>
      <c r="E252" s="72">
        <f t="shared" si="18"/>
        <v>28.367346938775512</v>
      </c>
      <c r="F252" s="72">
        <f t="shared" si="19"/>
        <v>71.632653061224488</v>
      </c>
      <c r="G252" s="72">
        <f t="shared" si="20"/>
        <v>47.265306122448976</v>
      </c>
      <c r="H252">
        <f>ROUND(VLOOKUP($A252,Results!$A$2:$I$437,6,FALSE),2)</f>
        <v>31.1</v>
      </c>
      <c r="I252">
        <f>ROUND(VLOOKUP($A252,Results!$A$2:$I$437,7,FALSE),2)</f>
        <v>67.099999999999994</v>
      </c>
      <c r="J252" s="72">
        <f t="shared" si="21"/>
        <v>31.670061099796339</v>
      </c>
      <c r="K252" s="72">
        <f t="shared" si="22"/>
        <v>68.329938900203672</v>
      </c>
      <c r="L252" s="72">
        <f t="shared" si="23"/>
        <v>43.959877800407327</v>
      </c>
    </row>
    <row r="253" spans="1:12" x14ac:dyDescent="0.25">
      <c r="A253" s="3" t="s">
        <v>509</v>
      </c>
      <c r="B253" t="s">
        <v>509</v>
      </c>
      <c r="C253">
        <f>ROUND(VLOOKUP($A253,Results!$A$2:$I$437,4,FALSE),2)</f>
        <v>50.2</v>
      </c>
      <c r="D253">
        <f>ROUND(VLOOKUP($A253,Results!$A$2:$I$437,5,FALSE),2)</f>
        <v>48.6</v>
      </c>
      <c r="E253" s="72">
        <f t="shared" si="18"/>
        <v>50.809716599190281</v>
      </c>
      <c r="F253" s="72">
        <f t="shared" si="19"/>
        <v>49.190283400809712</v>
      </c>
      <c r="G253" s="72">
        <f t="shared" si="20"/>
        <v>2.3805668016194304</v>
      </c>
      <c r="H253">
        <f>ROUND(VLOOKUP($A253,Results!$A$2:$I$437,6,FALSE),2)</f>
        <v>52.8</v>
      </c>
      <c r="I253">
        <f>ROUND(VLOOKUP($A253,Results!$A$2:$I$437,7,FALSE),2)</f>
        <v>46.4</v>
      </c>
      <c r="J253" s="72">
        <f t="shared" si="21"/>
        <v>53.225806451612911</v>
      </c>
      <c r="K253" s="72">
        <f t="shared" si="22"/>
        <v>46.774193548387103</v>
      </c>
      <c r="L253" s="72">
        <f t="shared" si="23"/>
        <v>0.848387096774192</v>
      </c>
    </row>
    <row r="254" spans="1:12" x14ac:dyDescent="0.25">
      <c r="A254" s="3" t="s">
        <v>511</v>
      </c>
      <c r="B254" t="s">
        <v>511</v>
      </c>
      <c r="C254">
        <f>ROUND(VLOOKUP($A254,Results!$A$2:$I$437,4,FALSE),2)</f>
        <v>54.2</v>
      </c>
      <c r="D254">
        <f>ROUND(VLOOKUP($A254,Results!$A$2:$I$437,5,FALSE),2)</f>
        <v>44.5</v>
      </c>
      <c r="E254" s="72">
        <f t="shared" si="18"/>
        <v>54.913880445795336</v>
      </c>
      <c r="F254" s="72">
        <f t="shared" si="19"/>
        <v>45.086119554204657</v>
      </c>
      <c r="G254" s="72">
        <f t="shared" si="20"/>
        <v>-5.8277608915906782</v>
      </c>
      <c r="H254">
        <f>ROUND(VLOOKUP($A254,Results!$A$2:$I$437,6,FALSE),2)</f>
        <v>56</v>
      </c>
      <c r="I254">
        <f>ROUND(VLOOKUP($A254,Results!$A$2:$I$437,7,FALSE),2)</f>
        <v>43.1</v>
      </c>
      <c r="J254" s="72">
        <f t="shared" si="21"/>
        <v>56.508577194752775</v>
      </c>
      <c r="K254" s="72">
        <f t="shared" si="22"/>
        <v>43.491422805247225</v>
      </c>
      <c r="L254" s="72">
        <f t="shared" si="23"/>
        <v>-5.7171543895055494</v>
      </c>
    </row>
    <row r="255" spans="1:12" x14ac:dyDescent="0.25">
      <c r="A255" s="3" t="s">
        <v>513</v>
      </c>
      <c r="B255" t="s">
        <v>513</v>
      </c>
      <c r="C255">
        <f>ROUND(VLOOKUP($A255,Results!$A$2:$I$437,4,FALSE),2)</f>
        <v>65.099999999999994</v>
      </c>
      <c r="D255">
        <f>ROUND(VLOOKUP($A255,Results!$A$2:$I$437,5,FALSE),2)</f>
        <v>33.799999999999997</v>
      </c>
      <c r="E255" s="72">
        <f t="shared" si="18"/>
        <v>65.824064711830133</v>
      </c>
      <c r="F255" s="72">
        <f t="shared" si="19"/>
        <v>34.175935288169867</v>
      </c>
      <c r="G255" s="72">
        <f t="shared" si="20"/>
        <v>-27.648129423660265</v>
      </c>
      <c r="H255">
        <f>ROUND(VLOOKUP($A255,Results!$A$2:$I$437,6,FALSE),2)</f>
        <v>64.7</v>
      </c>
      <c r="I255">
        <f>ROUND(VLOOKUP($A255,Results!$A$2:$I$437,7,FALSE),2)</f>
        <v>34.200000000000003</v>
      </c>
      <c r="J255" s="72">
        <f t="shared" si="21"/>
        <v>65.419615773508582</v>
      </c>
      <c r="K255" s="72">
        <f t="shared" si="22"/>
        <v>34.580384226491404</v>
      </c>
      <c r="L255" s="72">
        <f t="shared" si="23"/>
        <v>-23.539231547017177</v>
      </c>
    </row>
    <row r="256" spans="1:12" x14ac:dyDescent="0.25">
      <c r="A256" s="3" t="s">
        <v>515</v>
      </c>
      <c r="B256" t="s">
        <v>515</v>
      </c>
      <c r="C256">
        <f>ROUND(VLOOKUP($A256,Results!$A$2:$I$437,4,FALSE),2)</f>
        <v>53.5</v>
      </c>
      <c r="D256">
        <f>ROUND(VLOOKUP($A256,Results!$A$2:$I$437,5,FALSE),2)</f>
        <v>45.4</v>
      </c>
      <c r="E256" s="72">
        <f t="shared" si="18"/>
        <v>54.095045500505556</v>
      </c>
      <c r="F256" s="72">
        <f t="shared" si="19"/>
        <v>45.90495449949443</v>
      </c>
      <c r="G256" s="72">
        <f t="shared" si="20"/>
        <v>-4.1900910010111261</v>
      </c>
      <c r="H256">
        <f>ROUND(VLOOKUP($A256,Results!$A$2:$I$437,6,FALSE),2)</f>
        <v>53.2</v>
      </c>
      <c r="I256">
        <f>ROUND(VLOOKUP($A256,Results!$A$2:$I$437,7,FALSE),2)</f>
        <v>45.5</v>
      </c>
      <c r="J256" s="72">
        <f t="shared" si="21"/>
        <v>53.900709219858157</v>
      </c>
      <c r="K256" s="72">
        <f t="shared" si="22"/>
        <v>46.099290780141843</v>
      </c>
      <c r="L256" s="72">
        <f t="shared" si="23"/>
        <v>-0.50141843971631506</v>
      </c>
    </row>
    <row r="257" spans="1:12" x14ac:dyDescent="0.25">
      <c r="A257" s="3" t="s">
        <v>517</v>
      </c>
      <c r="B257" t="s">
        <v>517</v>
      </c>
      <c r="C257">
        <f>ROUND(VLOOKUP($A257,Results!$A$2:$I$437,4,FALSE),2)</f>
        <v>51.8</v>
      </c>
      <c r="D257">
        <f>ROUND(VLOOKUP($A257,Results!$A$2:$I$437,5,FALSE),2)</f>
        <v>47.2</v>
      </c>
      <c r="E257" s="72">
        <f t="shared" si="18"/>
        <v>52.323232323232318</v>
      </c>
      <c r="F257" s="72">
        <f t="shared" si="19"/>
        <v>47.676767676767682</v>
      </c>
      <c r="G257" s="72">
        <f t="shared" si="20"/>
        <v>-0.64646464646463642</v>
      </c>
      <c r="H257">
        <f>ROUND(VLOOKUP($A257,Results!$A$2:$I$437,6,FALSE),2)</f>
        <v>51.1</v>
      </c>
      <c r="I257">
        <f>ROUND(VLOOKUP($A257,Results!$A$2:$I$437,7,FALSE),2)</f>
        <v>47.7</v>
      </c>
      <c r="J257" s="72">
        <f t="shared" si="21"/>
        <v>51.720647773279346</v>
      </c>
      <c r="K257" s="72">
        <f t="shared" si="22"/>
        <v>48.279352226720647</v>
      </c>
      <c r="L257" s="72">
        <f t="shared" si="23"/>
        <v>3.8587044534413009</v>
      </c>
    </row>
    <row r="258" spans="1:12" x14ac:dyDescent="0.25">
      <c r="A258" s="3" t="s">
        <v>519</v>
      </c>
      <c r="B258" t="s">
        <v>519</v>
      </c>
      <c r="C258">
        <f>ROUND(VLOOKUP($A258,Results!$A$2:$I$437,4,FALSE),2)</f>
        <v>44.7</v>
      </c>
      <c r="D258">
        <f>ROUND(VLOOKUP($A258,Results!$A$2:$I$437,5,FALSE),2)</f>
        <v>54.2</v>
      </c>
      <c r="E258" s="72">
        <f t="shared" si="18"/>
        <v>45.197168857431755</v>
      </c>
      <c r="F258" s="72">
        <f t="shared" si="19"/>
        <v>54.802831142568252</v>
      </c>
      <c r="G258" s="72">
        <f t="shared" si="20"/>
        <v>13.605662285136496</v>
      </c>
      <c r="H258">
        <f>ROUND(VLOOKUP($A258,Results!$A$2:$I$437,6,FALSE),2)</f>
        <v>45.3</v>
      </c>
      <c r="I258">
        <f>ROUND(VLOOKUP($A258,Results!$A$2:$I$437,7,FALSE),2)</f>
        <v>53.6</v>
      </c>
      <c r="J258" s="72">
        <f t="shared" si="21"/>
        <v>45.803842264914046</v>
      </c>
      <c r="K258" s="72">
        <f t="shared" si="22"/>
        <v>54.196157735085947</v>
      </c>
      <c r="L258" s="72">
        <f t="shared" si="23"/>
        <v>15.692315470171902</v>
      </c>
    </row>
    <row r="259" spans="1:12" x14ac:dyDescent="0.25">
      <c r="A259" s="3" t="s">
        <v>521</v>
      </c>
      <c r="B259" t="s">
        <v>521</v>
      </c>
      <c r="C259">
        <f>ROUND(VLOOKUP($A259,Results!$A$2:$I$437,4,FALSE),2)</f>
        <v>47.9</v>
      </c>
      <c r="D259">
        <f>ROUND(VLOOKUP($A259,Results!$A$2:$I$437,5,FALSE),2)</f>
        <v>51</v>
      </c>
      <c r="E259" s="72">
        <f t="shared" si="18"/>
        <v>48.432760364004039</v>
      </c>
      <c r="F259" s="72">
        <f t="shared" si="19"/>
        <v>51.567239635995954</v>
      </c>
      <c r="G259" s="72">
        <f t="shared" si="20"/>
        <v>7.1344792719919141</v>
      </c>
      <c r="H259">
        <f>ROUND(VLOOKUP($A259,Results!$A$2:$I$437,6,FALSE),2)</f>
        <v>48.5</v>
      </c>
      <c r="I259">
        <f>ROUND(VLOOKUP($A259,Results!$A$2:$I$437,7,FALSE),2)</f>
        <v>50.5</v>
      </c>
      <c r="J259" s="72">
        <f t="shared" si="21"/>
        <v>48.98989898989899</v>
      </c>
      <c r="K259" s="72">
        <f t="shared" si="22"/>
        <v>51.010101010101003</v>
      </c>
      <c r="L259" s="72">
        <f t="shared" si="23"/>
        <v>9.3202020202020144</v>
      </c>
    </row>
    <row r="260" spans="1:12" x14ac:dyDescent="0.25">
      <c r="A260" s="3" t="s">
        <v>523</v>
      </c>
      <c r="B260" t="s">
        <v>523</v>
      </c>
      <c r="C260">
        <f>ROUND(VLOOKUP($A260,Results!$A$2:$I$437,4,FALSE),2)</f>
        <v>61.4</v>
      </c>
      <c r="D260">
        <f>ROUND(VLOOKUP($A260,Results!$A$2:$I$437,5,FALSE),2)</f>
        <v>37.4</v>
      </c>
      <c r="E260" s="72">
        <f t="shared" ref="E260:E323" si="24">C260/SUM(C260:D260)*100</f>
        <v>62.145748987854255</v>
      </c>
      <c r="F260" s="72">
        <f t="shared" ref="F260:F323" si="25">D260/SUM(C260:D260)*100</f>
        <v>37.854251012145752</v>
      </c>
      <c r="G260" s="72">
        <f t="shared" ref="G260:G323" si="26">F260-E260+4</f>
        <v>-20.291497975708502</v>
      </c>
      <c r="H260">
        <f>ROUND(VLOOKUP($A260,Results!$A$2:$I$437,6,FALSE),2)</f>
        <v>58.4</v>
      </c>
      <c r="I260">
        <f>ROUND(VLOOKUP($A260,Results!$A$2:$I$437,7,FALSE),2)</f>
        <v>40.5</v>
      </c>
      <c r="J260" s="72">
        <f t="shared" ref="J260:J323" si="27">H260/SUM(H260:I260)*100</f>
        <v>59.049544994944384</v>
      </c>
      <c r="K260" s="72">
        <f t="shared" ref="K260:K323" si="28">I260/SUM(H260:I260)*100</f>
        <v>40.950455005055609</v>
      </c>
      <c r="L260" s="72">
        <f t="shared" ref="L260:L323" si="29">K260-J260+7.3</f>
        <v>-10.799089989888774</v>
      </c>
    </row>
    <row r="261" spans="1:12" x14ac:dyDescent="0.25">
      <c r="A261" s="3" t="s">
        <v>525</v>
      </c>
      <c r="B261" t="s">
        <v>525</v>
      </c>
      <c r="C261">
        <f>ROUND(VLOOKUP($A261,Results!$A$2:$I$437,4,FALSE),2)</f>
        <v>46.3</v>
      </c>
      <c r="D261">
        <f>ROUND(VLOOKUP($A261,Results!$A$2:$I$437,5,FALSE),2)</f>
        <v>52.5</v>
      </c>
      <c r="E261" s="72">
        <f t="shared" si="24"/>
        <v>46.862348178137651</v>
      </c>
      <c r="F261" s="72">
        <f t="shared" si="25"/>
        <v>53.137651821862356</v>
      </c>
      <c r="G261" s="72">
        <f t="shared" si="26"/>
        <v>10.275303643724705</v>
      </c>
      <c r="H261">
        <f>ROUND(VLOOKUP($A261,Results!$A$2:$I$437,6,FALSE),2)</f>
        <v>47.2</v>
      </c>
      <c r="I261">
        <f>ROUND(VLOOKUP($A261,Results!$A$2:$I$437,7,FALSE),2)</f>
        <v>51.6</v>
      </c>
      <c r="J261" s="72">
        <f t="shared" si="27"/>
        <v>47.773279352226716</v>
      </c>
      <c r="K261" s="72">
        <f t="shared" si="28"/>
        <v>52.22672064777327</v>
      </c>
      <c r="L261" s="72">
        <f t="shared" si="29"/>
        <v>11.753441295546555</v>
      </c>
    </row>
    <row r="262" spans="1:12" x14ac:dyDescent="0.25">
      <c r="A262" s="3" t="s">
        <v>527</v>
      </c>
      <c r="B262" t="s">
        <v>527</v>
      </c>
      <c r="C262">
        <f>ROUND(VLOOKUP($A262,Results!$A$2:$I$437,4,FALSE),2)</f>
        <v>78.3</v>
      </c>
      <c r="D262">
        <f>ROUND(VLOOKUP($A262,Results!$A$2:$I$437,5,FALSE),2)</f>
        <v>20.7</v>
      </c>
      <c r="E262" s="72">
        <f t="shared" si="24"/>
        <v>79.090909090909093</v>
      </c>
      <c r="F262" s="72">
        <f t="shared" si="25"/>
        <v>20.909090909090907</v>
      </c>
      <c r="G262" s="72">
        <f t="shared" si="26"/>
        <v>-54.181818181818187</v>
      </c>
      <c r="H262">
        <f>ROUND(VLOOKUP($A262,Results!$A$2:$I$437,6,FALSE),2)</f>
        <v>73.2</v>
      </c>
      <c r="I262">
        <f>ROUND(VLOOKUP($A262,Results!$A$2:$I$437,7,FALSE),2)</f>
        <v>26</v>
      </c>
      <c r="J262" s="72">
        <f t="shared" si="27"/>
        <v>73.790322580645167</v>
      </c>
      <c r="K262" s="72">
        <f t="shared" si="28"/>
        <v>26.209677419354836</v>
      </c>
      <c r="L262" s="72">
        <f t="shared" si="29"/>
        <v>-40.280645161290337</v>
      </c>
    </row>
    <row r="263" spans="1:12" x14ac:dyDescent="0.25">
      <c r="A263" s="3" t="s">
        <v>529</v>
      </c>
      <c r="B263" t="s">
        <v>529</v>
      </c>
      <c r="C263">
        <f>ROUND(VLOOKUP($A263,Results!$A$2:$I$437,4,FALSE),2)</f>
        <v>68.3</v>
      </c>
      <c r="D263">
        <f>ROUND(VLOOKUP($A263,Results!$A$2:$I$437,5,FALSE),2)</f>
        <v>30.8</v>
      </c>
      <c r="E263" s="72">
        <f t="shared" si="24"/>
        <v>68.920282542885985</v>
      </c>
      <c r="F263" s="72">
        <f t="shared" si="25"/>
        <v>31.079717457114032</v>
      </c>
      <c r="G263" s="72">
        <f t="shared" si="26"/>
        <v>-33.840565085771956</v>
      </c>
      <c r="H263">
        <f>ROUND(VLOOKUP($A263,Results!$A$2:$I$437,6,FALSE),2)</f>
        <v>64</v>
      </c>
      <c r="I263">
        <f>ROUND(VLOOKUP($A263,Results!$A$2:$I$437,7,FALSE),2)</f>
        <v>35.200000000000003</v>
      </c>
      <c r="J263" s="72">
        <f t="shared" si="27"/>
        <v>64.516129032258064</v>
      </c>
      <c r="K263" s="72">
        <f t="shared" si="28"/>
        <v>35.483870967741936</v>
      </c>
      <c r="L263" s="72">
        <f t="shared" si="29"/>
        <v>-21.732258064516127</v>
      </c>
    </row>
    <row r="264" spans="1:12" x14ac:dyDescent="0.25">
      <c r="A264" s="3" t="s">
        <v>531</v>
      </c>
      <c r="B264" t="s">
        <v>531</v>
      </c>
      <c r="C264">
        <f>ROUND(VLOOKUP($A264,Results!$A$2:$I$437,4,FALSE),2)</f>
        <v>87.9</v>
      </c>
      <c r="D264">
        <f>ROUND(VLOOKUP($A264,Results!$A$2:$I$437,5,FALSE),2)</f>
        <v>11.5</v>
      </c>
      <c r="E264" s="72">
        <f t="shared" si="24"/>
        <v>88.430583501006026</v>
      </c>
      <c r="F264" s="72">
        <f t="shared" si="25"/>
        <v>11.569416498993963</v>
      </c>
      <c r="G264" s="72">
        <f t="shared" si="26"/>
        <v>-72.861167002012067</v>
      </c>
      <c r="H264">
        <f>ROUND(VLOOKUP($A264,Results!$A$2:$I$437,6,FALSE),2)</f>
        <v>84.9</v>
      </c>
      <c r="I264">
        <f>ROUND(VLOOKUP($A264,Results!$A$2:$I$437,7,FALSE),2)</f>
        <v>14.6</v>
      </c>
      <c r="J264" s="72">
        <f t="shared" si="27"/>
        <v>85.326633165829151</v>
      </c>
      <c r="K264" s="72">
        <f t="shared" si="28"/>
        <v>14.673366834170853</v>
      </c>
      <c r="L264" s="72">
        <f t="shared" si="29"/>
        <v>-63.353266331658304</v>
      </c>
    </row>
    <row r="265" spans="1:12" x14ac:dyDescent="0.25">
      <c r="A265" s="3" t="s">
        <v>533</v>
      </c>
      <c r="B265" t="s">
        <v>533</v>
      </c>
      <c r="C265">
        <f>ROUND(VLOOKUP($A265,Results!$A$2:$I$437,4,FALSE),2)</f>
        <v>46.6</v>
      </c>
      <c r="D265">
        <f>ROUND(VLOOKUP($A265,Results!$A$2:$I$437,5,FALSE),2)</f>
        <v>52.4</v>
      </c>
      <c r="E265" s="72">
        <f t="shared" si="24"/>
        <v>47.070707070707073</v>
      </c>
      <c r="F265" s="72">
        <f t="shared" si="25"/>
        <v>52.929292929292927</v>
      </c>
      <c r="G265" s="72">
        <f t="shared" si="26"/>
        <v>9.8585858585858546</v>
      </c>
      <c r="H265">
        <f>ROUND(VLOOKUP($A265,Results!$A$2:$I$437,6,FALSE),2)</f>
        <v>47</v>
      </c>
      <c r="I265">
        <f>ROUND(VLOOKUP($A265,Results!$A$2:$I$437,7,FALSE),2)</f>
        <v>52.1</v>
      </c>
      <c r="J265" s="72">
        <f t="shared" si="27"/>
        <v>47.426841574167511</v>
      </c>
      <c r="K265" s="72">
        <f t="shared" si="28"/>
        <v>52.573158425832503</v>
      </c>
      <c r="L265" s="72">
        <f t="shared" si="29"/>
        <v>12.446316851664992</v>
      </c>
    </row>
    <row r="266" spans="1:12" x14ac:dyDescent="0.25">
      <c r="A266" s="3" t="s">
        <v>535</v>
      </c>
      <c r="B266" t="s">
        <v>535</v>
      </c>
      <c r="C266">
        <f>ROUND(VLOOKUP($A266,Results!$A$2:$I$437,4,FALSE),2)</f>
        <v>66.5</v>
      </c>
      <c r="D266">
        <f>ROUND(VLOOKUP($A266,Results!$A$2:$I$437,5,FALSE),2)</f>
        <v>32.4</v>
      </c>
      <c r="E266" s="72">
        <f t="shared" si="24"/>
        <v>67.23963599595551</v>
      </c>
      <c r="F266" s="72">
        <f t="shared" si="25"/>
        <v>32.760364004044483</v>
      </c>
      <c r="G266" s="72">
        <f t="shared" si="26"/>
        <v>-30.479271991911027</v>
      </c>
      <c r="H266">
        <f>ROUND(VLOOKUP($A266,Results!$A$2:$I$437,6,FALSE),2)</f>
        <v>65.7</v>
      </c>
      <c r="I266">
        <f>ROUND(VLOOKUP($A266,Results!$A$2:$I$437,7,FALSE),2)</f>
        <v>33.299999999999997</v>
      </c>
      <c r="J266" s="72">
        <f t="shared" si="27"/>
        <v>66.363636363636374</v>
      </c>
      <c r="K266" s="72">
        <f t="shared" si="28"/>
        <v>33.636363636363633</v>
      </c>
      <c r="L266" s="72">
        <f t="shared" si="29"/>
        <v>-25.42727272727274</v>
      </c>
    </row>
    <row r="267" spans="1:12" x14ac:dyDescent="0.25">
      <c r="A267" s="3" t="s">
        <v>537</v>
      </c>
      <c r="B267" t="s">
        <v>537</v>
      </c>
      <c r="C267">
        <f>ROUND(VLOOKUP($A267,Results!$A$2:$I$437,4,FALSE),2)</f>
        <v>55.3</v>
      </c>
      <c r="D267">
        <f>ROUND(VLOOKUP($A267,Results!$A$2:$I$437,5,FALSE),2)</f>
        <v>39.6</v>
      </c>
      <c r="E267" s="72">
        <f t="shared" si="24"/>
        <v>58.271865121180191</v>
      </c>
      <c r="F267" s="72">
        <f t="shared" si="25"/>
        <v>41.728134878819809</v>
      </c>
      <c r="G267" s="72">
        <f t="shared" si="26"/>
        <v>-12.543730242360382</v>
      </c>
      <c r="H267">
        <f>ROUND(VLOOKUP($A267,Results!$A$2:$I$437,6,FALSE),2)</f>
        <v>59.7</v>
      </c>
      <c r="I267">
        <f>ROUND(VLOOKUP($A267,Results!$A$2:$I$437,7,FALSE),2)</f>
        <v>39</v>
      </c>
      <c r="J267" s="72">
        <f t="shared" si="27"/>
        <v>60.486322188449847</v>
      </c>
      <c r="K267" s="72">
        <f t="shared" si="28"/>
        <v>39.513677811550153</v>
      </c>
      <c r="L267" s="72">
        <f t="shared" si="29"/>
        <v>-13.672644376899694</v>
      </c>
    </row>
    <row r="268" spans="1:12" x14ac:dyDescent="0.25">
      <c r="A268" s="3" t="s">
        <v>539</v>
      </c>
      <c r="B268" t="s">
        <v>539</v>
      </c>
      <c r="C268">
        <f>ROUND(VLOOKUP($A268,Results!$A$2:$I$437,4,FALSE),2)</f>
        <v>44.9</v>
      </c>
      <c r="D268">
        <f>ROUND(VLOOKUP($A268,Results!$A$2:$I$437,5,FALSE),2)</f>
        <v>51.7</v>
      </c>
      <c r="E268" s="72">
        <f t="shared" si="24"/>
        <v>46.480331262939963</v>
      </c>
      <c r="F268" s="72">
        <f t="shared" si="25"/>
        <v>53.519668737060044</v>
      </c>
      <c r="G268" s="72">
        <f t="shared" si="26"/>
        <v>11.039337474120082</v>
      </c>
      <c r="H268">
        <f>ROUND(VLOOKUP($A268,Results!$A$2:$I$437,6,FALSE),2)</f>
        <v>48.4</v>
      </c>
      <c r="I268">
        <f>ROUND(VLOOKUP($A268,Results!$A$2:$I$437,7,FALSE),2)</f>
        <v>50.2</v>
      </c>
      <c r="J268" s="72">
        <f t="shared" si="27"/>
        <v>49.087221095334691</v>
      </c>
      <c r="K268" s="72">
        <f t="shared" si="28"/>
        <v>50.912778904665323</v>
      </c>
      <c r="L268" s="72">
        <f t="shared" si="29"/>
        <v>9.1255578093306333</v>
      </c>
    </row>
    <row r="269" spans="1:12" x14ac:dyDescent="0.25">
      <c r="A269" s="3" t="s">
        <v>541</v>
      </c>
      <c r="B269" t="s">
        <v>541</v>
      </c>
      <c r="C269">
        <f>ROUND(VLOOKUP($A269,Results!$A$2:$I$437,4,FALSE),2)</f>
        <v>57.5</v>
      </c>
      <c r="D269">
        <f>ROUND(VLOOKUP($A269,Results!$A$2:$I$437,5,FALSE),2)</f>
        <v>38.700000000000003</v>
      </c>
      <c r="E269" s="72">
        <f t="shared" si="24"/>
        <v>59.771309771309767</v>
      </c>
      <c r="F269" s="72">
        <f t="shared" si="25"/>
        <v>40.228690228690226</v>
      </c>
      <c r="G269" s="72">
        <f t="shared" si="26"/>
        <v>-15.542619542619541</v>
      </c>
      <c r="H269">
        <f>ROUND(VLOOKUP($A269,Results!$A$2:$I$437,6,FALSE),2)</f>
        <v>61.2</v>
      </c>
      <c r="I269">
        <f>ROUND(VLOOKUP($A269,Results!$A$2:$I$437,7,FALSE),2)</f>
        <v>37.5</v>
      </c>
      <c r="J269" s="72">
        <f t="shared" si="27"/>
        <v>62.006079027355618</v>
      </c>
      <c r="K269" s="72">
        <f t="shared" si="28"/>
        <v>37.993920972644375</v>
      </c>
      <c r="L269" s="72">
        <f t="shared" si="29"/>
        <v>-16.712158054711242</v>
      </c>
    </row>
    <row r="270" spans="1:12" x14ac:dyDescent="0.25">
      <c r="A270" s="3" t="s">
        <v>543</v>
      </c>
      <c r="B270" t="s">
        <v>543</v>
      </c>
      <c r="C270">
        <f>ROUND(VLOOKUP($A270,Results!$A$2:$I$437,4,FALSE),2)</f>
        <v>65.599999999999994</v>
      </c>
      <c r="D270">
        <f>ROUND(VLOOKUP($A270,Results!$A$2:$I$437,5,FALSE),2)</f>
        <v>32.4</v>
      </c>
      <c r="E270" s="72">
        <f t="shared" si="24"/>
        <v>66.938775510204067</v>
      </c>
      <c r="F270" s="72">
        <f t="shared" si="25"/>
        <v>33.061224489795919</v>
      </c>
      <c r="G270" s="72">
        <f t="shared" si="26"/>
        <v>-29.877551020408148</v>
      </c>
      <c r="H270">
        <f>ROUND(VLOOKUP($A270,Results!$A$2:$I$437,6,FALSE),2)</f>
        <v>64.5</v>
      </c>
      <c r="I270">
        <f>ROUND(VLOOKUP($A270,Results!$A$2:$I$437,7,FALSE),2)</f>
        <v>33</v>
      </c>
      <c r="J270" s="72">
        <f t="shared" si="27"/>
        <v>66.153846153846146</v>
      </c>
      <c r="K270" s="72">
        <f t="shared" si="28"/>
        <v>33.846153846153847</v>
      </c>
      <c r="L270" s="72">
        <f t="shared" si="29"/>
        <v>-25.007692307692299</v>
      </c>
    </row>
    <row r="271" spans="1:12" x14ac:dyDescent="0.25">
      <c r="A271" s="3" t="s">
        <v>545</v>
      </c>
      <c r="B271" t="s">
        <v>545</v>
      </c>
      <c r="C271">
        <f>ROUND(VLOOKUP($A271,Results!$A$2:$I$437,4,FALSE),2)</f>
        <v>44.8</v>
      </c>
      <c r="D271">
        <f>ROUND(VLOOKUP($A271,Results!$A$2:$I$437,5,FALSE),2)</f>
        <v>52.9</v>
      </c>
      <c r="E271" s="72">
        <f t="shared" si="24"/>
        <v>45.854657113613108</v>
      </c>
      <c r="F271" s="72">
        <f t="shared" si="25"/>
        <v>54.145342886386906</v>
      </c>
      <c r="G271" s="72">
        <f t="shared" si="26"/>
        <v>12.290685772773799</v>
      </c>
      <c r="H271">
        <f>ROUND(VLOOKUP($A271,Results!$A$2:$I$437,6,FALSE),2)</f>
        <v>49.4</v>
      </c>
      <c r="I271">
        <f>ROUND(VLOOKUP($A271,Results!$A$2:$I$437,7,FALSE),2)</f>
        <v>48.2</v>
      </c>
      <c r="J271" s="72">
        <f t="shared" si="27"/>
        <v>50.614754098360656</v>
      </c>
      <c r="K271" s="72">
        <f t="shared" si="28"/>
        <v>49.385245901639351</v>
      </c>
      <c r="L271" s="72">
        <f t="shared" si="29"/>
        <v>6.0704918032786948</v>
      </c>
    </row>
    <row r="272" spans="1:12" x14ac:dyDescent="0.25">
      <c r="A272" s="3" t="s">
        <v>547</v>
      </c>
      <c r="B272" t="s">
        <v>547</v>
      </c>
      <c r="C272">
        <f>ROUND(VLOOKUP($A272,Results!$A$2:$I$437,4,FALSE),2)</f>
        <v>49.5</v>
      </c>
      <c r="D272">
        <f>ROUND(VLOOKUP($A272,Results!$A$2:$I$437,5,FALSE),2)</f>
        <v>48.7</v>
      </c>
      <c r="E272" s="72">
        <f t="shared" si="24"/>
        <v>50.407331975560076</v>
      </c>
      <c r="F272" s="72">
        <f t="shared" si="25"/>
        <v>49.592668024439917</v>
      </c>
      <c r="G272" s="72">
        <f t="shared" si="26"/>
        <v>3.1853360488798401</v>
      </c>
      <c r="H272">
        <f>ROUND(VLOOKUP($A272,Results!$A$2:$I$437,6,FALSE),2)</f>
        <v>53.5</v>
      </c>
      <c r="I272">
        <f>ROUND(VLOOKUP($A272,Results!$A$2:$I$437,7,FALSE),2)</f>
        <v>44.6</v>
      </c>
      <c r="J272" s="72">
        <f t="shared" si="27"/>
        <v>54.536187563710506</v>
      </c>
      <c r="K272" s="72">
        <f t="shared" si="28"/>
        <v>45.463812436289501</v>
      </c>
      <c r="L272" s="72">
        <f t="shared" si="29"/>
        <v>-1.7723751274210047</v>
      </c>
    </row>
    <row r="273" spans="1:12" x14ac:dyDescent="0.25">
      <c r="A273" s="3" t="s">
        <v>549</v>
      </c>
      <c r="B273" t="s">
        <v>549</v>
      </c>
      <c r="C273">
        <f>ROUND(VLOOKUP($A273,Results!$A$2:$I$437,4,FALSE),2)</f>
        <v>54.4</v>
      </c>
      <c r="D273">
        <f>ROUND(VLOOKUP($A273,Results!$A$2:$I$437,5,FALSE),2)</f>
        <v>43.7</v>
      </c>
      <c r="E273" s="72">
        <f t="shared" si="24"/>
        <v>55.45361875637105</v>
      </c>
      <c r="F273" s="72">
        <f t="shared" si="25"/>
        <v>44.546381243628957</v>
      </c>
      <c r="G273" s="72">
        <f t="shared" si="26"/>
        <v>-6.9072375127420926</v>
      </c>
      <c r="H273">
        <f>ROUND(VLOOKUP($A273,Results!$A$2:$I$437,6,FALSE),2)</f>
        <v>56.4</v>
      </c>
      <c r="I273">
        <f>ROUND(VLOOKUP($A273,Results!$A$2:$I$437,7,FALSE),2)</f>
        <v>41.4</v>
      </c>
      <c r="J273" s="72">
        <f t="shared" si="27"/>
        <v>57.668711656441715</v>
      </c>
      <c r="K273" s="72">
        <f t="shared" si="28"/>
        <v>42.331288343558285</v>
      </c>
      <c r="L273" s="72">
        <f t="shared" si="29"/>
        <v>-8.0374233128834298</v>
      </c>
    </row>
    <row r="274" spans="1:12" x14ac:dyDescent="0.25">
      <c r="A274" s="3" t="s">
        <v>551</v>
      </c>
      <c r="B274" t="s">
        <v>551</v>
      </c>
      <c r="C274">
        <f>ROUND(VLOOKUP($A274,Results!$A$2:$I$437,4,FALSE),2)</f>
        <v>49.6</v>
      </c>
      <c r="D274">
        <f>ROUND(VLOOKUP($A274,Results!$A$2:$I$437,5,FALSE),2)</f>
        <v>49.1</v>
      </c>
      <c r="E274" s="72">
        <f t="shared" si="24"/>
        <v>50.253292806484296</v>
      </c>
      <c r="F274" s="72">
        <f t="shared" si="25"/>
        <v>49.746707193515704</v>
      </c>
      <c r="G274" s="72">
        <f t="shared" si="26"/>
        <v>3.4934143870314074</v>
      </c>
      <c r="H274">
        <f>ROUND(VLOOKUP($A274,Results!$A$2:$I$437,6,FALSE),2)</f>
        <v>51</v>
      </c>
      <c r="I274">
        <f>ROUND(VLOOKUP($A274,Results!$A$2:$I$437,7,FALSE),2)</f>
        <v>48</v>
      </c>
      <c r="J274" s="72">
        <f t="shared" si="27"/>
        <v>51.515151515151516</v>
      </c>
      <c r="K274" s="72">
        <f t="shared" si="28"/>
        <v>48.484848484848484</v>
      </c>
      <c r="L274" s="72">
        <f t="shared" si="29"/>
        <v>4.2696969696969687</v>
      </c>
    </row>
    <row r="275" spans="1:12" x14ac:dyDescent="0.25">
      <c r="A275" s="3" t="s">
        <v>553</v>
      </c>
      <c r="B275" t="s">
        <v>553</v>
      </c>
      <c r="C275">
        <f>ROUND(VLOOKUP($A275,Results!$A$2:$I$437,4,FALSE),2)</f>
        <v>51.6</v>
      </c>
      <c r="D275">
        <f>ROUND(VLOOKUP($A275,Results!$A$2:$I$437,5,FALSE),2)</f>
        <v>47.2</v>
      </c>
      <c r="E275" s="72">
        <f t="shared" si="24"/>
        <v>52.22672064777327</v>
      </c>
      <c r="F275" s="72">
        <f t="shared" si="25"/>
        <v>47.773279352226716</v>
      </c>
      <c r="G275" s="72">
        <f t="shared" si="26"/>
        <v>-0.4534412955465541</v>
      </c>
      <c r="H275">
        <f>ROUND(VLOOKUP($A275,Results!$A$2:$I$437,6,FALSE),2)</f>
        <v>51</v>
      </c>
      <c r="I275">
        <f>ROUND(VLOOKUP($A275,Results!$A$2:$I$437,7,FALSE),2)</f>
        <v>48</v>
      </c>
      <c r="J275" s="72">
        <f t="shared" si="27"/>
        <v>51.515151515151516</v>
      </c>
      <c r="K275" s="72">
        <f t="shared" si="28"/>
        <v>48.484848484848484</v>
      </c>
      <c r="L275" s="72">
        <f t="shared" si="29"/>
        <v>4.2696969696969687</v>
      </c>
    </row>
    <row r="276" spans="1:12" x14ac:dyDescent="0.25">
      <c r="A276" s="3" t="s">
        <v>555</v>
      </c>
      <c r="B276" t="s">
        <v>555</v>
      </c>
      <c r="C276">
        <f>ROUND(VLOOKUP($A276,Results!$A$2:$I$437,4,FALSE),2)</f>
        <v>50.8</v>
      </c>
      <c r="D276">
        <f>ROUND(VLOOKUP($A276,Results!$A$2:$I$437,5,FALSE),2)</f>
        <v>48.2</v>
      </c>
      <c r="E276" s="72">
        <f t="shared" si="24"/>
        <v>51.313131313131308</v>
      </c>
      <c r="F276" s="72">
        <f t="shared" si="25"/>
        <v>48.686868686868692</v>
      </c>
      <c r="G276" s="72">
        <f t="shared" si="26"/>
        <v>1.3737373737373844</v>
      </c>
      <c r="H276">
        <f>ROUND(VLOOKUP($A276,Results!$A$2:$I$437,6,FALSE),2)</f>
        <v>54</v>
      </c>
      <c r="I276">
        <f>ROUND(VLOOKUP($A276,Results!$A$2:$I$437,7,FALSE),2)</f>
        <v>46</v>
      </c>
      <c r="J276" s="72">
        <f t="shared" si="27"/>
        <v>54</v>
      </c>
      <c r="K276" s="72">
        <f t="shared" si="28"/>
        <v>46</v>
      </c>
      <c r="L276" s="72">
        <f t="shared" si="29"/>
        <v>-0.70000000000000018</v>
      </c>
    </row>
    <row r="277" spans="1:12" x14ac:dyDescent="0.25">
      <c r="A277" s="3" t="s">
        <v>557</v>
      </c>
      <c r="B277" t="s">
        <v>557</v>
      </c>
      <c r="C277">
        <f>ROUND(VLOOKUP($A277,Results!$A$2:$I$437,4,FALSE),2)</f>
        <v>56.3</v>
      </c>
      <c r="D277">
        <f>ROUND(VLOOKUP($A277,Results!$A$2:$I$437,5,FALSE),2)</f>
        <v>42.8</v>
      </c>
      <c r="E277" s="72">
        <f t="shared" si="24"/>
        <v>56.811301715438958</v>
      </c>
      <c r="F277" s="72">
        <f t="shared" si="25"/>
        <v>43.188698284561049</v>
      </c>
      <c r="G277" s="72">
        <f t="shared" si="26"/>
        <v>-9.6226034308779091</v>
      </c>
      <c r="H277">
        <f>ROUND(VLOOKUP($A277,Results!$A$2:$I$437,6,FALSE),2)</f>
        <v>55</v>
      </c>
      <c r="I277">
        <f>ROUND(VLOOKUP($A277,Results!$A$2:$I$437,7,FALSE),2)</f>
        <v>44</v>
      </c>
      <c r="J277" s="72">
        <f t="shared" si="27"/>
        <v>55.555555555555557</v>
      </c>
      <c r="K277" s="72">
        <f t="shared" si="28"/>
        <v>44.444444444444443</v>
      </c>
      <c r="L277" s="72">
        <f t="shared" si="29"/>
        <v>-3.8111111111111144</v>
      </c>
    </row>
    <row r="278" spans="1:12" x14ac:dyDescent="0.25">
      <c r="A278" s="3" t="s">
        <v>559</v>
      </c>
      <c r="B278" t="s">
        <v>559</v>
      </c>
      <c r="C278">
        <f>ROUND(VLOOKUP($A278,Results!$A$2:$I$437,4,FALSE),2)</f>
        <v>90.6</v>
      </c>
      <c r="D278">
        <f>ROUND(VLOOKUP($A278,Results!$A$2:$I$437,5,FALSE),2)</f>
        <v>9.1</v>
      </c>
      <c r="E278" s="72">
        <f t="shared" si="24"/>
        <v>90.872617853560683</v>
      </c>
      <c r="F278" s="72">
        <f t="shared" si="25"/>
        <v>9.1273821464393183</v>
      </c>
      <c r="G278" s="72">
        <f t="shared" si="26"/>
        <v>-77.745235707121367</v>
      </c>
      <c r="H278">
        <f>ROUND(VLOOKUP($A278,Results!$A$2:$I$437,6,FALSE),2)</f>
        <v>86</v>
      </c>
      <c r="I278">
        <f>ROUND(VLOOKUP($A278,Results!$A$2:$I$437,7,FALSE),2)</f>
        <v>14</v>
      </c>
      <c r="J278" s="72">
        <f t="shared" si="27"/>
        <v>86</v>
      </c>
      <c r="K278" s="72">
        <f t="shared" si="28"/>
        <v>14.000000000000002</v>
      </c>
      <c r="L278" s="72">
        <f t="shared" si="29"/>
        <v>-64.7</v>
      </c>
    </row>
    <row r="279" spans="1:12" x14ac:dyDescent="0.25">
      <c r="A279" s="3" t="s">
        <v>561</v>
      </c>
      <c r="B279" t="s">
        <v>561</v>
      </c>
      <c r="C279">
        <f>ROUND(VLOOKUP($A279,Results!$A$2:$I$437,4,FALSE),2)</f>
        <v>67.8</v>
      </c>
      <c r="D279">
        <f>ROUND(VLOOKUP($A279,Results!$A$2:$I$437,5,FALSE),2)</f>
        <v>31</v>
      </c>
      <c r="E279" s="72">
        <f t="shared" si="24"/>
        <v>68.623481781376512</v>
      </c>
      <c r="F279" s="72">
        <f t="shared" si="25"/>
        <v>31.376518218623485</v>
      </c>
      <c r="G279" s="72">
        <f t="shared" si="26"/>
        <v>-33.246963562753024</v>
      </c>
      <c r="H279">
        <f>ROUND(VLOOKUP($A279,Results!$A$2:$I$437,6,FALSE),2)</f>
        <v>63</v>
      </c>
      <c r="I279">
        <f>ROUND(VLOOKUP($A279,Results!$A$2:$I$437,7,FALSE),2)</f>
        <v>36</v>
      </c>
      <c r="J279" s="72">
        <f t="shared" si="27"/>
        <v>63.636363636363633</v>
      </c>
      <c r="K279" s="72">
        <f t="shared" si="28"/>
        <v>36.363636363636367</v>
      </c>
      <c r="L279" s="72">
        <f t="shared" si="29"/>
        <v>-19.972727272727266</v>
      </c>
    </row>
    <row r="280" spans="1:12" x14ac:dyDescent="0.25">
      <c r="A280" s="3" t="s">
        <v>563</v>
      </c>
      <c r="B280" t="s">
        <v>563</v>
      </c>
      <c r="C280">
        <f>ROUND(VLOOKUP($A280,Results!$A$2:$I$437,4,FALSE),2)</f>
        <v>88.4</v>
      </c>
      <c r="D280">
        <f>ROUND(VLOOKUP($A280,Results!$A$2:$I$437,5,FALSE),2)</f>
        <v>10.3</v>
      </c>
      <c r="E280" s="72">
        <f t="shared" si="24"/>
        <v>89.564336372847023</v>
      </c>
      <c r="F280" s="72">
        <f t="shared" si="25"/>
        <v>10.435663627152989</v>
      </c>
      <c r="G280" s="72">
        <f t="shared" si="26"/>
        <v>-75.128672745694033</v>
      </c>
      <c r="H280">
        <f>ROUND(VLOOKUP($A280,Results!$A$2:$I$437,6,FALSE),2)</f>
        <v>84</v>
      </c>
      <c r="I280">
        <f>ROUND(VLOOKUP($A280,Results!$A$2:$I$437,7,FALSE),2)</f>
        <v>15</v>
      </c>
      <c r="J280" s="72">
        <f t="shared" si="27"/>
        <v>84.848484848484844</v>
      </c>
      <c r="K280" s="72">
        <f t="shared" si="28"/>
        <v>15.151515151515152</v>
      </c>
      <c r="L280" s="72">
        <f t="shared" si="29"/>
        <v>-62.396969696969691</v>
      </c>
    </row>
    <row r="281" spans="1:12" x14ac:dyDescent="0.25">
      <c r="A281" s="3" t="s">
        <v>565</v>
      </c>
      <c r="B281" t="s">
        <v>565</v>
      </c>
      <c r="C281">
        <f>ROUND(VLOOKUP($A281,Results!$A$2:$I$437,4,FALSE),2)</f>
        <v>89.2</v>
      </c>
      <c r="D281">
        <f>ROUND(VLOOKUP($A281,Results!$A$2:$I$437,5,FALSE),2)</f>
        <v>10.199999999999999</v>
      </c>
      <c r="E281" s="72">
        <f t="shared" si="24"/>
        <v>89.738430583501</v>
      </c>
      <c r="F281" s="72">
        <f t="shared" si="25"/>
        <v>10.261569416498993</v>
      </c>
      <c r="G281" s="72">
        <f t="shared" si="26"/>
        <v>-75.476861167001999</v>
      </c>
      <c r="H281">
        <f>ROUND(VLOOKUP($A281,Results!$A$2:$I$437,6,FALSE),2)</f>
        <v>86</v>
      </c>
      <c r="I281">
        <f>ROUND(VLOOKUP($A281,Results!$A$2:$I$437,7,FALSE),2)</f>
        <v>14</v>
      </c>
      <c r="J281" s="72">
        <f t="shared" si="27"/>
        <v>86</v>
      </c>
      <c r="K281" s="72">
        <f t="shared" si="28"/>
        <v>14.000000000000002</v>
      </c>
      <c r="L281" s="72">
        <f t="shared" si="29"/>
        <v>-64.7</v>
      </c>
    </row>
    <row r="282" spans="1:12" x14ac:dyDescent="0.25">
      <c r="A282" s="3" t="s">
        <v>567</v>
      </c>
      <c r="B282" t="s">
        <v>567</v>
      </c>
      <c r="C282">
        <f>ROUND(VLOOKUP($A282,Results!$A$2:$I$437,4,FALSE),2)</f>
        <v>85.2</v>
      </c>
      <c r="D282">
        <f>ROUND(VLOOKUP($A282,Results!$A$2:$I$437,5,FALSE),2)</f>
        <v>13.9</v>
      </c>
      <c r="E282" s="72">
        <f t="shared" si="24"/>
        <v>85.973763874873868</v>
      </c>
      <c r="F282" s="72">
        <f t="shared" si="25"/>
        <v>14.026236125126134</v>
      </c>
      <c r="G282" s="72">
        <f t="shared" si="26"/>
        <v>-67.947527749747735</v>
      </c>
      <c r="H282">
        <f>ROUND(VLOOKUP($A282,Results!$A$2:$I$437,6,FALSE),2)</f>
        <v>84</v>
      </c>
      <c r="I282">
        <f>ROUND(VLOOKUP($A282,Results!$A$2:$I$437,7,FALSE),2)</f>
        <v>15</v>
      </c>
      <c r="J282" s="72">
        <f t="shared" si="27"/>
        <v>84.848484848484844</v>
      </c>
      <c r="K282" s="72">
        <f t="shared" si="28"/>
        <v>15.151515151515152</v>
      </c>
      <c r="L282" s="72">
        <f t="shared" si="29"/>
        <v>-62.396969696969691</v>
      </c>
    </row>
    <row r="283" spans="1:12" x14ac:dyDescent="0.25">
      <c r="A283" s="3" t="s">
        <v>569</v>
      </c>
      <c r="B283" t="s">
        <v>569</v>
      </c>
      <c r="C283">
        <f>ROUND(VLOOKUP($A283,Results!$A$2:$I$437,4,FALSE),2)</f>
        <v>73.599999999999994</v>
      </c>
      <c r="D283">
        <f>ROUND(VLOOKUP($A283,Results!$A$2:$I$437,5,FALSE),2)</f>
        <v>25.1</v>
      </c>
      <c r="E283" s="72">
        <f t="shared" si="24"/>
        <v>74.569402228976699</v>
      </c>
      <c r="F283" s="72">
        <f t="shared" si="25"/>
        <v>25.430597771023304</v>
      </c>
      <c r="G283" s="72">
        <f t="shared" si="26"/>
        <v>-45.138804457953398</v>
      </c>
      <c r="H283">
        <f>ROUND(VLOOKUP($A283,Results!$A$2:$I$437,6,FALSE),2)</f>
        <v>76</v>
      </c>
      <c r="I283">
        <f>ROUND(VLOOKUP($A283,Results!$A$2:$I$437,7,FALSE),2)</f>
        <v>23</v>
      </c>
      <c r="J283" s="72">
        <f t="shared" si="27"/>
        <v>76.767676767676761</v>
      </c>
      <c r="K283" s="72">
        <f t="shared" si="28"/>
        <v>23.232323232323232</v>
      </c>
      <c r="L283" s="72">
        <f t="shared" si="29"/>
        <v>-46.235353535353532</v>
      </c>
    </row>
    <row r="284" spans="1:12" x14ac:dyDescent="0.25">
      <c r="A284" s="3" t="s">
        <v>571</v>
      </c>
      <c r="B284" t="s">
        <v>571</v>
      </c>
      <c r="C284">
        <f>ROUND(VLOOKUP($A284,Results!$A$2:$I$437,4,FALSE),2)</f>
        <v>51.6</v>
      </c>
      <c r="D284">
        <f>ROUND(VLOOKUP($A284,Results!$A$2:$I$437,5,FALSE),2)</f>
        <v>47.3</v>
      </c>
      <c r="E284" s="72">
        <f t="shared" si="24"/>
        <v>52.173913043478258</v>
      </c>
      <c r="F284" s="72">
        <f t="shared" si="25"/>
        <v>47.826086956521735</v>
      </c>
      <c r="G284" s="72">
        <f t="shared" si="26"/>
        <v>-0.34782608695652328</v>
      </c>
      <c r="H284">
        <f>ROUND(VLOOKUP($A284,Results!$A$2:$I$437,6,FALSE),2)</f>
        <v>48</v>
      </c>
      <c r="I284">
        <f>ROUND(VLOOKUP($A284,Results!$A$2:$I$437,7,FALSE),2)</f>
        <v>51</v>
      </c>
      <c r="J284" s="72">
        <f t="shared" si="27"/>
        <v>48.484848484848484</v>
      </c>
      <c r="K284" s="72">
        <f t="shared" si="28"/>
        <v>51.515151515151516</v>
      </c>
      <c r="L284" s="72">
        <f t="shared" si="29"/>
        <v>10.330303030303032</v>
      </c>
    </row>
    <row r="285" spans="1:12" x14ac:dyDescent="0.25">
      <c r="A285" s="3" t="s">
        <v>573</v>
      </c>
      <c r="B285" t="s">
        <v>573</v>
      </c>
      <c r="C285">
        <f>ROUND(VLOOKUP($A285,Results!$A$2:$I$437,4,FALSE),2)</f>
        <v>76.900000000000006</v>
      </c>
      <c r="D285">
        <f>ROUND(VLOOKUP($A285,Results!$A$2:$I$437,5,FALSE),2)</f>
        <v>21.5</v>
      </c>
      <c r="E285" s="72">
        <f t="shared" si="24"/>
        <v>78.150406504065046</v>
      </c>
      <c r="F285" s="72">
        <f t="shared" si="25"/>
        <v>21.849593495934958</v>
      </c>
      <c r="G285" s="72">
        <f t="shared" si="26"/>
        <v>-52.300813008130092</v>
      </c>
      <c r="H285">
        <f>ROUND(VLOOKUP($A285,Results!$A$2:$I$437,6,FALSE),2)</f>
        <v>80</v>
      </c>
      <c r="I285">
        <f>ROUND(VLOOKUP($A285,Results!$A$2:$I$437,7,FALSE),2)</f>
        <v>19</v>
      </c>
      <c r="J285" s="72">
        <f t="shared" si="27"/>
        <v>80.808080808080803</v>
      </c>
      <c r="K285" s="72">
        <f t="shared" si="28"/>
        <v>19.19191919191919</v>
      </c>
      <c r="L285" s="72">
        <f t="shared" si="29"/>
        <v>-54.316161616161615</v>
      </c>
    </row>
    <row r="286" spans="1:12" x14ac:dyDescent="0.25">
      <c r="A286" s="3" t="s">
        <v>575</v>
      </c>
      <c r="B286" t="s">
        <v>575</v>
      </c>
      <c r="C286">
        <f>ROUND(VLOOKUP($A286,Results!$A$2:$I$437,4,FALSE),2)</f>
        <v>94.6</v>
      </c>
      <c r="D286">
        <f>ROUND(VLOOKUP($A286,Results!$A$2:$I$437,5,FALSE),2)</f>
        <v>4.5999999999999996</v>
      </c>
      <c r="E286" s="72">
        <f t="shared" si="24"/>
        <v>95.362903225806463</v>
      </c>
      <c r="F286" s="72">
        <f t="shared" si="25"/>
        <v>4.637096774193548</v>
      </c>
      <c r="G286" s="72">
        <f t="shared" si="26"/>
        <v>-86.725806451612911</v>
      </c>
      <c r="H286">
        <f>ROUND(VLOOKUP($A286,Results!$A$2:$I$437,6,FALSE),2)</f>
        <v>93</v>
      </c>
      <c r="I286">
        <f>ROUND(VLOOKUP($A286,Results!$A$2:$I$437,7,FALSE),2)</f>
        <v>6</v>
      </c>
      <c r="J286" s="72">
        <f t="shared" si="27"/>
        <v>93.939393939393938</v>
      </c>
      <c r="K286" s="72">
        <f t="shared" si="28"/>
        <v>6.0606060606060606</v>
      </c>
      <c r="L286" s="72">
        <f t="shared" si="29"/>
        <v>-80.578787878787878</v>
      </c>
    </row>
    <row r="287" spans="1:12" x14ac:dyDescent="0.25">
      <c r="A287" s="3" t="s">
        <v>577</v>
      </c>
      <c r="B287" t="s">
        <v>577</v>
      </c>
      <c r="C287">
        <f>ROUND(VLOOKUP($A287,Results!$A$2:$I$437,4,FALSE),2)</f>
        <v>80.7</v>
      </c>
      <c r="D287">
        <f>ROUND(VLOOKUP($A287,Results!$A$2:$I$437,5,FALSE),2)</f>
        <v>18.3</v>
      </c>
      <c r="E287" s="72">
        <f t="shared" si="24"/>
        <v>81.515151515151516</v>
      </c>
      <c r="F287" s="72">
        <f t="shared" si="25"/>
        <v>18.484848484848484</v>
      </c>
      <c r="G287" s="72">
        <f t="shared" si="26"/>
        <v>-59.030303030303031</v>
      </c>
      <c r="H287">
        <f>ROUND(VLOOKUP($A287,Results!$A$2:$I$437,6,FALSE),2)</f>
        <v>76</v>
      </c>
      <c r="I287">
        <f>ROUND(VLOOKUP($A287,Results!$A$2:$I$437,7,FALSE),2)</f>
        <v>23</v>
      </c>
      <c r="J287" s="72">
        <f t="shared" si="27"/>
        <v>76.767676767676761</v>
      </c>
      <c r="K287" s="72">
        <f t="shared" si="28"/>
        <v>23.232323232323232</v>
      </c>
      <c r="L287" s="72">
        <f t="shared" si="29"/>
        <v>-46.235353535353532</v>
      </c>
    </row>
    <row r="288" spans="1:12" x14ac:dyDescent="0.25">
      <c r="A288" s="3" t="s">
        <v>579</v>
      </c>
      <c r="B288" t="s">
        <v>579</v>
      </c>
      <c r="C288">
        <f>ROUND(VLOOKUP($A288,Results!$A$2:$I$437,4,FALSE),2)</f>
        <v>96.7</v>
      </c>
      <c r="D288">
        <f>ROUND(VLOOKUP($A288,Results!$A$2:$I$437,5,FALSE),2)</f>
        <v>3</v>
      </c>
      <c r="E288" s="72">
        <f t="shared" si="24"/>
        <v>96.99097291875627</v>
      </c>
      <c r="F288" s="72">
        <f t="shared" si="25"/>
        <v>3.009027081243731</v>
      </c>
      <c r="G288" s="72">
        <f t="shared" si="26"/>
        <v>-89.981945837512541</v>
      </c>
      <c r="H288">
        <f>ROUND(VLOOKUP($A288,Results!$A$2:$I$437,6,FALSE),2)</f>
        <v>95</v>
      </c>
      <c r="I288">
        <f>ROUND(VLOOKUP($A288,Results!$A$2:$I$437,7,FALSE),2)</f>
        <v>5</v>
      </c>
      <c r="J288" s="72">
        <f t="shared" si="27"/>
        <v>95</v>
      </c>
      <c r="K288" s="72">
        <f t="shared" si="28"/>
        <v>5</v>
      </c>
      <c r="L288" s="72">
        <f t="shared" si="29"/>
        <v>-82.7</v>
      </c>
    </row>
    <row r="289" spans="1:12" x14ac:dyDescent="0.25">
      <c r="A289" s="3" t="s">
        <v>581</v>
      </c>
      <c r="B289" t="s">
        <v>581</v>
      </c>
      <c r="C289">
        <f>ROUND(VLOOKUP($A289,Results!$A$2:$I$437,4,FALSE),2)</f>
        <v>73.7</v>
      </c>
      <c r="D289">
        <f>ROUND(VLOOKUP($A289,Results!$A$2:$I$437,5,FALSE),2)</f>
        <v>25.5</v>
      </c>
      <c r="E289" s="72">
        <f t="shared" si="24"/>
        <v>74.29435483870968</v>
      </c>
      <c r="F289" s="72">
        <f t="shared" si="25"/>
        <v>25.70564516129032</v>
      </c>
      <c r="G289" s="72">
        <f t="shared" si="26"/>
        <v>-44.588709677419359</v>
      </c>
      <c r="H289">
        <f>ROUND(VLOOKUP($A289,Results!$A$2:$I$437,6,FALSE),2)</f>
        <v>73</v>
      </c>
      <c r="I289">
        <f>ROUND(VLOOKUP($A289,Results!$A$2:$I$437,7,FALSE),2)</f>
        <v>26</v>
      </c>
      <c r="J289" s="72">
        <f t="shared" si="27"/>
        <v>73.73737373737373</v>
      </c>
      <c r="K289" s="72">
        <f t="shared" si="28"/>
        <v>26.262626262626267</v>
      </c>
      <c r="L289" s="72">
        <f t="shared" si="29"/>
        <v>-40.174747474747463</v>
      </c>
    </row>
    <row r="290" spans="1:12" x14ac:dyDescent="0.25">
      <c r="A290" s="3" t="s">
        <v>583</v>
      </c>
      <c r="B290" t="s">
        <v>583</v>
      </c>
      <c r="C290">
        <f>ROUND(VLOOKUP($A290,Results!$A$2:$I$437,4,FALSE),2)</f>
        <v>57.1</v>
      </c>
      <c r="D290">
        <f>ROUND(VLOOKUP($A290,Results!$A$2:$I$437,5,FALSE),2)</f>
        <v>41.9</v>
      </c>
      <c r="E290" s="72">
        <f t="shared" si="24"/>
        <v>57.676767676767682</v>
      </c>
      <c r="F290" s="72">
        <f t="shared" si="25"/>
        <v>42.323232323232325</v>
      </c>
      <c r="G290" s="72">
        <f t="shared" si="26"/>
        <v>-11.353535353535356</v>
      </c>
      <c r="H290">
        <f>ROUND(VLOOKUP($A290,Results!$A$2:$I$437,6,FALSE),2)</f>
        <v>58</v>
      </c>
      <c r="I290">
        <f>ROUND(VLOOKUP($A290,Results!$A$2:$I$437,7,FALSE),2)</f>
        <v>41</v>
      </c>
      <c r="J290" s="72">
        <f t="shared" si="27"/>
        <v>58.585858585858588</v>
      </c>
      <c r="K290" s="72">
        <f t="shared" si="28"/>
        <v>41.414141414141412</v>
      </c>
      <c r="L290" s="72">
        <f t="shared" si="29"/>
        <v>-9.8717171717171759</v>
      </c>
    </row>
    <row r="291" spans="1:12" x14ac:dyDescent="0.25">
      <c r="A291" s="3" t="s">
        <v>585</v>
      </c>
      <c r="B291" t="s">
        <v>585</v>
      </c>
      <c r="C291">
        <f>ROUND(VLOOKUP($A291,Results!$A$2:$I$437,4,FALSE),2)</f>
        <v>51.4</v>
      </c>
      <c r="D291">
        <f>ROUND(VLOOKUP($A291,Results!$A$2:$I$437,5,FALSE),2)</f>
        <v>47.1</v>
      </c>
      <c r="E291" s="72">
        <f t="shared" si="24"/>
        <v>52.182741116751266</v>
      </c>
      <c r="F291" s="72">
        <f t="shared" si="25"/>
        <v>47.817258883248734</v>
      </c>
      <c r="G291" s="72">
        <f t="shared" si="26"/>
        <v>-0.36548223350253295</v>
      </c>
      <c r="H291">
        <f>ROUND(VLOOKUP($A291,Results!$A$2:$I$437,6,FALSE),2)</f>
        <v>52</v>
      </c>
      <c r="I291">
        <f>ROUND(VLOOKUP($A291,Results!$A$2:$I$437,7,FALSE),2)</f>
        <v>47</v>
      </c>
      <c r="J291" s="72">
        <f t="shared" si="27"/>
        <v>52.525252525252533</v>
      </c>
      <c r="K291" s="72">
        <f t="shared" si="28"/>
        <v>47.474747474747474</v>
      </c>
      <c r="L291" s="72">
        <f t="shared" si="29"/>
        <v>2.2494949494949408</v>
      </c>
    </row>
    <row r="292" spans="1:12" x14ac:dyDescent="0.25">
      <c r="A292" s="3" t="s">
        <v>587</v>
      </c>
      <c r="B292" t="s">
        <v>587</v>
      </c>
      <c r="C292">
        <f>ROUND(VLOOKUP($A292,Results!$A$2:$I$437,4,FALSE),2)</f>
        <v>52.1</v>
      </c>
      <c r="D292">
        <f>ROUND(VLOOKUP($A292,Results!$A$2:$I$437,5,FALSE),2)</f>
        <v>45.9</v>
      </c>
      <c r="E292" s="72">
        <f t="shared" si="24"/>
        <v>53.163265306122454</v>
      </c>
      <c r="F292" s="72">
        <f t="shared" si="25"/>
        <v>46.836734693877553</v>
      </c>
      <c r="G292" s="72">
        <f t="shared" si="26"/>
        <v>-2.3265306122449019</v>
      </c>
      <c r="H292">
        <f>ROUND(VLOOKUP($A292,Results!$A$2:$I$437,6,FALSE),2)</f>
        <v>53</v>
      </c>
      <c r="I292">
        <f>ROUND(VLOOKUP($A292,Results!$A$2:$I$437,7,FALSE),2)</f>
        <v>45</v>
      </c>
      <c r="J292" s="72">
        <f t="shared" si="27"/>
        <v>54.081632653061227</v>
      </c>
      <c r="K292" s="72">
        <f t="shared" si="28"/>
        <v>45.91836734693878</v>
      </c>
      <c r="L292" s="72">
        <f t="shared" si="29"/>
        <v>-0.86326530612244756</v>
      </c>
    </row>
    <row r="293" spans="1:12" x14ac:dyDescent="0.25">
      <c r="A293" s="3" t="s">
        <v>589</v>
      </c>
      <c r="B293" t="s">
        <v>589</v>
      </c>
      <c r="C293">
        <f>ROUND(VLOOKUP($A293,Results!$A$2:$I$437,4,FALSE),2)</f>
        <v>59.2</v>
      </c>
      <c r="D293">
        <f>ROUND(VLOOKUP($A293,Results!$A$2:$I$437,5,FALSE),2)</f>
        <v>38.799999999999997</v>
      </c>
      <c r="E293" s="72">
        <f t="shared" si="24"/>
        <v>60.408163265306122</v>
      </c>
      <c r="F293" s="72">
        <f t="shared" si="25"/>
        <v>39.591836734693878</v>
      </c>
      <c r="G293" s="72">
        <f t="shared" si="26"/>
        <v>-16.816326530612244</v>
      </c>
      <c r="H293">
        <f>ROUND(VLOOKUP($A293,Results!$A$2:$I$437,6,FALSE),2)</f>
        <v>58</v>
      </c>
      <c r="I293">
        <f>ROUND(VLOOKUP($A293,Results!$A$2:$I$437,7,FALSE),2)</f>
        <v>40</v>
      </c>
      <c r="J293" s="72">
        <f t="shared" si="27"/>
        <v>59.183673469387756</v>
      </c>
      <c r="K293" s="72">
        <f t="shared" si="28"/>
        <v>40.816326530612244</v>
      </c>
      <c r="L293" s="72">
        <f t="shared" si="29"/>
        <v>-11.067346938775511</v>
      </c>
    </row>
    <row r="294" spans="1:12" x14ac:dyDescent="0.25">
      <c r="A294" s="3" t="s">
        <v>591</v>
      </c>
      <c r="B294" t="s">
        <v>591</v>
      </c>
      <c r="C294">
        <f>ROUND(VLOOKUP($A294,Results!$A$2:$I$437,4,FALSE),2)</f>
        <v>52.2</v>
      </c>
      <c r="D294">
        <f>ROUND(VLOOKUP($A294,Results!$A$2:$I$437,5,FALSE),2)</f>
        <v>46.1</v>
      </c>
      <c r="E294" s="72">
        <f t="shared" si="24"/>
        <v>53.102746693794501</v>
      </c>
      <c r="F294" s="72">
        <f t="shared" si="25"/>
        <v>46.897253306205485</v>
      </c>
      <c r="G294" s="72">
        <f t="shared" si="26"/>
        <v>-2.2054933875890157</v>
      </c>
      <c r="H294">
        <f>ROUND(VLOOKUP($A294,Results!$A$2:$I$437,6,FALSE),2)</f>
        <v>52</v>
      </c>
      <c r="I294">
        <f>ROUND(VLOOKUP($A294,Results!$A$2:$I$437,7,FALSE),2)</f>
        <v>47</v>
      </c>
      <c r="J294" s="72">
        <f t="shared" si="27"/>
        <v>52.525252525252533</v>
      </c>
      <c r="K294" s="72">
        <f t="shared" si="28"/>
        <v>47.474747474747474</v>
      </c>
      <c r="L294" s="72">
        <f t="shared" si="29"/>
        <v>2.2494949494949408</v>
      </c>
    </row>
    <row r="295" spans="1:12" x14ac:dyDescent="0.25">
      <c r="A295" s="3" t="s">
        <v>593</v>
      </c>
      <c r="B295" t="s">
        <v>593</v>
      </c>
      <c r="C295">
        <f>ROUND(VLOOKUP($A295,Results!$A$2:$I$437,4,FALSE),2)</f>
        <v>48.8</v>
      </c>
      <c r="D295">
        <f>ROUND(VLOOKUP($A295,Results!$A$2:$I$437,5,FALSE),2)</f>
        <v>49.2</v>
      </c>
      <c r="E295" s="72">
        <f t="shared" si="24"/>
        <v>49.795918367346935</v>
      </c>
      <c r="F295" s="72">
        <f t="shared" si="25"/>
        <v>50.204081632653065</v>
      </c>
      <c r="G295" s="72">
        <f t="shared" si="26"/>
        <v>4.4081632653061291</v>
      </c>
      <c r="H295">
        <f>ROUND(VLOOKUP($A295,Results!$A$2:$I$437,6,FALSE),2)</f>
        <v>49</v>
      </c>
      <c r="I295">
        <f>ROUND(VLOOKUP($A295,Results!$A$2:$I$437,7,FALSE),2)</f>
        <v>49</v>
      </c>
      <c r="J295" s="72">
        <f t="shared" si="27"/>
        <v>50</v>
      </c>
      <c r="K295" s="72">
        <f t="shared" si="28"/>
        <v>50</v>
      </c>
      <c r="L295" s="72">
        <f t="shared" si="29"/>
        <v>7.3</v>
      </c>
    </row>
    <row r="296" spans="1:12" x14ac:dyDescent="0.25">
      <c r="A296" s="3" t="s">
        <v>595</v>
      </c>
      <c r="B296" t="s">
        <v>595</v>
      </c>
      <c r="C296">
        <f>ROUND(VLOOKUP($A296,Results!$A$2:$I$437,4,FALSE),2)</f>
        <v>48.4</v>
      </c>
      <c r="D296">
        <f>ROUND(VLOOKUP($A296,Results!$A$2:$I$437,5,FALSE),2)</f>
        <v>49.6</v>
      </c>
      <c r="E296" s="72">
        <f t="shared" si="24"/>
        <v>49.387755102040813</v>
      </c>
      <c r="F296" s="72">
        <f t="shared" si="25"/>
        <v>50.612244897959179</v>
      </c>
      <c r="G296" s="72">
        <f t="shared" si="26"/>
        <v>5.224489795918366</v>
      </c>
      <c r="H296">
        <f>ROUND(VLOOKUP($A296,Results!$A$2:$I$437,6,FALSE),2)</f>
        <v>50</v>
      </c>
      <c r="I296">
        <f>ROUND(VLOOKUP($A296,Results!$A$2:$I$437,7,FALSE),2)</f>
        <v>49</v>
      </c>
      <c r="J296" s="72">
        <f t="shared" si="27"/>
        <v>50.505050505050505</v>
      </c>
      <c r="K296" s="72">
        <f t="shared" si="28"/>
        <v>49.494949494949495</v>
      </c>
      <c r="L296" s="72">
        <f t="shared" si="29"/>
        <v>6.2898989898989894</v>
      </c>
    </row>
    <row r="297" spans="1:12" x14ac:dyDescent="0.25">
      <c r="A297" s="3" t="s">
        <v>597</v>
      </c>
      <c r="B297" t="s">
        <v>597</v>
      </c>
      <c r="C297">
        <f>ROUND(VLOOKUP($A297,Results!$A$2:$I$437,4,FALSE),2)</f>
        <v>57</v>
      </c>
      <c r="D297">
        <f>ROUND(VLOOKUP($A297,Results!$A$2:$I$437,5,FALSE),2)</f>
        <v>41.1</v>
      </c>
      <c r="E297" s="72">
        <f t="shared" si="24"/>
        <v>58.103975535168196</v>
      </c>
      <c r="F297" s="72">
        <f t="shared" si="25"/>
        <v>41.896024464831811</v>
      </c>
      <c r="G297" s="72">
        <f t="shared" si="26"/>
        <v>-12.207951070336385</v>
      </c>
      <c r="H297">
        <f>ROUND(VLOOKUP($A297,Results!$A$2:$I$437,6,FALSE),2)</f>
        <v>56</v>
      </c>
      <c r="I297">
        <f>ROUND(VLOOKUP($A297,Results!$A$2:$I$437,7,FALSE),2)</f>
        <v>42</v>
      </c>
      <c r="J297" s="72">
        <f t="shared" si="27"/>
        <v>57.142857142857139</v>
      </c>
      <c r="K297" s="72">
        <f t="shared" si="28"/>
        <v>42.857142857142854</v>
      </c>
      <c r="L297" s="72">
        <f t="shared" si="29"/>
        <v>-6.9857142857142849</v>
      </c>
    </row>
    <row r="298" spans="1:12" x14ac:dyDescent="0.25">
      <c r="A298" s="3" t="s">
        <v>599</v>
      </c>
      <c r="B298" t="s">
        <v>599</v>
      </c>
      <c r="C298">
        <f>ROUND(VLOOKUP($A298,Results!$A$2:$I$437,4,FALSE),2)</f>
        <v>58.8</v>
      </c>
      <c r="D298">
        <f>ROUND(VLOOKUP($A298,Results!$A$2:$I$437,5,FALSE),2)</f>
        <v>39.4</v>
      </c>
      <c r="E298" s="72">
        <f t="shared" si="24"/>
        <v>59.877800407331982</v>
      </c>
      <c r="F298" s="72">
        <f t="shared" si="25"/>
        <v>40.122199592668025</v>
      </c>
      <c r="G298" s="72">
        <f t="shared" si="26"/>
        <v>-15.755600814663957</v>
      </c>
      <c r="H298">
        <f>ROUND(VLOOKUP($A298,Results!$A$2:$I$437,6,FALSE),2)</f>
        <v>59</v>
      </c>
      <c r="I298">
        <f>ROUND(VLOOKUP($A298,Results!$A$2:$I$437,7,FALSE),2)</f>
        <v>40</v>
      </c>
      <c r="J298" s="72">
        <f t="shared" si="27"/>
        <v>59.595959595959592</v>
      </c>
      <c r="K298" s="72">
        <f t="shared" si="28"/>
        <v>40.404040404040401</v>
      </c>
      <c r="L298" s="72">
        <f t="shared" si="29"/>
        <v>-11.89191919191919</v>
      </c>
    </row>
    <row r="299" spans="1:12" x14ac:dyDescent="0.25">
      <c r="A299" s="3" t="s">
        <v>601</v>
      </c>
      <c r="B299" t="s">
        <v>601</v>
      </c>
      <c r="C299">
        <f>ROUND(VLOOKUP($A299,Results!$A$2:$I$437,4,FALSE),2)</f>
        <v>63.9</v>
      </c>
      <c r="D299">
        <f>ROUND(VLOOKUP($A299,Results!$A$2:$I$437,5,FALSE),2)</f>
        <v>34.299999999999997</v>
      </c>
      <c r="E299" s="72">
        <f t="shared" si="24"/>
        <v>65.071283095723018</v>
      </c>
      <c r="F299" s="72">
        <f t="shared" si="25"/>
        <v>34.928716904276982</v>
      </c>
      <c r="G299" s="72">
        <f t="shared" si="26"/>
        <v>-26.142566191446036</v>
      </c>
      <c r="H299">
        <f>ROUND(VLOOKUP($A299,Results!$A$2:$I$437,6,FALSE),2)</f>
        <v>63</v>
      </c>
      <c r="I299">
        <f>ROUND(VLOOKUP($A299,Results!$A$2:$I$437,7,FALSE),2)</f>
        <v>35</v>
      </c>
      <c r="J299" s="72">
        <f t="shared" si="27"/>
        <v>64.285714285714292</v>
      </c>
      <c r="K299" s="72">
        <f t="shared" si="28"/>
        <v>35.714285714285715</v>
      </c>
      <c r="L299" s="72">
        <f t="shared" si="29"/>
        <v>-21.271428571428576</v>
      </c>
    </row>
    <row r="300" spans="1:12" x14ac:dyDescent="0.25">
      <c r="A300" s="3" t="s">
        <v>603</v>
      </c>
      <c r="B300" t="s">
        <v>603</v>
      </c>
      <c r="C300">
        <f>ROUND(VLOOKUP($A300,Results!$A$2:$I$437,4,FALSE),2)</f>
        <v>42.9</v>
      </c>
      <c r="D300">
        <f>ROUND(VLOOKUP($A300,Results!$A$2:$I$437,5,FALSE),2)</f>
        <v>55.3</v>
      </c>
      <c r="E300" s="72">
        <f t="shared" si="24"/>
        <v>43.686354378818741</v>
      </c>
      <c r="F300" s="72">
        <f t="shared" si="25"/>
        <v>56.313645621181266</v>
      </c>
      <c r="G300" s="72">
        <f t="shared" si="26"/>
        <v>16.627291242362524</v>
      </c>
      <c r="H300">
        <f>ROUND(VLOOKUP($A300,Results!$A$2:$I$437,6,FALSE),2)</f>
        <v>44</v>
      </c>
      <c r="I300">
        <f>ROUND(VLOOKUP($A300,Results!$A$2:$I$437,7,FALSE),2)</f>
        <v>54</v>
      </c>
      <c r="J300" s="72">
        <f t="shared" si="27"/>
        <v>44.897959183673471</v>
      </c>
      <c r="K300" s="72">
        <f t="shared" si="28"/>
        <v>55.102040816326522</v>
      </c>
      <c r="L300" s="72">
        <f t="shared" si="29"/>
        <v>17.504081632653051</v>
      </c>
    </row>
    <row r="301" spans="1:12" x14ac:dyDescent="0.25">
      <c r="A301" s="3" t="s">
        <v>605</v>
      </c>
      <c r="B301" t="s">
        <v>605</v>
      </c>
      <c r="C301">
        <f>ROUND(VLOOKUP($A301,Results!$A$2:$I$437,4,FALSE),2)</f>
        <v>46.3</v>
      </c>
      <c r="D301">
        <f>ROUND(VLOOKUP($A301,Results!$A$2:$I$437,5,FALSE),2)</f>
        <v>52.4</v>
      </c>
      <c r="E301" s="72">
        <f t="shared" si="24"/>
        <v>46.909827760891595</v>
      </c>
      <c r="F301" s="72">
        <f t="shared" si="25"/>
        <v>53.090172239108412</v>
      </c>
      <c r="G301" s="72">
        <f t="shared" si="26"/>
        <v>10.180344478216817</v>
      </c>
      <c r="H301">
        <f>ROUND(VLOOKUP($A301,Results!$A$2:$I$437,6,FALSE),2)</f>
        <v>47.2</v>
      </c>
      <c r="I301">
        <f>ROUND(VLOOKUP($A301,Results!$A$2:$I$437,7,FALSE),2)</f>
        <v>51.8</v>
      </c>
      <c r="J301" s="72">
        <f t="shared" si="27"/>
        <v>47.676767676767682</v>
      </c>
      <c r="K301" s="72">
        <f t="shared" si="28"/>
        <v>52.323232323232318</v>
      </c>
      <c r="L301" s="72">
        <f t="shared" si="29"/>
        <v>11.946464646464637</v>
      </c>
    </row>
    <row r="302" spans="1:12" x14ac:dyDescent="0.25">
      <c r="A302" s="3" t="s">
        <v>607</v>
      </c>
      <c r="B302" t="s">
        <v>607</v>
      </c>
      <c r="C302">
        <f>ROUND(VLOOKUP($A302,Results!$A$2:$I$437,4,FALSE),2)</f>
        <v>43.7</v>
      </c>
      <c r="D302">
        <f>ROUND(VLOOKUP($A302,Results!$A$2:$I$437,5,FALSE),2)</f>
        <v>54.7</v>
      </c>
      <c r="E302" s="72">
        <f t="shared" si="24"/>
        <v>44.410569105691053</v>
      </c>
      <c r="F302" s="72">
        <f t="shared" si="25"/>
        <v>55.589430894308947</v>
      </c>
      <c r="G302" s="72">
        <f t="shared" si="26"/>
        <v>15.178861788617894</v>
      </c>
      <c r="H302">
        <f>ROUND(VLOOKUP($A302,Results!$A$2:$I$437,6,FALSE),2)</f>
        <v>44.3</v>
      </c>
      <c r="I302">
        <f>ROUND(VLOOKUP($A302,Results!$A$2:$I$437,7,FALSE),2)</f>
        <v>54.2</v>
      </c>
      <c r="J302" s="72">
        <f t="shared" si="27"/>
        <v>44.974619289340097</v>
      </c>
      <c r="K302" s="72">
        <f t="shared" si="28"/>
        <v>55.025380710659903</v>
      </c>
      <c r="L302" s="72">
        <f t="shared" si="29"/>
        <v>17.350761421319806</v>
      </c>
    </row>
    <row r="303" spans="1:12" x14ac:dyDescent="0.25">
      <c r="A303" s="3" t="s">
        <v>609</v>
      </c>
      <c r="B303" t="s">
        <v>609</v>
      </c>
      <c r="C303">
        <f>ROUND(VLOOKUP($A303,Results!$A$2:$I$437,4,FALSE),2)</f>
        <v>69.7</v>
      </c>
      <c r="D303">
        <f>ROUND(VLOOKUP($A303,Results!$A$2:$I$437,5,FALSE),2)</f>
        <v>28.9</v>
      </c>
      <c r="E303" s="72">
        <f t="shared" si="24"/>
        <v>70.689655172413808</v>
      </c>
      <c r="F303" s="72">
        <f t="shared" si="25"/>
        <v>29.310344827586203</v>
      </c>
      <c r="G303" s="72">
        <f t="shared" si="26"/>
        <v>-37.379310344827601</v>
      </c>
      <c r="H303">
        <f>ROUND(VLOOKUP($A303,Results!$A$2:$I$437,6,FALSE),2)</f>
        <v>67.400000000000006</v>
      </c>
      <c r="I303">
        <f>ROUND(VLOOKUP($A303,Results!$A$2:$I$437,7,FALSE),2)</f>
        <v>31.3</v>
      </c>
      <c r="J303" s="72">
        <f t="shared" si="27"/>
        <v>68.287740628166162</v>
      </c>
      <c r="K303" s="72">
        <f t="shared" si="28"/>
        <v>31.712259371833838</v>
      </c>
      <c r="L303" s="72">
        <f t="shared" si="29"/>
        <v>-29.275481256332323</v>
      </c>
    </row>
    <row r="304" spans="1:12" x14ac:dyDescent="0.25">
      <c r="A304" s="3" t="s">
        <v>611</v>
      </c>
      <c r="B304" t="s">
        <v>611</v>
      </c>
      <c r="C304">
        <f>ROUND(VLOOKUP($A304,Results!$A$2:$I$437,4,FALSE),2)</f>
        <v>42</v>
      </c>
      <c r="D304">
        <f>ROUND(VLOOKUP($A304,Results!$A$2:$I$437,5,FALSE),2)</f>
        <v>56</v>
      </c>
      <c r="E304" s="72">
        <f t="shared" si="24"/>
        <v>42.857142857142854</v>
      </c>
      <c r="F304" s="72">
        <f t="shared" si="25"/>
        <v>57.142857142857139</v>
      </c>
      <c r="G304" s="72">
        <f t="shared" si="26"/>
        <v>18.285714285714285</v>
      </c>
      <c r="H304">
        <f>ROUND(VLOOKUP($A304,Results!$A$2:$I$437,6,FALSE),2)</f>
        <v>43.7</v>
      </c>
      <c r="I304">
        <f>ROUND(VLOOKUP($A304,Results!$A$2:$I$437,7,FALSE),2)</f>
        <v>54.4</v>
      </c>
      <c r="J304" s="72">
        <f t="shared" si="27"/>
        <v>44.546381243628957</v>
      </c>
      <c r="K304" s="72">
        <f t="shared" si="28"/>
        <v>55.45361875637105</v>
      </c>
      <c r="L304" s="72">
        <f t="shared" si="29"/>
        <v>18.207237512742093</v>
      </c>
    </row>
    <row r="305" spans="1:12" x14ac:dyDescent="0.25">
      <c r="A305" s="3" t="s">
        <v>613</v>
      </c>
      <c r="B305" t="s">
        <v>613</v>
      </c>
      <c r="C305">
        <f>ROUND(VLOOKUP($A305,Results!$A$2:$I$437,4,FALSE),2)</f>
        <v>44.1</v>
      </c>
      <c r="D305">
        <f>ROUND(VLOOKUP($A305,Results!$A$2:$I$437,5,FALSE),2)</f>
        <v>53.9</v>
      </c>
      <c r="E305" s="72">
        <f t="shared" si="24"/>
        <v>45</v>
      </c>
      <c r="F305" s="72">
        <f t="shared" si="25"/>
        <v>54.999999999999993</v>
      </c>
      <c r="G305" s="72">
        <f t="shared" si="26"/>
        <v>13.999999999999993</v>
      </c>
      <c r="H305">
        <f>ROUND(VLOOKUP($A305,Results!$A$2:$I$437,6,FALSE),2)</f>
        <v>46</v>
      </c>
      <c r="I305">
        <f>ROUND(VLOOKUP($A305,Results!$A$2:$I$437,7,FALSE),2)</f>
        <v>52.2</v>
      </c>
      <c r="J305" s="72">
        <f t="shared" si="27"/>
        <v>46.843177189409367</v>
      </c>
      <c r="K305" s="72">
        <f t="shared" si="28"/>
        <v>53.156822810590633</v>
      </c>
      <c r="L305" s="72">
        <f t="shared" si="29"/>
        <v>13.613645621181266</v>
      </c>
    </row>
    <row r="306" spans="1:12" x14ac:dyDescent="0.25">
      <c r="A306" s="3" t="s">
        <v>615</v>
      </c>
      <c r="B306" t="s">
        <v>615</v>
      </c>
      <c r="C306">
        <f>ROUND(VLOOKUP($A306,Results!$A$2:$I$437,4,FALSE),2)</f>
        <v>42.7</v>
      </c>
      <c r="D306">
        <f>ROUND(VLOOKUP($A306,Results!$A$2:$I$437,5,FALSE),2)</f>
        <v>55.2</v>
      </c>
      <c r="E306" s="72">
        <f t="shared" si="24"/>
        <v>43.615934627170581</v>
      </c>
      <c r="F306" s="72">
        <f t="shared" si="25"/>
        <v>56.384065372829419</v>
      </c>
      <c r="G306" s="72">
        <f t="shared" si="26"/>
        <v>16.768130745658837</v>
      </c>
      <c r="H306">
        <f>ROUND(VLOOKUP($A306,Results!$A$2:$I$437,6,FALSE),2)</f>
        <v>44.7</v>
      </c>
      <c r="I306">
        <f>ROUND(VLOOKUP($A306,Results!$A$2:$I$437,7,FALSE),2)</f>
        <v>53.1</v>
      </c>
      <c r="J306" s="72">
        <f t="shared" si="27"/>
        <v>45.705521472392633</v>
      </c>
      <c r="K306" s="72">
        <f t="shared" si="28"/>
        <v>54.29447852760736</v>
      </c>
      <c r="L306" s="72">
        <f t="shared" si="29"/>
        <v>15.888957055214728</v>
      </c>
    </row>
    <row r="307" spans="1:12" x14ac:dyDescent="0.25">
      <c r="A307" s="3" t="s">
        <v>617</v>
      </c>
      <c r="B307" t="s">
        <v>617</v>
      </c>
      <c r="C307">
        <f>ROUND(VLOOKUP($A307,Results!$A$2:$I$437,4,FALSE),2)</f>
        <v>44.2</v>
      </c>
      <c r="D307">
        <f>ROUND(VLOOKUP($A307,Results!$A$2:$I$437,5,FALSE),2)</f>
        <v>53.7</v>
      </c>
      <c r="E307" s="72">
        <f t="shared" si="24"/>
        <v>45.148110316649642</v>
      </c>
      <c r="F307" s="72">
        <f t="shared" si="25"/>
        <v>54.85188968335035</v>
      </c>
      <c r="G307" s="72">
        <f t="shared" si="26"/>
        <v>13.703779366700708</v>
      </c>
      <c r="H307">
        <f>ROUND(VLOOKUP($A307,Results!$A$2:$I$437,6,FALSE),2)</f>
        <v>46.9</v>
      </c>
      <c r="I307">
        <f>ROUND(VLOOKUP($A307,Results!$A$2:$I$437,7,FALSE),2)</f>
        <v>50.9</v>
      </c>
      <c r="J307" s="72">
        <f t="shared" si="27"/>
        <v>47.955010224948872</v>
      </c>
      <c r="K307" s="72">
        <f t="shared" si="28"/>
        <v>52.044989775051121</v>
      </c>
      <c r="L307" s="72">
        <f t="shared" si="29"/>
        <v>11.38997955010225</v>
      </c>
    </row>
    <row r="308" spans="1:12" x14ac:dyDescent="0.25">
      <c r="A308" s="3" t="s">
        <v>619</v>
      </c>
      <c r="B308" t="s">
        <v>619</v>
      </c>
      <c r="C308">
        <f>ROUND(VLOOKUP($A308,Results!$A$2:$I$437,4,FALSE),2)</f>
        <v>36.4</v>
      </c>
      <c r="D308">
        <f>ROUND(VLOOKUP($A308,Results!$A$2:$I$437,5,FALSE),2)</f>
        <v>61.9</v>
      </c>
      <c r="E308" s="72">
        <f t="shared" si="24"/>
        <v>37.029501525940994</v>
      </c>
      <c r="F308" s="72">
        <f t="shared" si="25"/>
        <v>62.970498474058999</v>
      </c>
      <c r="G308" s="72">
        <f t="shared" si="26"/>
        <v>29.940996948118006</v>
      </c>
      <c r="H308">
        <f>ROUND(VLOOKUP($A308,Results!$A$2:$I$437,6,FALSE),2)</f>
        <v>38.1</v>
      </c>
      <c r="I308">
        <f>ROUND(VLOOKUP($A308,Results!$A$2:$I$437,7,FALSE),2)</f>
        <v>60.3</v>
      </c>
      <c r="J308" s="72">
        <f t="shared" si="27"/>
        <v>38.719512195121951</v>
      </c>
      <c r="K308" s="72">
        <f t="shared" si="28"/>
        <v>61.280487804878049</v>
      </c>
      <c r="L308" s="72">
        <f t="shared" si="29"/>
        <v>29.8609756097561</v>
      </c>
    </row>
    <row r="309" spans="1:12" x14ac:dyDescent="0.25">
      <c r="A309" s="3" t="s">
        <v>620</v>
      </c>
      <c r="B309" t="s">
        <v>620</v>
      </c>
      <c r="C309">
        <f>ROUND(VLOOKUP($A309,Results!$A$2:$I$437,4,FALSE),2)</f>
        <v>67.599999999999994</v>
      </c>
      <c r="D309">
        <f>ROUND(VLOOKUP($A309,Results!$A$2:$I$437,5,FALSE),2)</f>
        <v>30.9</v>
      </c>
      <c r="E309" s="72">
        <f t="shared" si="24"/>
        <v>68.629441624365469</v>
      </c>
      <c r="F309" s="72">
        <f t="shared" si="25"/>
        <v>31.370558375634516</v>
      </c>
      <c r="G309" s="72">
        <f t="shared" si="26"/>
        <v>-33.258883248730953</v>
      </c>
      <c r="H309">
        <f>ROUND(VLOOKUP($A309,Results!$A$2:$I$437,6,FALSE),2)</f>
        <v>66.8</v>
      </c>
      <c r="I309">
        <f>ROUND(VLOOKUP($A309,Results!$A$2:$I$437,7,FALSE),2)</f>
        <v>31.6</v>
      </c>
      <c r="J309" s="72">
        <f t="shared" si="27"/>
        <v>67.886178861788622</v>
      </c>
      <c r="K309" s="72">
        <f t="shared" si="28"/>
        <v>32.113821138211378</v>
      </c>
      <c r="L309" s="72">
        <f t="shared" si="29"/>
        <v>-28.472357723577243</v>
      </c>
    </row>
    <row r="310" spans="1:12" x14ac:dyDescent="0.25">
      <c r="A310" s="3" t="s">
        <v>622</v>
      </c>
      <c r="B310" t="s">
        <v>622</v>
      </c>
      <c r="C310">
        <f>ROUND(VLOOKUP($A310,Results!$A$2:$I$437,4,FALSE),2)</f>
        <v>48.2</v>
      </c>
      <c r="D310">
        <f>ROUND(VLOOKUP($A310,Results!$A$2:$I$437,5,FALSE),2)</f>
        <v>50.1</v>
      </c>
      <c r="E310" s="72">
        <f t="shared" si="24"/>
        <v>49.033570701932852</v>
      </c>
      <c r="F310" s="72">
        <f t="shared" si="25"/>
        <v>50.966429298067141</v>
      </c>
      <c r="G310" s="72">
        <f t="shared" si="26"/>
        <v>5.9328585961342881</v>
      </c>
      <c r="H310">
        <f>ROUND(VLOOKUP($A310,Results!$A$2:$I$437,6,FALSE),2)</f>
        <v>49.3</v>
      </c>
      <c r="I310">
        <f>ROUND(VLOOKUP($A310,Results!$A$2:$I$437,7,FALSE),2)</f>
        <v>49.3</v>
      </c>
      <c r="J310" s="72">
        <f t="shared" si="27"/>
        <v>50</v>
      </c>
      <c r="K310" s="72">
        <f t="shared" si="28"/>
        <v>50</v>
      </c>
      <c r="L310" s="72">
        <f t="shared" si="29"/>
        <v>7.3</v>
      </c>
    </row>
    <row r="311" spans="1:12" x14ac:dyDescent="0.25">
      <c r="A311" s="3" t="s">
        <v>624</v>
      </c>
      <c r="B311" t="s">
        <v>624</v>
      </c>
      <c r="C311">
        <f>ROUND(VLOOKUP($A311,Results!$A$2:$I$437,4,FALSE),2)</f>
        <v>82.8</v>
      </c>
      <c r="D311">
        <f>ROUND(VLOOKUP($A311,Results!$A$2:$I$437,5,FALSE),2)</f>
        <v>16.5</v>
      </c>
      <c r="E311" s="72">
        <f t="shared" si="24"/>
        <v>83.383685800604226</v>
      </c>
      <c r="F311" s="72">
        <f t="shared" si="25"/>
        <v>16.61631419939577</v>
      </c>
      <c r="G311" s="72">
        <f t="shared" si="26"/>
        <v>-62.767371601208453</v>
      </c>
      <c r="H311">
        <f>ROUND(VLOOKUP($A311,Results!$A$2:$I$437,6,FALSE),2)</f>
        <v>82</v>
      </c>
      <c r="I311">
        <f>ROUND(VLOOKUP($A311,Results!$A$2:$I$437,7,FALSE),2)</f>
        <v>17.2</v>
      </c>
      <c r="J311" s="72">
        <f t="shared" si="27"/>
        <v>82.661290322580641</v>
      </c>
      <c r="K311" s="72">
        <f t="shared" si="28"/>
        <v>17.338709677419352</v>
      </c>
      <c r="L311" s="72">
        <f t="shared" si="29"/>
        <v>-58.022580645161284</v>
      </c>
    </row>
    <row r="312" spans="1:12" x14ac:dyDescent="0.25">
      <c r="A312" s="3" t="s">
        <v>626</v>
      </c>
      <c r="B312" t="s">
        <v>626</v>
      </c>
      <c r="C312">
        <f>ROUND(VLOOKUP($A312,Results!$A$2:$I$437,4,FALSE),2)</f>
        <v>43.9</v>
      </c>
      <c r="D312">
        <f>ROUND(VLOOKUP($A312,Results!$A$2:$I$437,5,FALSE),2)</f>
        <v>54.4</v>
      </c>
      <c r="E312" s="72">
        <f t="shared" si="24"/>
        <v>44.659206510681585</v>
      </c>
      <c r="F312" s="72">
        <f t="shared" si="25"/>
        <v>55.340793489318415</v>
      </c>
      <c r="G312" s="72">
        <f t="shared" si="26"/>
        <v>14.68158697863683</v>
      </c>
      <c r="H312">
        <f>ROUND(VLOOKUP($A312,Results!$A$2:$I$437,6,FALSE),2)</f>
        <v>44.8</v>
      </c>
      <c r="I312">
        <f>ROUND(VLOOKUP($A312,Results!$A$2:$I$437,7,FALSE),2)</f>
        <v>53.7</v>
      </c>
      <c r="J312" s="72">
        <f t="shared" si="27"/>
        <v>45.482233502538065</v>
      </c>
      <c r="K312" s="72">
        <f t="shared" si="28"/>
        <v>54.517766497461928</v>
      </c>
      <c r="L312" s="72">
        <f t="shared" si="29"/>
        <v>16.335532994923863</v>
      </c>
    </row>
    <row r="313" spans="1:12" x14ac:dyDescent="0.25">
      <c r="A313" s="3" t="s">
        <v>628</v>
      </c>
      <c r="B313" t="s">
        <v>628</v>
      </c>
      <c r="C313">
        <f>ROUND(VLOOKUP($A313,Results!$A$2:$I$437,4,FALSE),2)</f>
        <v>62.9</v>
      </c>
      <c r="D313">
        <f>ROUND(VLOOKUP($A313,Results!$A$2:$I$437,5,FALSE),2)</f>
        <v>35.4</v>
      </c>
      <c r="E313" s="72">
        <f t="shared" si="24"/>
        <v>63.987792472024417</v>
      </c>
      <c r="F313" s="72">
        <f t="shared" si="25"/>
        <v>36.01220752797559</v>
      </c>
      <c r="G313" s="72">
        <f t="shared" si="26"/>
        <v>-23.975584944048826</v>
      </c>
      <c r="H313">
        <f>ROUND(VLOOKUP($A313,Results!$A$2:$I$437,6,FALSE),2)</f>
        <v>62.3</v>
      </c>
      <c r="I313">
        <f>ROUND(VLOOKUP($A313,Results!$A$2:$I$437,7,FALSE),2)</f>
        <v>35.799999999999997</v>
      </c>
      <c r="J313" s="72">
        <f t="shared" si="27"/>
        <v>63.506625891946989</v>
      </c>
      <c r="K313" s="72">
        <f t="shared" si="28"/>
        <v>36.493374108053004</v>
      </c>
      <c r="L313" s="72">
        <f t="shared" si="29"/>
        <v>-19.713251783893984</v>
      </c>
    </row>
    <row r="314" spans="1:12" x14ac:dyDescent="0.25">
      <c r="A314" s="3" t="s">
        <v>630</v>
      </c>
      <c r="B314" t="s">
        <v>630</v>
      </c>
      <c r="C314">
        <f>ROUND(VLOOKUP($A314,Results!$A$2:$I$437,4,FALSE),2)</f>
        <v>47.6</v>
      </c>
      <c r="D314">
        <f>ROUND(VLOOKUP($A314,Results!$A$2:$I$437,5,FALSE),2)</f>
        <v>50.9</v>
      </c>
      <c r="E314" s="72">
        <f t="shared" si="24"/>
        <v>48.324873096446701</v>
      </c>
      <c r="F314" s="72">
        <f t="shared" si="25"/>
        <v>51.675126903553306</v>
      </c>
      <c r="G314" s="72">
        <f t="shared" si="26"/>
        <v>7.3502538071066041</v>
      </c>
      <c r="H314">
        <f>ROUND(VLOOKUP($A314,Results!$A$2:$I$437,6,FALSE),2)</f>
        <v>49.1</v>
      </c>
      <c r="I314">
        <f>ROUND(VLOOKUP($A314,Results!$A$2:$I$437,7,FALSE),2)</f>
        <v>49.4</v>
      </c>
      <c r="J314" s="72">
        <f t="shared" si="27"/>
        <v>49.847715736040612</v>
      </c>
      <c r="K314" s="72">
        <f t="shared" si="28"/>
        <v>50.152284263959388</v>
      </c>
      <c r="L314" s="72">
        <f t="shared" si="29"/>
        <v>7.6045685279187749</v>
      </c>
    </row>
    <row r="315" spans="1:12" x14ac:dyDescent="0.25">
      <c r="A315" s="3" t="s">
        <v>632</v>
      </c>
      <c r="B315" t="s">
        <v>632</v>
      </c>
      <c r="C315">
        <f>ROUND(VLOOKUP($A315,Results!$A$2:$I$437,4,FALSE),2)</f>
        <v>46.3</v>
      </c>
      <c r="D315">
        <f>ROUND(VLOOKUP($A315,Results!$A$2:$I$437,5,FALSE),2)</f>
        <v>51.9</v>
      </c>
      <c r="E315" s="72">
        <f t="shared" si="24"/>
        <v>47.148676171079437</v>
      </c>
      <c r="F315" s="72">
        <f t="shared" si="25"/>
        <v>52.85132382892057</v>
      </c>
      <c r="G315" s="72">
        <f t="shared" si="26"/>
        <v>9.7026476578411334</v>
      </c>
      <c r="H315">
        <f>ROUND(VLOOKUP($A315,Results!$A$2:$I$437,6,FALSE),2)</f>
        <v>46.1</v>
      </c>
      <c r="I315">
        <f>ROUND(VLOOKUP($A315,Results!$A$2:$I$437,7,FALSE),2)</f>
        <v>52.2</v>
      </c>
      <c r="J315" s="72">
        <f t="shared" si="27"/>
        <v>46.897253306205485</v>
      </c>
      <c r="K315" s="72">
        <f t="shared" si="28"/>
        <v>53.102746693794501</v>
      </c>
      <c r="L315" s="72">
        <f t="shared" si="29"/>
        <v>13.505493387589016</v>
      </c>
    </row>
    <row r="316" spans="1:12" x14ac:dyDescent="0.25">
      <c r="A316" s="3" t="s">
        <v>634</v>
      </c>
      <c r="B316" t="s">
        <v>634</v>
      </c>
      <c r="C316">
        <f>ROUND(VLOOKUP($A316,Results!$A$2:$I$437,4,FALSE),2)</f>
        <v>45.2</v>
      </c>
      <c r="D316">
        <f>ROUND(VLOOKUP($A316,Results!$A$2:$I$437,5,FALSE),2)</f>
        <v>53.4</v>
      </c>
      <c r="E316" s="72">
        <f t="shared" si="24"/>
        <v>45.84178498985802</v>
      </c>
      <c r="F316" s="72">
        <f t="shared" si="25"/>
        <v>54.158215010141987</v>
      </c>
      <c r="G316" s="72">
        <f t="shared" si="26"/>
        <v>12.316430020283967</v>
      </c>
      <c r="H316">
        <f>ROUND(VLOOKUP($A316,Results!$A$2:$I$437,6,FALSE),2)</f>
        <v>47.2</v>
      </c>
      <c r="I316">
        <f>ROUND(VLOOKUP($A316,Results!$A$2:$I$437,7,FALSE),2)</f>
        <v>51.3</v>
      </c>
      <c r="J316" s="72">
        <f t="shared" si="27"/>
        <v>47.918781725888323</v>
      </c>
      <c r="K316" s="72">
        <f t="shared" si="28"/>
        <v>52.081218274111677</v>
      </c>
      <c r="L316" s="72">
        <f t="shared" si="29"/>
        <v>11.462436548223355</v>
      </c>
    </row>
    <row r="317" spans="1:12" x14ac:dyDescent="0.25">
      <c r="A317" s="3" t="s">
        <v>636</v>
      </c>
      <c r="B317" t="s">
        <v>636</v>
      </c>
      <c r="C317">
        <f>ROUND(VLOOKUP($A317,Results!$A$2:$I$437,4,FALSE),2)</f>
        <v>34.200000000000003</v>
      </c>
      <c r="D317">
        <f>ROUND(VLOOKUP($A317,Results!$A$2:$I$437,5,FALSE),2)</f>
        <v>65.8</v>
      </c>
      <c r="E317" s="72">
        <f t="shared" si="24"/>
        <v>34.200000000000003</v>
      </c>
      <c r="F317" s="72">
        <f t="shared" si="25"/>
        <v>65.8</v>
      </c>
      <c r="G317" s="72">
        <f t="shared" si="26"/>
        <v>35.599999999999994</v>
      </c>
      <c r="H317">
        <f>ROUND(VLOOKUP($A317,Results!$A$2:$I$437,6,FALSE),2)</f>
        <v>35.799999999999997</v>
      </c>
      <c r="I317">
        <f>ROUND(VLOOKUP($A317,Results!$A$2:$I$437,7,FALSE),2)</f>
        <v>64.2</v>
      </c>
      <c r="J317" s="72">
        <f t="shared" si="27"/>
        <v>35.799999999999997</v>
      </c>
      <c r="K317" s="72">
        <f t="shared" si="28"/>
        <v>64.2</v>
      </c>
      <c r="L317" s="72">
        <f t="shared" si="29"/>
        <v>35.700000000000003</v>
      </c>
    </row>
    <row r="318" spans="1:12" x14ac:dyDescent="0.25">
      <c r="A318" s="3" t="s">
        <v>638</v>
      </c>
      <c r="B318" t="s">
        <v>638</v>
      </c>
      <c r="C318">
        <f>ROUND(VLOOKUP($A318,Results!$A$2:$I$437,4,FALSE),2)</f>
        <v>32.200000000000003</v>
      </c>
      <c r="D318">
        <f>ROUND(VLOOKUP($A318,Results!$A$2:$I$437,5,FALSE),2)</f>
        <v>67.8</v>
      </c>
      <c r="E318" s="72">
        <f t="shared" si="24"/>
        <v>32.200000000000003</v>
      </c>
      <c r="F318" s="72">
        <f t="shared" si="25"/>
        <v>67.8</v>
      </c>
      <c r="G318" s="72">
        <f t="shared" si="26"/>
        <v>39.599999999999994</v>
      </c>
      <c r="H318">
        <f>ROUND(VLOOKUP($A318,Results!$A$2:$I$437,6,FALSE),2)</f>
        <v>34.299999999999997</v>
      </c>
      <c r="I318">
        <f>ROUND(VLOOKUP($A318,Results!$A$2:$I$437,7,FALSE),2)</f>
        <v>65.7</v>
      </c>
      <c r="J318" s="72">
        <f t="shared" si="27"/>
        <v>34.299999999999997</v>
      </c>
      <c r="K318" s="72">
        <f t="shared" si="28"/>
        <v>65.7</v>
      </c>
      <c r="L318" s="72">
        <f t="shared" si="29"/>
        <v>38.700000000000003</v>
      </c>
    </row>
    <row r="319" spans="1:12" x14ac:dyDescent="0.25">
      <c r="A319" s="3" t="s">
        <v>640</v>
      </c>
      <c r="B319" t="s">
        <v>640</v>
      </c>
      <c r="C319">
        <f>ROUND(VLOOKUP($A319,Results!$A$2:$I$437,4,FALSE),2)</f>
        <v>26.1</v>
      </c>
      <c r="D319">
        <f>ROUND(VLOOKUP($A319,Results!$A$2:$I$437,5,FALSE),2)</f>
        <v>73.900000000000006</v>
      </c>
      <c r="E319" s="72">
        <f t="shared" si="24"/>
        <v>26.1</v>
      </c>
      <c r="F319" s="72">
        <f t="shared" si="25"/>
        <v>73.900000000000006</v>
      </c>
      <c r="G319" s="72">
        <f t="shared" si="26"/>
        <v>51.800000000000004</v>
      </c>
      <c r="H319">
        <f>ROUND(VLOOKUP($A319,Results!$A$2:$I$437,6,FALSE),2)</f>
        <v>27.1</v>
      </c>
      <c r="I319">
        <f>ROUND(VLOOKUP($A319,Results!$A$2:$I$437,7,FALSE),2)</f>
        <v>72.900000000000006</v>
      </c>
      <c r="J319" s="72">
        <f t="shared" si="27"/>
        <v>27.1</v>
      </c>
      <c r="K319" s="72">
        <f t="shared" si="28"/>
        <v>72.900000000000006</v>
      </c>
      <c r="L319" s="72">
        <f t="shared" si="29"/>
        <v>53.1</v>
      </c>
    </row>
    <row r="320" spans="1:12" x14ac:dyDescent="0.25">
      <c r="A320" s="3" t="s">
        <v>642</v>
      </c>
      <c r="B320" t="s">
        <v>642</v>
      </c>
      <c r="C320">
        <f>ROUND(VLOOKUP($A320,Results!$A$2:$I$437,4,FALSE),2)</f>
        <v>32.9</v>
      </c>
      <c r="D320">
        <f>ROUND(VLOOKUP($A320,Results!$A$2:$I$437,5,FALSE),2)</f>
        <v>67.099999999999994</v>
      </c>
      <c r="E320" s="72">
        <f t="shared" si="24"/>
        <v>32.9</v>
      </c>
      <c r="F320" s="72">
        <f t="shared" si="25"/>
        <v>67.099999999999994</v>
      </c>
      <c r="G320" s="72">
        <f t="shared" si="26"/>
        <v>38.199999999999996</v>
      </c>
      <c r="H320">
        <f>ROUND(VLOOKUP($A320,Results!$A$2:$I$437,6,FALSE),2)</f>
        <v>33.9</v>
      </c>
      <c r="I320">
        <f>ROUND(VLOOKUP($A320,Results!$A$2:$I$437,7,FALSE),2)</f>
        <v>66.099999999999994</v>
      </c>
      <c r="J320" s="72">
        <f t="shared" si="27"/>
        <v>33.9</v>
      </c>
      <c r="K320" s="72">
        <f t="shared" si="28"/>
        <v>66.099999999999994</v>
      </c>
      <c r="L320" s="72">
        <f t="shared" si="29"/>
        <v>39.499999999999993</v>
      </c>
    </row>
    <row r="321" spans="1:12" x14ac:dyDescent="0.25">
      <c r="A321" s="3" t="s">
        <v>644</v>
      </c>
      <c r="B321" t="s">
        <v>644</v>
      </c>
      <c r="C321">
        <f>ROUND(VLOOKUP($A321,Results!$A$2:$I$437,4,FALSE),2)</f>
        <v>40.799999999999997</v>
      </c>
      <c r="D321">
        <f>ROUND(VLOOKUP($A321,Results!$A$2:$I$437,5,FALSE),2)</f>
        <v>59.2</v>
      </c>
      <c r="E321" s="72">
        <f t="shared" si="24"/>
        <v>40.799999999999997</v>
      </c>
      <c r="F321" s="72">
        <f t="shared" si="25"/>
        <v>59.20000000000001</v>
      </c>
      <c r="G321" s="72">
        <f t="shared" si="26"/>
        <v>22.400000000000013</v>
      </c>
      <c r="H321">
        <f>ROUND(VLOOKUP($A321,Results!$A$2:$I$437,6,FALSE),2)</f>
        <v>40.799999999999997</v>
      </c>
      <c r="I321">
        <f>ROUND(VLOOKUP($A321,Results!$A$2:$I$437,7,FALSE),2)</f>
        <v>59.2</v>
      </c>
      <c r="J321" s="72">
        <f t="shared" si="27"/>
        <v>40.799999999999997</v>
      </c>
      <c r="K321" s="72">
        <f t="shared" si="28"/>
        <v>59.20000000000001</v>
      </c>
      <c r="L321" s="72">
        <f t="shared" si="29"/>
        <v>25.700000000000014</v>
      </c>
    </row>
    <row r="322" spans="1:12" x14ac:dyDescent="0.25">
      <c r="A322" s="3" t="s">
        <v>646</v>
      </c>
      <c r="B322" t="s">
        <v>646</v>
      </c>
      <c r="C322">
        <f>ROUND(VLOOKUP($A322,Results!$A$2:$I$437,4,FALSE),2)</f>
        <v>57.3</v>
      </c>
      <c r="D322">
        <f>ROUND(VLOOKUP($A322,Results!$A$2:$I$437,5,FALSE),2)</f>
        <v>40</v>
      </c>
      <c r="E322" s="72">
        <f t="shared" si="24"/>
        <v>58.890030832476867</v>
      </c>
      <c r="F322" s="72">
        <f t="shared" si="25"/>
        <v>41.109969167523126</v>
      </c>
      <c r="G322" s="72">
        <f t="shared" si="26"/>
        <v>-13.780061664953742</v>
      </c>
      <c r="H322">
        <f>ROUND(VLOOKUP($A322,Results!$A$2:$I$437,6,FALSE),2)</f>
        <v>59.6</v>
      </c>
      <c r="I322">
        <f>ROUND(VLOOKUP($A322,Results!$A$2:$I$437,7,FALSE),2)</f>
        <v>37.700000000000003</v>
      </c>
      <c r="J322" s="72">
        <f t="shared" si="27"/>
        <v>61.253854059609445</v>
      </c>
      <c r="K322" s="72">
        <f t="shared" si="28"/>
        <v>38.746145940390541</v>
      </c>
      <c r="L322" s="72">
        <f t="shared" si="29"/>
        <v>-15.207708119218903</v>
      </c>
    </row>
    <row r="323" spans="1:12" x14ac:dyDescent="0.25">
      <c r="A323" s="3" t="s">
        <v>648</v>
      </c>
      <c r="B323" t="s">
        <v>648</v>
      </c>
      <c r="C323">
        <f>ROUND(VLOOKUP($A323,Results!$A$2:$I$437,4,FALSE),2)</f>
        <v>40.5</v>
      </c>
      <c r="D323">
        <f>ROUND(VLOOKUP($A323,Results!$A$2:$I$437,5,FALSE),2)</f>
        <v>56.8</v>
      </c>
      <c r="E323" s="72">
        <f t="shared" si="24"/>
        <v>41.623843782117163</v>
      </c>
      <c r="F323" s="72">
        <f t="shared" si="25"/>
        <v>58.376156217882837</v>
      </c>
      <c r="G323" s="72">
        <f t="shared" si="26"/>
        <v>20.752312435765674</v>
      </c>
      <c r="H323">
        <f>ROUND(VLOOKUP($A323,Results!$A$2:$I$437,6,FALSE),2)</f>
        <v>43.3</v>
      </c>
      <c r="I323">
        <f>ROUND(VLOOKUP($A323,Results!$A$2:$I$437,7,FALSE),2)</f>
        <v>53.8</v>
      </c>
      <c r="J323" s="72">
        <f t="shared" si="27"/>
        <v>44.593202883625125</v>
      </c>
      <c r="K323" s="72">
        <f t="shared" si="28"/>
        <v>55.406797116374875</v>
      </c>
      <c r="L323" s="72">
        <f t="shared" si="29"/>
        <v>18.113594232749751</v>
      </c>
    </row>
    <row r="324" spans="1:12" x14ac:dyDescent="0.25">
      <c r="A324" s="3" t="s">
        <v>650</v>
      </c>
      <c r="B324" t="s">
        <v>650</v>
      </c>
      <c r="C324">
        <f>ROUND(VLOOKUP($A324,Results!$A$2:$I$437,4,FALSE),2)</f>
        <v>72</v>
      </c>
      <c r="D324">
        <f>ROUND(VLOOKUP($A324,Results!$A$2:$I$437,5,FALSE),2)</f>
        <v>24.7</v>
      </c>
      <c r="E324" s="72">
        <f t="shared" ref="E324:E387" si="30">C324/SUM(C324:D324)*100</f>
        <v>74.457083764219234</v>
      </c>
      <c r="F324" s="72">
        <f t="shared" ref="F324:F387" si="31">D324/SUM(C324:D324)*100</f>
        <v>25.542916235780766</v>
      </c>
      <c r="G324" s="72">
        <f t="shared" ref="G324:G387" si="32">F324-E324+4</f>
        <v>-44.914167528438469</v>
      </c>
      <c r="H324">
        <f>ROUND(VLOOKUP($A324,Results!$A$2:$I$437,6,FALSE),2)</f>
        <v>72.900000000000006</v>
      </c>
      <c r="I324">
        <f>ROUND(VLOOKUP($A324,Results!$A$2:$I$437,7,FALSE),2)</f>
        <v>24.3</v>
      </c>
      <c r="J324" s="72">
        <f t="shared" ref="J324:J387" si="33">H324/SUM(H324:I324)*100</f>
        <v>75</v>
      </c>
      <c r="K324" s="72">
        <f t="shared" ref="K324:K387" si="34">I324/SUM(H324:I324)*100</f>
        <v>25</v>
      </c>
      <c r="L324" s="72">
        <f t="shared" ref="L324:L387" si="35">K324-J324+7.3</f>
        <v>-42.7</v>
      </c>
    </row>
    <row r="325" spans="1:12" x14ac:dyDescent="0.25">
      <c r="A325" s="3" t="s">
        <v>652</v>
      </c>
      <c r="B325" t="s">
        <v>652</v>
      </c>
      <c r="C325">
        <f>ROUND(VLOOKUP($A325,Results!$A$2:$I$437,4,FALSE),2)</f>
        <v>51.7</v>
      </c>
      <c r="D325">
        <f>ROUND(VLOOKUP($A325,Results!$A$2:$I$437,5,FALSE),2)</f>
        <v>45</v>
      </c>
      <c r="E325" s="72">
        <f t="shared" si="30"/>
        <v>53.464322647362984</v>
      </c>
      <c r="F325" s="72">
        <f t="shared" si="31"/>
        <v>46.535677352637023</v>
      </c>
      <c r="G325" s="72">
        <f t="shared" si="32"/>
        <v>-2.9286452947259605</v>
      </c>
      <c r="H325">
        <f>ROUND(VLOOKUP($A325,Results!$A$2:$I$437,6,FALSE),2)</f>
        <v>54.2</v>
      </c>
      <c r="I325">
        <f>ROUND(VLOOKUP($A325,Results!$A$2:$I$437,7,FALSE),2)</f>
        <v>42.7</v>
      </c>
      <c r="J325" s="72">
        <f t="shared" si="33"/>
        <v>55.93395252837977</v>
      </c>
      <c r="K325" s="72">
        <f t="shared" si="34"/>
        <v>44.06604747162023</v>
      </c>
      <c r="L325" s="72">
        <f t="shared" si="35"/>
        <v>-4.5679050567595398</v>
      </c>
    </row>
    <row r="326" spans="1:12" x14ac:dyDescent="0.25">
      <c r="A326" s="3" t="s">
        <v>654</v>
      </c>
      <c r="B326" t="s">
        <v>654</v>
      </c>
      <c r="C326">
        <f>ROUND(VLOOKUP($A326,Results!$A$2:$I$437,4,FALSE),2)</f>
        <v>50.5</v>
      </c>
      <c r="D326">
        <f>ROUND(VLOOKUP($A326,Results!$A$2:$I$437,5,FALSE),2)</f>
        <v>47.1</v>
      </c>
      <c r="E326" s="72">
        <f t="shared" si="30"/>
        <v>51.741803278688522</v>
      </c>
      <c r="F326" s="72">
        <f t="shared" si="31"/>
        <v>48.258196721311478</v>
      </c>
      <c r="G326" s="72">
        <f t="shared" si="32"/>
        <v>0.51639344262295594</v>
      </c>
      <c r="H326">
        <f>ROUND(VLOOKUP($A326,Results!$A$2:$I$437,6,FALSE),2)</f>
        <v>53</v>
      </c>
      <c r="I326">
        <f>ROUND(VLOOKUP($A326,Results!$A$2:$I$437,7,FALSE),2)</f>
        <v>44.2</v>
      </c>
      <c r="J326" s="72">
        <f t="shared" si="33"/>
        <v>54.52674897119342</v>
      </c>
      <c r="K326" s="72">
        <f t="shared" si="34"/>
        <v>45.473251028806587</v>
      </c>
      <c r="L326" s="72">
        <f t="shared" si="35"/>
        <v>-1.7534979423868338</v>
      </c>
    </row>
    <row r="327" spans="1:12" x14ac:dyDescent="0.25">
      <c r="A327" s="3" t="s">
        <v>656</v>
      </c>
      <c r="B327" t="s">
        <v>656</v>
      </c>
      <c r="C327">
        <f>ROUND(VLOOKUP($A327,Results!$A$2:$I$437,4,FALSE),2)</f>
        <v>82.3</v>
      </c>
      <c r="D327">
        <f>ROUND(VLOOKUP($A327,Results!$A$2:$I$437,5,FALSE),2)</f>
        <v>16.899999999999999</v>
      </c>
      <c r="E327" s="72">
        <f t="shared" si="30"/>
        <v>82.963709677419359</v>
      </c>
      <c r="F327" s="72">
        <f t="shared" si="31"/>
        <v>17.036290322580648</v>
      </c>
      <c r="G327" s="72">
        <f t="shared" si="32"/>
        <v>-61.927419354838719</v>
      </c>
      <c r="H327">
        <f>ROUND(VLOOKUP($A327,Results!$A$2:$I$437,6,FALSE),2)</f>
        <v>78.7</v>
      </c>
      <c r="I327">
        <f>ROUND(VLOOKUP($A327,Results!$A$2:$I$437,7,FALSE),2)</f>
        <v>20.6</v>
      </c>
      <c r="J327" s="72">
        <f t="shared" si="33"/>
        <v>79.254783484390728</v>
      </c>
      <c r="K327" s="72">
        <f t="shared" si="34"/>
        <v>20.745216515609265</v>
      </c>
      <c r="L327" s="72">
        <f t="shared" si="35"/>
        <v>-51.209566968781466</v>
      </c>
    </row>
    <row r="328" spans="1:12" x14ac:dyDescent="0.25">
      <c r="A328" s="3" t="s">
        <v>658</v>
      </c>
      <c r="B328" t="s">
        <v>658</v>
      </c>
      <c r="C328">
        <f>ROUND(VLOOKUP($A328,Results!$A$2:$I$437,4,FALSE),2)</f>
        <v>90.4</v>
      </c>
      <c r="D328">
        <f>ROUND(VLOOKUP($A328,Results!$A$2:$I$437,5,FALSE),2)</f>
        <v>9</v>
      </c>
      <c r="E328" s="72">
        <f t="shared" si="30"/>
        <v>90.945674044265587</v>
      </c>
      <c r="F328" s="72">
        <f t="shared" si="31"/>
        <v>9.0543259557344058</v>
      </c>
      <c r="G328" s="72">
        <f t="shared" si="32"/>
        <v>-77.891348088531174</v>
      </c>
      <c r="H328">
        <f>ROUND(VLOOKUP($A328,Results!$A$2:$I$437,6,FALSE),2)</f>
        <v>91</v>
      </c>
      <c r="I328">
        <f>ROUND(VLOOKUP($A328,Results!$A$2:$I$437,7,FALSE),2)</f>
        <v>8.8000000000000007</v>
      </c>
      <c r="J328" s="72">
        <f t="shared" si="33"/>
        <v>91.182364729458925</v>
      </c>
      <c r="K328" s="72">
        <f t="shared" si="34"/>
        <v>8.8176352705410821</v>
      </c>
      <c r="L328" s="72">
        <f t="shared" si="35"/>
        <v>-75.064729458917853</v>
      </c>
    </row>
    <row r="329" spans="1:12" x14ac:dyDescent="0.25">
      <c r="A329" s="3" t="s">
        <v>660</v>
      </c>
      <c r="B329" t="s">
        <v>660</v>
      </c>
      <c r="C329">
        <f>ROUND(VLOOKUP($A329,Results!$A$2:$I$437,4,FALSE),2)</f>
        <v>43</v>
      </c>
      <c r="D329">
        <f>ROUND(VLOOKUP($A329,Results!$A$2:$I$437,5,FALSE),2)</f>
        <v>55.6</v>
      </c>
      <c r="E329" s="72">
        <f t="shared" si="30"/>
        <v>43.6105476673428</v>
      </c>
      <c r="F329" s="72">
        <f t="shared" si="31"/>
        <v>56.389452332657207</v>
      </c>
      <c r="G329" s="72">
        <f t="shared" si="32"/>
        <v>16.778904665314407</v>
      </c>
      <c r="H329">
        <f>ROUND(VLOOKUP($A329,Results!$A$2:$I$437,6,FALSE),2)</f>
        <v>46.3</v>
      </c>
      <c r="I329">
        <f>ROUND(VLOOKUP($A329,Results!$A$2:$I$437,7,FALSE),2)</f>
        <v>52.3</v>
      </c>
      <c r="J329" s="72">
        <f t="shared" si="33"/>
        <v>46.957403651115619</v>
      </c>
      <c r="K329" s="72">
        <f t="shared" si="34"/>
        <v>53.042596348884388</v>
      </c>
      <c r="L329" s="72">
        <f t="shared" si="35"/>
        <v>13.385192697768769</v>
      </c>
    </row>
    <row r="330" spans="1:12" x14ac:dyDescent="0.25">
      <c r="A330" s="3" t="s">
        <v>662</v>
      </c>
      <c r="B330" t="s">
        <v>662</v>
      </c>
      <c r="C330">
        <f>ROUND(VLOOKUP($A330,Results!$A$2:$I$437,4,FALSE),2)</f>
        <v>41.5</v>
      </c>
      <c r="D330">
        <f>ROUND(VLOOKUP($A330,Results!$A$2:$I$437,5,FALSE),2)</f>
        <v>57.1</v>
      </c>
      <c r="E330" s="72">
        <f t="shared" si="30"/>
        <v>42.089249492900613</v>
      </c>
      <c r="F330" s="72">
        <f t="shared" si="31"/>
        <v>57.910750507099394</v>
      </c>
      <c r="G330" s="72">
        <f t="shared" si="32"/>
        <v>19.82150101419878</v>
      </c>
      <c r="H330">
        <f>ROUND(VLOOKUP($A330,Results!$A$2:$I$437,6,FALSE),2)</f>
        <v>45.1</v>
      </c>
      <c r="I330">
        <f>ROUND(VLOOKUP($A330,Results!$A$2:$I$437,7,FALSE),2)</f>
        <v>53.8</v>
      </c>
      <c r="J330" s="72">
        <f t="shared" si="33"/>
        <v>45.601617795753285</v>
      </c>
      <c r="K330" s="72">
        <f t="shared" si="34"/>
        <v>54.398382204246708</v>
      </c>
      <c r="L330" s="72">
        <f t="shared" si="35"/>
        <v>16.096764408493424</v>
      </c>
    </row>
    <row r="331" spans="1:12" x14ac:dyDescent="0.25">
      <c r="A331" s="3" t="s">
        <v>664</v>
      </c>
      <c r="B331" t="s">
        <v>664</v>
      </c>
      <c r="C331">
        <f>ROUND(VLOOKUP($A331,Results!$A$2:$I$437,4,FALSE),2)</f>
        <v>41.5</v>
      </c>
      <c r="D331">
        <f>ROUND(VLOOKUP($A331,Results!$A$2:$I$437,5,FALSE),2)</f>
        <v>57.1</v>
      </c>
      <c r="E331" s="72">
        <f t="shared" si="30"/>
        <v>42.089249492900613</v>
      </c>
      <c r="F331" s="72">
        <f t="shared" si="31"/>
        <v>57.910750507099394</v>
      </c>
      <c r="G331" s="72">
        <f t="shared" si="32"/>
        <v>19.82150101419878</v>
      </c>
      <c r="H331">
        <f>ROUND(VLOOKUP($A331,Results!$A$2:$I$437,6,FALSE),2)</f>
        <v>47.1</v>
      </c>
      <c r="I331">
        <f>ROUND(VLOOKUP($A331,Results!$A$2:$I$437,7,FALSE),2)</f>
        <v>51.5</v>
      </c>
      <c r="J331" s="72">
        <f t="shared" si="33"/>
        <v>47.768762677484787</v>
      </c>
      <c r="K331" s="72">
        <f t="shared" si="34"/>
        <v>52.231237322515213</v>
      </c>
      <c r="L331" s="72">
        <f t="shared" si="35"/>
        <v>11.762474645030427</v>
      </c>
    </row>
    <row r="332" spans="1:12" x14ac:dyDescent="0.25">
      <c r="A332" s="3" t="s">
        <v>666</v>
      </c>
      <c r="B332" t="s">
        <v>666</v>
      </c>
      <c r="C332">
        <f>ROUND(VLOOKUP($A332,Results!$A$2:$I$437,4,FALSE),2)</f>
        <v>48.1</v>
      </c>
      <c r="D332">
        <f>ROUND(VLOOKUP($A332,Results!$A$2:$I$437,5,FALSE),2)</f>
        <v>50.6</v>
      </c>
      <c r="E332" s="72">
        <f t="shared" si="30"/>
        <v>48.733535967578526</v>
      </c>
      <c r="F332" s="72">
        <f t="shared" si="31"/>
        <v>51.266464032421474</v>
      </c>
      <c r="G332" s="72">
        <f t="shared" si="32"/>
        <v>6.5329280648429489</v>
      </c>
      <c r="H332">
        <f>ROUND(VLOOKUP($A332,Results!$A$2:$I$437,6,FALSE),2)</f>
        <v>53</v>
      </c>
      <c r="I332">
        <f>ROUND(VLOOKUP($A332,Results!$A$2:$I$437,7,FALSE),2)</f>
        <v>46</v>
      </c>
      <c r="J332" s="72">
        <f t="shared" si="33"/>
        <v>53.535353535353536</v>
      </c>
      <c r="K332" s="72">
        <f t="shared" si="34"/>
        <v>46.464646464646464</v>
      </c>
      <c r="L332" s="72">
        <f t="shared" si="35"/>
        <v>0.22929292929292711</v>
      </c>
    </row>
    <row r="333" spans="1:12" x14ac:dyDescent="0.25">
      <c r="A333" s="3" t="s">
        <v>668</v>
      </c>
      <c r="B333" t="s">
        <v>668</v>
      </c>
      <c r="C333">
        <f>ROUND(VLOOKUP($A333,Results!$A$2:$I$437,4,FALSE),2)</f>
        <v>48.5</v>
      </c>
      <c r="D333">
        <f>ROUND(VLOOKUP($A333,Results!$A$2:$I$437,5,FALSE),2)</f>
        <v>50.4</v>
      </c>
      <c r="E333" s="72">
        <f t="shared" si="30"/>
        <v>49.039433771486344</v>
      </c>
      <c r="F333" s="72">
        <f t="shared" si="31"/>
        <v>50.960566228513649</v>
      </c>
      <c r="G333" s="72">
        <f t="shared" si="32"/>
        <v>5.921132457027305</v>
      </c>
      <c r="H333">
        <f>ROUND(VLOOKUP($A333,Results!$A$2:$I$437,6,FALSE),2)</f>
        <v>51.2</v>
      </c>
      <c r="I333">
        <f>ROUND(VLOOKUP($A333,Results!$A$2:$I$437,7,FALSE),2)</f>
        <v>47.8</v>
      </c>
      <c r="J333" s="72">
        <f t="shared" si="33"/>
        <v>51.717171717171716</v>
      </c>
      <c r="K333" s="72">
        <f t="shared" si="34"/>
        <v>48.282828282828277</v>
      </c>
      <c r="L333" s="72">
        <f t="shared" si="35"/>
        <v>3.8656565656565602</v>
      </c>
    </row>
    <row r="334" spans="1:12" x14ac:dyDescent="0.25">
      <c r="A334" s="3" t="s">
        <v>670</v>
      </c>
      <c r="B334" t="s">
        <v>670</v>
      </c>
      <c r="C334">
        <f>ROUND(VLOOKUP($A334,Results!$A$2:$I$437,4,FALSE),2)</f>
        <v>49.3</v>
      </c>
      <c r="D334">
        <f>ROUND(VLOOKUP($A334,Results!$A$2:$I$437,5,FALSE),2)</f>
        <v>49.4</v>
      </c>
      <c r="E334" s="72">
        <f t="shared" si="30"/>
        <v>49.949341438703144</v>
      </c>
      <c r="F334" s="72">
        <f t="shared" si="31"/>
        <v>50.050658561296871</v>
      </c>
      <c r="G334" s="72">
        <f t="shared" si="32"/>
        <v>4.101317122593727</v>
      </c>
      <c r="H334">
        <f>ROUND(VLOOKUP($A334,Results!$A$2:$I$437,6,FALSE),2)</f>
        <v>53.2</v>
      </c>
      <c r="I334">
        <f>ROUND(VLOOKUP($A334,Results!$A$2:$I$437,7,FALSE),2)</f>
        <v>45.7</v>
      </c>
      <c r="J334" s="72">
        <f t="shared" si="33"/>
        <v>53.791708796764404</v>
      </c>
      <c r="K334" s="72">
        <f t="shared" si="34"/>
        <v>46.208291203235589</v>
      </c>
      <c r="L334" s="72">
        <f t="shared" si="35"/>
        <v>-0.28341759352881457</v>
      </c>
    </row>
    <row r="335" spans="1:12" x14ac:dyDescent="0.25">
      <c r="A335" s="3" t="s">
        <v>672</v>
      </c>
      <c r="B335" t="s">
        <v>672</v>
      </c>
      <c r="C335">
        <f>ROUND(VLOOKUP($A335,Results!$A$2:$I$437,4,FALSE),2)</f>
        <v>35.9</v>
      </c>
      <c r="D335">
        <f>ROUND(VLOOKUP($A335,Results!$A$2:$I$437,5,FALSE),2)</f>
        <v>62.8</v>
      </c>
      <c r="E335" s="72">
        <f t="shared" si="30"/>
        <v>36.372847011144884</v>
      </c>
      <c r="F335" s="72">
        <f t="shared" si="31"/>
        <v>63.627152988855116</v>
      </c>
      <c r="G335" s="72">
        <f t="shared" si="32"/>
        <v>31.254305977710231</v>
      </c>
      <c r="H335">
        <f>ROUND(VLOOKUP($A335,Results!$A$2:$I$437,6,FALSE),2)</f>
        <v>40.9</v>
      </c>
      <c r="I335">
        <f>ROUND(VLOOKUP($A335,Results!$A$2:$I$437,7,FALSE),2)</f>
        <v>57.9</v>
      </c>
      <c r="J335" s="72">
        <f t="shared" si="33"/>
        <v>41.396761133603235</v>
      </c>
      <c r="K335" s="72">
        <f t="shared" si="34"/>
        <v>58.603238866396758</v>
      </c>
      <c r="L335" s="72">
        <f t="shared" si="35"/>
        <v>24.506477732793524</v>
      </c>
    </row>
    <row r="336" spans="1:12" x14ac:dyDescent="0.25">
      <c r="A336" s="3" t="s">
        <v>674</v>
      </c>
      <c r="B336" t="s">
        <v>674</v>
      </c>
      <c r="C336">
        <f>ROUND(VLOOKUP($A336,Results!$A$2:$I$437,4,FALSE),2)</f>
        <v>38.4</v>
      </c>
      <c r="D336">
        <f>ROUND(VLOOKUP($A336,Results!$A$2:$I$437,5,FALSE),2)</f>
        <v>60.1</v>
      </c>
      <c r="E336" s="72">
        <f t="shared" si="30"/>
        <v>38.984771573604057</v>
      </c>
      <c r="F336" s="72">
        <f t="shared" si="31"/>
        <v>61.015228426395943</v>
      </c>
      <c r="G336" s="72">
        <f t="shared" si="32"/>
        <v>26.030456852791886</v>
      </c>
      <c r="H336">
        <f>ROUND(VLOOKUP($A336,Results!$A$2:$I$437,6,FALSE),2)</f>
        <v>42.3</v>
      </c>
      <c r="I336">
        <f>ROUND(VLOOKUP($A336,Results!$A$2:$I$437,7,FALSE),2)</f>
        <v>56.5</v>
      </c>
      <c r="J336" s="72">
        <f t="shared" si="33"/>
        <v>42.813765182186231</v>
      </c>
      <c r="K336" s="72">
        <f t="shared" si="34"/>
        <v>57.186234817813762</v>
      </c>
      <c r="L336" s="72">
        <f t="shared" si="35"/>
        <v>21.672469635627532</v>
      </c>
    </row>
    <row r="337" spans="1:12" x14ac:dyDescent="0.25">
      <c r="A337" s="3" t="s">
        <v>676</v>
      </c>
      <c r="B337" t="s">
        <v>676</v>
      </c>
      <c r="C337">
        <f>ROUND(VLOOKUP($A337,Results!$A$2:$I$437,4,FALSE),2)</f>
        <v>44.5</v>
      </c>
      <c r="D337">
        <f>ROUND(VLOOKUP($A337,Results!$A$2:$I$437,5,FALSE),2)</f>
        <v>53.9</v>
      </c>
      <c r="E337" s="72">
        <f t="shared" si="30"/>
        <v>45.223577235772353</v>
      </c>
      <c r="F337" s="72">
        <f t="shared" si="31"/>
        <v>54.77642276422764</v>
      </c>
      <c r="G337" s="72">
        <f t="shared" si="32"/>
        <v>13.552845528455286</v>
      </c>
      <c r="H337">
        <f>ROUND(VLOOKUP($A337,Results!$A$2:$I$437,6,FALSE),2)</f>
        <v>47.1</v>
      </c>
      <c r="I337">
        <f>ROUND(VLOOKUP($A337,Results!$A$2:$I$437,7,FALSE),2)</f>
        <v>51.7</v>
      </c>
      <c r="J337" s="72">
        <f t="shared" si="33"/>
        <v>47.672064777327932</v>
      </c>
      <c r="K337" s="72">
        <f t="shared" si="34"/>
        <v>52.32793522267206</v>
      </c>
      <c r="L337" s="72">
        <f t="shared" si="35"/>
        <v>11.955870445344129</v>
      </c>
    </row>
    <row r="338" spans="1:12" x14ac:dyDescent="0.25">
      <c r="A338" s="3" t="s">
        <v>678</v>
      </c>
      <c r="B338" t="s">
        <v>678</v>
      </c>
      <c r="C338">
        <f>ROUND(VLOOKUP($A338,Results!$A$2:$I$437,4,FALSE),2)</f>
        <v>40.9</v>
      </c>
      <c r="D338">
        <f>ROUND(VLOOKUP($A338,Results!$A$2:$I$437,5,FALSE),2)</f>
        <v>57.8</v>
      </c>
      <c r="E338" s="72">
        <f t="shared" si="30"/>
        <v>41.438703140830803</v>
      </c>
      <c r="F338" s="72">
        <f t="shared" si="31"/>
        <v>58.561296859169197</v>
      </c>
      <c r="G338" s="72">
        <f t="shared" si="32"/>
        <v>21.122593718338393</v>
      </c>
      <c r="H338">
        <f>ROUND(VLOOKUP($A338,Results!$A$2:$I$437,6,FALSE),2)</f>
        <v>44.7</v>
      </c>
      <c r="I338">
        <f>ROUND(VLOOKUP($A338,Results!$A$2:$I$437,7,FALSE),2)</f>
        <v>54.1</v>
      </c>
      <c r="J338" s="72">
        <f t="shared" si="33"/>
        <v>45.242914979757082</v>
      </c>
      <c r="K338" s="72">
        <f t="shared" si="34"/>
        <v>54.757085020242911</v>
      </c>
      <c r="L338" s="72">
        <f t="shared" si="35"/>
        <v>16.814170040485831</v>
      </c>
    </row>
    <row r="339" spans="1:12" x14ac:dyDescent="0.25">
      <c r="A339" s="3" t="s">
        <v>680</v>
      </c>
      <c r="B339" t="s">
        <v>680</v>
      </c>
      <c r="C339">
        <f>ROUND(VLOOKUP($A339,Results!$A$2:$I$437,4,FALSE),2)</f>
        <v>66.2</v>
      </c>
      <c r="D339">
        <f>ROUND(VLOOKUP($A339,Results!$A$2:$I$437,5,FALSE),2)</f>
        <v>32.9</v>
      </c>
      <c r="E339" s="72">
        <f t="shared" si="30"/>
        <v>66.801210898082758</v>
      </c>
      <c r="F339" s="72">
        <f t="shared" si="31"/>
        <v>33.198789101917257</v>
      </c>
      <c r="G339" s="72">
        <f t="shared" si="32"/>
        <v>-29.602421796165501</v>
      </c>
      <c r="H339">
        <f>ROUND(VLOOKUP($A339,Results!$A$2:$I$437,6,FALSE),2)</f>
        <v>65.400000000000006</v>
      </c>
      <c r="I339">
        <f>ROUND(VLOOKUP($A339,Results!$A$2:$I$437,7,FALSE),2)</f>
        <v>33.700000000000003</v>
      </c>
      <c r="J339" s="72">
        <f t="shared" si="33"/>
        <v>65.993945509586268</v>
      </c>
      <c r="K339" s="72">
        <f t="shared" si="34"/>
        <v>34.006054490413725</v>
      </c>
      <c r="L339" s="72">
        <f t="shared" si="35"/>
        <v>-24.687891019172543</v>
      </c>
    </row>
    <row r="340" spans="1:12" x14ac:dyDescent="0.25">
      <c r="A340" s="3" t="s">
        <v>682</v>
      </c>
      <c r="B340" t="s">
        <v>682</v>
      </c>
      <c r="C340">
        <f>ROUND(VLOOKUP($A340,Results!$A$2:$I$437,4,FALSE),2)</f>
        <v>68</v>
      </c>
      <c r="D340">
        <f>ROUND(VLOOKUP($A340,Results!$A$2:$I$437,5,FALSE),2)</f>
        <v>30.6</v>
      </c>
      <c r="E340" s="72">
        <f t="shared" si="30"/>
        <v>68.965517241379317</v>
      </c>
      <c r="F340" s="72">
        <f t="shared" si="31"/>
        <v>31.03448275862069</v>
      </c>
      <c r="G340" s="72">
        <f t="shared" si="32"/>
        <v>-33.931034482758626</v>
      </c>
      <c r="H340">
        <f>ROUND(VLOOKUP($A340,Results!$A$2:$I$437,6,FALSE),2)</f>
        <v>67</v>
      </c>
      <c r="I340">
        <f>ROUND(VLOOKUP($A340,Results!$A$2:$I$437,7,FALSE),2)</f>
        <v>32</v>
      </c>
      <c r="J340" s="72">
        <f t="shared" si="33"/>
        <v>67.676767676767682</v>
      </c>
      <c r="K340" s="72">
        <f t="shared" si="34"/>
        <v>32.323232323232325</v>
      </c>
      <c r="L340" s="72">
        <f t="shared" si="35"/>
        <v>-28.053535353535356</v>
      </c>
    </row>
    <row r="341" spans="1:12" x14ac:dyDescent="0.25">
      <c r="A341" s="3" t="s">
        <v>684</v>
      </c>
      <c r="B341" t="s">
        <v>684</v>
      </c>
      <c r="C341">
        <f>ROUND(VLOOKUP($A341,Results!$A$2:$I$437,4,FALSE),2)</f>
        <v>47.9</v>
      </c>
      <c r="D341">
        <f>ROUND(VLOOKUP($A341,Results!$A$2:$I$437,5,FALSE),2)</f>
        <v>50.8</v>
      </c>
      <c r="E341" s="72">
        <f t="shared" si="30"/>
        <v>48.530901722391093</v>
      </c>
      <c r="F341" s="72">
        <f t="shared" si="31"/>
        <v>51.469098277608914</v>
      </c>
      <c r="G341" s="72">
        <f t="shared" si="32"/>
        <v>6.9381965552178215</v>
      </c>
      <c r="H341">
        <f>ROUND(VLOOKUP($A341,Results!$A$2:$I$437,6,FALSE),2)</f>
        <v>52.1</v>
      </c>
      <c r="I341">
        <f>ROUND(VLOOKUP($A341,Results!$A$2:$I$437,7,FALSE),2)</f>
        <v>46.6</v>
      </c>
      <c r="J341" s="72">
        <f t="shared" si="33"/>
        <v>52.786220871327252</v>
      </c>
      <c r="K341" s="72">
        <f t="shared" si="34"/>
        <v>47.213779128672748</v>
      </c>
      <c r="L341" s="72">
        <f t="shared" si="35"/>
        <v>1.7275582573454953</v>
      </c>
    </row>
    <row r="342" spans="1:12" x14ac:dyDescent="0.25">
      <c r="A342" s="3" t="s">
        <v>686</v>
      </c>
      <c r="B342" t="s">
        <v>686</v>
      </c>
      <c r="C342">
        <f>ROUND(VLOOKUP($A342,Results!$A$2:$I$437,4,FALSE),2)</f>
        <v>46.3</v>
      </c>
      <c r="D342">
        <f>ROUND(VLOOKUP($A342,Results!$A$2:$I$437,5,FALSE),2)</f>
        <v>52.4</v>
      </c>
      <c r="E342" s="72">
        <f t="shared" si="30"/>
        <v>46.909827760891595</v>
      </c>
      <c r="F342" s="72">
        <f t="shared" si="31"/>
        <v>53.090172239108412</v>
      </c>
      <c r="G342" s="72">
        <f t="shared" si="32"/>
        <v>10.180344478216817</v>
      </c>
      <c r="H342">
        <f>ROUND(VLOOKUP($A342,Results!$A$2:$I$437,6,FALSE),2)</f>
        <v>50.1</v>
      </c>
      <c r="I342">
        <f>ROUND(VLOOKUP($A342,Results!$A$2:$I$437,7,FALSE),2)</f>
        <v>49</v>
      </c>
      <c r="J342" s="72">
        <f t="shared" si="33"/>
        <v>50.554994954591322</v>
      </c>
      <c r="K342" s="72">
        <f t="shared" si="34"/>
        <v>49.445005045408678</v>
      </c>
      <c r="L342" s="72">
        <f t="shared" si="35"/>
        <v>6.1900100908173554</v>
      </c>
    </row>
    <row r="343" spans="1:12" x14ac:dyDescent="0.25">
      <c r="A343" s="3" t="s">
        <v>688</v>
      </c>
      <c r="B343" t="s">
        <v>688</v>
      </c>
      <c r="C343">
        <f>ROUND(VLOOKUP($A343,Results!$A$2:$I$437,4,FALSE),2)</f>
        <v>55.4</v>
      </c>
      <c r="D343">
        <f>ROUND(VLOOKUP($A343,Results!$A$2:$I$437,5,FALSE),2)</f>
        <v>43.3</v>
      </c>
      <c r="E343" s="72">
        <f t="shared" si="30"/>
        <v>56.129685916919968</v>
      </c>
      <c r="F343" s="72">
        <f t="shared" si="31"/>
        <v>43.870314083080039</v>
      </c>
      <c r="G343" s="72">
        <f t="shared" si="32"/>
        <v>-8.2593718338399285</v>
      </c>
      <c r="H343">
        <f>ROUND(VLOOKUP($A343,Results!$A$2:$I$437,6,FALSE),2)</f>
        <v>56.9</v>
      </c>
      <c r="I343">
        <f>ROUND(VLOOKUP($A343,Results!$A$2:$I$437,7,FALSE),2)</f>
        <v>41.9</v>
      </c>
      <c r="J343" s="72">
        <f t="shared" si="33"/>
        <v>57.59109311740891</v>
      </c>
      <c r="K343" s="72">
        <f t="shared" si="34"/>
        <v>42.40890688259109</v>
      </c>
      <c r="L343" s="72">
        <f t="shared" si="35"/>
        <v>-7.8821862348178202</v>
      </c>
    </row>
    <row r="344" spans="1:12" x14ac:dyDescent="0.25">
      <c r="A344" s="3" t="s">
        <v>690</v>
      </c>
      <c r="B344" t="s">
        <v>690</v>
      </c>
      <c r="C344">
        <f>ROUND(VLOOKUP($A344,Results!$A$2:$I$437,4,FALSE),2)</f>
        <v>41</v>
      </c>
      <c r="D344">
        <f>ROUND(VLOOKUP($A344,Results!$A$2:$I$437,5,FALSE),2)</f>
        <v>57.9</v>
      </c>
      <c r="E344" s="72">
        <f t="shared" si="30"/>
        <v>41.456016177957537</v>
      </c>
      <c r="F344" s="72">
        <f t="shared" si="31"/>
        <v>58.543983822042463</v>
      </c>
      <c r="G344" s="72">
        <f t="shared" si="32"/>
        <v>21.087967644084927</v>
      </c>
      <c r="H344">
        <f>ROUND(VLOOKUP($A344,Results!$A$2:$I$437,6,FALSE),2)</f>
        <v>43.8</v>
      </c>
      <c r="I344">
        <f>ROUND(VLOOKUP($A344,Results!$A$2:$I$437,7,FALSE),2)</f>
        <v>55.2</v>
      </c>
      <c r="J344" s="72">
        <f t="shared" si="33"/>
        <v>44.242424242424235</v>
      </c>
      <c r="K344" s="72">
        <f t="shared" si="34"/>
        <v>55.757575757575765</v>
      </c>
      <c r="L344" s="72">
        <f t="shared" si="35"/>
        <v>18.815151515151531</v>
      </c>
    </row>
    <row r="345" spans="1:12" x14ac:dyDescent="0.25">
      <c r="A345" s="3" t="s">
        <v>692</v>
      </c>
      <c r="B345" t="s">
        <v>692</v>
      </c>
      <c r="C345">
        <f>ROUND(VLOOKUP($A345,Results!$A$2:$I$437,4,FALSE),2)</f>
        <v>66.2</v>
      </c>
      <c r="D345">
        <f>ROUND(VLOOKUP($A345,Results!$A$2:$I$437,5,FALSE),2)</f>
        <v>32.200000000000003</v>
      </c>
      <c r="E345" s="72">
        <f t="shared" si="30"/>
        <v>67.276422764227632</v>
      </c>
      <c r="F345" s="72">
        <f t="shared" si="31"/>
        <v>32.72357723577236</v>
      </c>
      <c r="G345" s="72">
        <f t="shared" si="32"/>
        <v>-30.552845528455272</v>
      </c>
      <c r="H345">
        <f>ROUND(VLOOKUP($A345,Results!$A$2:$I$437,6,FALSE),2)</f>
        <v>66.599999999999994</v>
      </c>
      <c r="I345">
        <f>ROUND(VLOOKUP($A345,Results!$A$2:$I$437,7,FALSE),2)</f>
        <v>31.8</v>
      </c>
      <c r="J345" s="72">
        <f t="shared" si="33"/>
        <v>67.682926829268297</v>
      </c>
      <c r="K345" s="72">
        <f t="shared" si="34"/>
        <v>32.31707317073171</v>
      </c>
      <c r="L345" s="72">
        <f t="shared" si="35"/>
        <v>-28.065853658536586</v>
      </c>
    </row>
    <row r="346" spans="1:12" x14ac:dyDescent="0.25">
      <c r="A346" s="3" t="s">
        <v>694</v>
      </c>
      <c r="B346" t="s">
        <v>694</v>
      </c>
      <c r="C346">
        <f>ROUND(VLOOKUP($A346,Results!$A$2:$I$437,4,FALSE),2)</f>
        <v>59.8</v>
      </c>
      <c r="D346">
        <f>ROUND(VLOOKUP($A346,Results!$A$2:$I$437,5,FALSE),2)</f>
        <v>38.299999999999997</v>
      </c>
      <c r="E346" s="72">
        <f t="shared" si="30"/>
        <v>60.95820591233435</v>
      </c>
      <c r="F346" s="72">
        <f t="shared" si="31"/>
        <v>39.04179408766565</v>
      </c>
      <c r="G346" s="72">
        <f t="shared" si="32"/>
        <v>-17.9164118246687</v>
      </c>
      <c r="H346">
        <f>ROUND(VLOOKUP($A346,Results!$A$2:$I$437,6,FALSE),2)</f>
        <v>59.9</v>
      </c>
      <c r="I346">
        <f>ROUND(VLOOKUP($A346,Results!$A$2:$I$437,7,FALSE),2)</f>
        <v>38.299999999999997</v>
      </c>
      <c r="J346" s="72">
        <f t="shared" si="33"/>
        <v>60.997963340122205</v>
      </c>
      <c r="K346" s="72">
        <f t="shared" si="34"/>
        <v>39.002036659877803</v>
      </c>
      <c r="L346" s="72">
        <f t="shared" si="35"/>
        <v>-14.695926680244401</v>
      </c>
    </row>
    <row r="347" spans="1:12" x14ac:dyDescent="0.25">
      <c r="A347" s="3" t="s">
        <v>696</v>
      </c>
      <c r="B347" t="s">
        <v>696</v>
      </c>
      <c r="C347">
        <f>ROUND(VLOOKUP($A347,Results!$A$2:$I$437,4,FALSE),2)</f>
        <v>40.200000000000003</v>
      </c>
      <c r="D347">
        <f>ROUND(VLOOKUP($A347,Results!$A$2:$I$437,5,FALSE),2)</f>
        <v>58.3</v>
      </c>
      <c r="E347" s="72">
        <f t="shared" si="30"/>
        <v>40.812182741116757</v>
      </c>
      <c r="F347" s="72">
        <f t="shared" si="31"/>
        <v>59.187817258883243</v>
      </c>
      <c r="G347" s="72">
        <f t="shared" si="32"/>
        <v>22.375634517766485</v>
      </c>
      <c r="H347">
        <f>ROUND(VLOOKUP($A347,Results!$A$2:$I$437,6,FALSE),2)</f>
        <v>42.7</v>
      </c>
      <c r="I347">
        <f>ROUND(VLOOKUP($A347,Results!$A$2:$I$437,7,FALSE),2)</f>
        <v>56.1</v>
      </c>
      <c r="J347" s="72">
        <f t="shared" si="33"/>
        <v>43.218623481781378</v>
      </c>
      <c r="K347" s="72">
        <f t="shared" si="34"/>
        <v>56.781376518218622</v>
      </c>
      <c r="L347" s="72">
        <f t="shared" si="35"/>
        <v>20.862753036437244</v>
      </c>
    </row>
    <row r="348" spans="1:12" x14ac:dyDescent="0.25">
      <c r="A348" s="3" t="s">
        <v>698</v>
      </c>
      <c r="B348" t="s">
        <v>698</v>
      </c>
      <c r="C348">
        <f>ROUND(VLOOKUP($A348,Results!$A$2:$I$437,4,FALSE),2)</f>
        <v>39.4</v>
      </c>
      <c r="D348">
        <f>ROUND(VLOOKUP($A348,Results!$A$2:$I$437,5,FALSE),2)</f>
        <v>59.1</v>
      </c>
      <c r="E348" s="72">
        <f t="shared" si="30"/>
        <v>40</v>
      </c>
      <c r="F348" s="72">
        <f t="shared" si="31"/>
        <v>60</v>
      </c>
      <c r="G348" s="72">
        <f t="shared" si="32"/>
        <v>24</v>
      </c>
      <c r="H348">
        <f>ROUND(VLOOKUP($A348,Results!$A$2:$I$437,6,FALSE),2)</f>
        <v>39.4</v>
      </c>
      <c r="I348">
        <f>ROUND(VLOOKUP($A348,Results!$A$2:$I$437,7,FALSE),2)</f>
        <v>59.5</v>
      </c>
      <c r="J348" s="72">
        <f t="shared" si="33"/>
        <v>39.838220424671384</v>
      </c>
      <c r="K348" s="72">
        <f t="shared" si="34"/>
        <v>60.161779575328609</v>
      </c>
      <c r="L348" s="72">
        <f t="shared" si="35"/>
        <v>27.623559150657226</v>
      </c>
    </row>
    <row r="349" spans="1:12" x14ac:dyDescent="0.25">
      <c r="A349" s="3" t="s">
        <v>700</v>
      </c>
      <c r="B349" t="s">
        <v>700</v>
      </c>
      <c r="C349">
        <f>ROUND(VLOOKUP($A349,Results!$A$2:$I$437,4,FALSE),2)</f>
        <v>33.9</v>
      </c>
      <c r="D349">
        <f>ROUND(VLOOKUP($A349,Results!$A$2:$I$437,5,FALSE),2)</f>
        <v>64.5</v>
      </c>
      <c r="E349" s="72">
        <f t="shared" si="30"/>
        <v>34.451219512195117</v>
      </c>
      <c r="F349" s="72">
        <f t="shared" si="31"/>
        <v>65.548780487804876</v>
      </c>
      <c r="G349" s="72">
        <f t="shared" si="32"/>
        <v>35.09756097560976</v>
      </c>
      <c r="H349">
        <f>ROUND(VLOOKUP($A349,Results!$A$2:$I$437,6,FALSE),2)</f>
        <v>35.1</v>
      </c>
      <c r="I349">
        <f>ROUND(VLOOKUP($A349,Results!$A$2:$I$437,7,FALSE),2)</f>
        <v>63.5</v>
      </c>
      <c r="J349" s="72">
        <f t="shared" si="33"/>
        <v>35.598377281947265</v>
      </c>
      <c r="K349" s="72">
        <f t="shared" si="34"/>
        <v>64.401622718052749</v>
      </c>
      <c r="L349" s="72">
        <f t="shared" si="35"/>
        <v>36.103245436105482</v>
      </c>
    </row>
    <row r="350" spans="1:12" x14ac:dyDescent="0.25">
      <c r="A350" s="3" t="s">
        <v>702</v>
      </c>
      <c r="B350" t="s">
        <v>702</v>
      </c>
      <c r="C350">
        <f>ROUND(VLOOKUP($A350,Results!$A$2:$I$437,4,FALSE),2)</f>
        <v>36.200000000000003</v>
      </c>
      <c r="D350">
        <f>ROUND(VLOOKUP($A350,Results!$A$2:$I$437,5,FALSE),2)</f>
        <v>62.2</v>
      </c>
      <c r="E350" s="72">
        <f t="shared" si="30"/>
        <v>36.788617886178862</v>
      </c>
      <c r="F350" s="72">
        <f t="shared" si="31"/>
        <v>63.211382113821138</v>
      </c>
      <c r="G350" s="72">
        <f t="shared" si="32"/>
        <v>30.422764227642276</v>
      </c>
      <c r="H350">
        <f>ROUND(VLOOKUP($A350,Results!$A$2:$I$437,6,FALSE),2)</f>
        <v>37.700000000000003</v>
      </c>
      <c r="I350">
        <f>ROUND(VLOOKUP($A350,Results!$A$2:$I$437,7,FALSE),2)</f>
        <v>60.6</v>
      </c>
      <c r="J350" s="72">
        <f t="shared" si="33"/>
        <v>38.35198372329603</v>
      </c>
      <c r="K350" s="72">
        <f t="shared" si="34"/>
        <v>61.648016276703963</v>
      </c>
      <c r="L350" s="72">
        <f t="shared" si="35"/>
        <v>30.596032553407934</v>
      </c>
    </row>
    <row r="351" spans="1:12" x14ac:dyDescent="0.25">
      <c r="A351" s="3" t="s">
        <v>704</v>
      </c>
      <c r="B351" t="s">
        <v>704</v>
      </c>
      <c r="C351">
        <f>ROUND(VLOOKUP($A351,Results!$A$2:$I$437,4,FALSE),2)</f>
        <v>43.6</v>
      </c>
      <c r="D351">
        <f>ROUND(VLOOKUP($A351,Results!$A$2:$I$437,5,FALSE),2)</f>
        <v>55.1</v>
      </c>
      <c r="E351" s="72">
        <f t="shared" si="30"/>
        <v>44.174265450861192</v>
      </c>
      <c r="F351" s="72">
        <f t="shared" si="31"/>
        <v>55.825734549138808</v>
      </c>
      <c r="G351" s="72">
        <f t="shared" si="32"/>
        <v>15.651469098277616</v>
      </c>
      <c r="H351">
        <f>ROUND(VLOOKUP($A351,Results!$A$2:$I$437,6,FALSE),2)</f>
        <v>43.8</v>
      </c>
      <c r="I351">
        <f>ROUND(VLOOKUP($A351,Results!$A$2:$I$437,7,FALSE),2)</f>
        <v>55</v>
      </c>
      <c r="J351" s="72">
        <f t="shared" si="33"/>
        <v>44.33198380566801</v>
      </c>
      <c r="K351" s="72">
        <f t="shared" si="34"/>
        <v>55.668016194331983</v>
      </c>
      <c r="L351" s="72">
        <f t="shared" si="35"/>
        <v>18.636032388663974</v>
      </c>
    </row>
    <row r="352" spans="1:12" x14ac:dyDescent="0.25">
      <c r="A352" s="3" t="s">
        <v>706</v>
      </c>
      <c r="B352" t="s">
        <v>706</v>
      </c>
      <c r="C352">
        <f>ROUND(VLOOKUP($A352,Results!$A$2:$I$437,4,FALSE),2)</f>
        <v>70.900000000000006</v>
      </c>
      <c r="D352">
        <f>ROUND(VLOOKUP($A352,Results!$A$2:$I$437,5,FALSE),2)</f>
        <v>28.1</v>
      </c>
      <c r="E352" s="72">
        <f t="shared" si="30"/>
        <v>71.616161616161619</v>
      </c>
      <c r="F352" s="72">
        <f t="shared" si="31"/>
        <v>28.383838383838384</v>
      </c>
      <c r="G352" s="72">
        <f t="shared" si="32"/>
        <v>-39.232323232323239</v>
      </c>
      <c r="H352">
        <f>ROUND(VLOOKUP($A352,Results!$A$2:$I$437,6,FALSE),2)</f>
        <v>70.099999999999994</v>
      </c>
      <c r="I352">
        <f>ROUND(VLOOKUP($A352,Results!$A$2:$I$437,7,FALSE),2)</f>
        <v>28.9</v>
      </c>
      <c r="J352" s="72">
        <f t="shared" si="33"/>
        <v>70.808080808080803</v>
      </c>
      <c r="K352" s="72">
        <f t="shared" si="34"/>
        <v>29.19191919191919</v>
      </c>
      <c r="L352" s="72">
        <f t="shared" si="35"/>
        <v>-34.316161616161615</v>
      </c>
    </row>
    <row r="353" spans="1:12" x14ac:dyDescent="0.25">
      <c r="A353" s="3" t="s">
        <v>708</v>
      </c>
      <c r="B353" t="s">
        <v>708</v>
      </c>
      <c r="C353">
        <f>ROUND(VLOOKUP($A353,Results!$A$2:$I$437,4,FALSE),2)</f>
        <v>44.4</v>
      </c>
      <c r="D353">
        <f>ROUND(VLOOKUP($A353,Results!$A$2:$I$437,5,FALSE),2)</f>
        <v>54.5</v>
      </c>
      <c r="E353" s="72">
        <f t="shared" si="30"/>
        <v>44.893832153690596</v>
      </c>
      <c r="F353" s="72">
        <f t="shared" si="31"/>
        <v>55.106167846309397</v>
      </c>
      <c r="G353" s="72">
        <f t="shared" si="32"/>
        <v>14.212335692618801</v>
      </c>
      <c r="H353">
        <f>ROUND(VLOOKUP($A353,Results!$A$2:$I$437,6,FALSE),2)</f>
        <v>45.3</v>
      </c>
      <c r="I353">
        <f>ROUND(VLOOKUP($A353,Results!$A$2:$I$437,7,FALSE),2)</f>
        <v>53.6</v>
      </c>
      <c r="J353" s="72">
        <f t="shared" si="33"/>
        <v>45.803842264914046</v>
      </c>
      <c r="K353" s="72">
        <f t="shared" si="34"/>
        <v>54.196157735085947</v>
      </c>
      <c r="L353" s="72">
        <f t="shared" si="35"/>
        <v>15.692315470171902</v>
      </c>
    </row>
    <row r="354" spans="1:12" x14ac:dyDescent="0.25">
      <c r="A354" s="3" t="s">
        <v>710</v>
      </c>
      <c r="B354" t="s">
        <v>1176</v>
      </c>
      <c r="C354">
        <f>ROUND(VLOOKUP($A354,Results!$A$2:$I$437,4,FALSE),2)</f>
        <v>39.9</v>
      </c>
      <c r="D354">
        <f>ROUND(VLOOKUP($A354,Results!$A$2:$I$437,5,FALSE),2)</f>
        <v>57.9</v>
      </c>
      <c r="E354" s="72">
        <f t="shared" si="30"/>
        <v>40.797546012269933</v>
      </c>
      <c r="F354" s="72">
        <f t="shared" si="31"/>
        <v>59.202453987730067</v>
      </c>
      <c r="G354" s="72">
        <f t="shared" si="32"/>
        <v>22.404907975460134</v>
      </c>
      <c r="H354">
        <f>ROUND(VLOOKUP($A354,Results!$A$2:$I$437,6,FALSE),2)</f>
        <v>44.7</v>
      </c>
      <c r="I354">
        <f>ROUND(VLOOKUP($A354,Results!$A$2:$I$437,7,FALSE),2)</f>
        <v>53.2</v>
      </c>
      <c r="J354" s="72">
        <f t="shared" si="33"/>
        <v>45.658835546475999</v>
      </c>
      <c r="K354" s="72">
        <f t="shared" si="34"/>
        <v>54.341164453524001</v>
      </c>
      <c r="L354" s="72">
        <f t="shared" si="35"/>
        <v>15.982328907048004</v>
      </c>
    </row>
    <row r="355" spans="1:12" x14ac:dyDescent="0.25">
      <c r="A355" s="3" t="s">
        <v>712</v>
      </c>
      <c r="B355" t="s">
        <v>712</v>
      </c>
      <c r="C355">
        <f>ROUND(VLOOKUP($A355,Results!$A$2:$I$437,4,FALSE),2)</f>
        <v>25.7</v>
      </c>
      <c r="D355">
        <f>ROUND(VLOOKUP($A355,Results!$A$2:$I$437,5,FALSE),2)</f>
        <v>72.7</v>
      </c>
      <c r="E355" s="72">
        <f t="shared" si="30"/>
        <v>26.117886178861788</v>
      </c>
      <c r="F355" s="72">
        <f t="shared" si="31"/>
        <v>73.882113821138205</v>
      </c>
      <c r="G355" s="72">
        <f t="shared" si="32"/>
        <v>51.764227642276417</v>
      </c>
      <c r="H355">
        <f>ROUND(VLOOKUP($A355,Results!$A$2:$I$437,6,FALSE),2)</f>
        <v>28.6</v>
      </c>
      <c r="I355">
        <f>ROUND(VLOOKUP($A355,Results!$A$2:$I$437,7,FALSE),2)</f>
        <v>69.900000000000006</v>
      </c>
      <c r="J355" s="72">
        <f t="shared" si="33"/>
        <v>29.035532994923859</v>
      </c>
      <c r="K355" s="72">
        <f t="shared" si="34"/>
        <v>70.964467005076145</v>
      </c>
      <c r="L355" s="72">
        <f t="shared" si="35"/>
        <v>49.228934010152287</v>
      </c>
    </row>
    <row r="356" spans="1:12" x14ac:dyDescent="0.25">
      <c r="A356" s="3" t="s">
        <v>714</v>
      </c>
      <c r="B356" t="s">
        <v>714</v>
      </c>
      <c r="C356">
        <f>ROUND(VLOOKUP($A356,Results!$A$2:$I$437,4,FALSE),2)</f>
        <v>30.9</v>
      </c>
      <c r="D356">
        <f>ROUND(VLOOKUP($A356,Results!$A$2:$I$437,5,FALSE),2)</f>
        <v>67.3</v>
      </c>
      <c r="E356" s="72">
        <f t="shared" si="30"/>
        <v>31.466395112016293</v>
      </c>
      <c r="F356" s="72">
        <f t="shared" si="31"/>
        <v>68.533604887983714</v>
      </c>
      <c r="G356" s="72">
        <f t="shared" si="32"/>
        <v>41.06720977596742</v>
      </c>
      <c r="H356">
        <f>ROUND(VLOOKUP($A356,Results!$A$2:$I$437,6,FALSE),2)</f>
        <v>34.5</v>
      </c>
      <c r="I356">
        <f>ROUND(VLOOKUP($A356,Results!$A$2:$I$437,7,FALSE),2)</f>
        <v>64</v>
      </c>
      <c r="J356" s="72">
        <f t="shared" si="33"/>
        <v>35.025380710659896</v>
      </c>
      <c r="K356" s="72">
        <f t="shared" si="34"/>
        <v>64.974619289340097</v>
      </c>
      <c r="L356" s="72">
        <f t="shared" si="35"/>
        <v>37.249238578680199</v>
      </c>
    </row>
    <row r="357" spans="1:12" x14ac:dyDescent="0.25">
      <c r="A357" s="3" t="s">
        <v>716</v>
      </c>
      <c r="B357" t="s">
        <v>716</v>
      </c>
      <c r="C357">
        <f>ROUND(VLOOKUP($A357,Results!$A$2:$I$437,4,FALSE),2)</f>
        <v>35.1</v>
      </c>
      <c r="D357">
        <f>ROUND(VLOOKUP($A357,Results!$A$2:$I$437,5,FALSE),2)</f>
        <v>63.3</v>
      </c>
      <c r="E357" s="72">
        <f t="shared" si="30"/>
        <v>35.670731707317074</v>
      </c>
      <c r="F357" s="72">
        <f t="shared" si="31"/>
        <v>64.329268292682912</v>
      </c>
      <c r="G357" s="72">
        <f t="shared" si="32"/>
        <v>32.658536585365837</v>
      </c>
      <c r="H357">
        <f>ROUND(VLOOKUP($A357,Results!$A$2:$I$437,6,FALSE),2)</f>
        <v>37.299999999999997</v>
      </c>
      <c r="I357">
        <f>ROUND(VLOOKUP($A357,Results!$A$2:$I$437,7,FALSE),2)</f>
        <v>61.3</v>
      </c>
      <c r="J357" s="72">
        <f t="shared" si="33"/>
        <v>37.829614604462478</v>
      </c>
      <c r="K357" s="72">
        <f t="shared" si="34"/>
        <v>62.170385395537529</v>
      </c>
      <c r="L357" s="72">
        <f t="shared" si="35"/>
        <v>31.640770791075052</v>
      </c>
    </row>
    <row r="358" spans="1:12" x14ac:dyDescent="0.25">
      <c r="A358" s="3" t="s">
        <v>718</v>
      </c>
      <c r="B358" t="s">
        <v>718</v>
      </c>
      <c r="C358">
        <f>ROUND(VLOOKUP($A358,Results!$A$2:$I$437,4,FALSE),2)</f>
        <v>33.1</v>
      </c>
      <c r="D358">
        <f>ROUND(VLOOKUP($A358,Results!$A$2:$I$437,5,FALSE),2)</f>
        <v>65.3</v>
      </c>
      <c r="E358" s="72">
        <f t="shared" si="30"/>
        <v>33.638211382113816</v>
      </c>
      <c r="F358" s="72">
        <f t="shared" si="31"/>
        <v>66.361788617886177</v>
      </c>
      <c r="G358" s="72">
        <f t="shared" si="32"/>
        <v>36.72357723577236</v>
      </c>
      <c r="H358">
        <f>ROUND(VLOOKUP($A358,Results!$A$2:$I$437,6,FALSE),2)</f>
        <v>35.799999999999997</v>
      </c>
      <c r="I358">
        <f>ROUND(VLOOKUP($A358,Results!$A$2:$I$437,7,FALSE),2)</f>
        <v>62.6</v>
      </c>
      <c r="J358" s="72">
        <f t="shared" si="33"/>
        <v>36.382113821138205</v>
      </c>
      <c r="K358" s="72">
        <f t="shared" si="34"/>
        <v>63.617886178861781</v>
      </c>
      <c r="L358" s="72">
        <f t="shared" si="35"/>
        <v>34.535772357723573</v>
      </c>
    </row>
    <row r="359" spans="1:12" x14ac:dyDescent="0.25">
      <c r="A359" s="3" t="s">
        <v>720</v>
      </c>
      <c r="B359" t="s">
        <v>720</v>
      </c>
      <c r="C359">
        <f>ROUND(VLOOKUP($A359,Results!$A$2:$I$437,4,FALSE),2)</f>
        <v>55.9</v>
      </c>
      <c r="D359">
        <f>ROUND(VLOOKUP($A359,Results!$A$2:$I$437,5,FALSE),2)</f>
        <v>42.5</v>
      </c>
      <c r="E359" s="72">
        <f t="shared" si="30"/>
        <v>56.808943089430883</v>
      </c>
      <c r="F359" s="72">
        <f t="shared" si="31"/>
        <v>43.191056910569102</v>
      </c>
      <c r="G359" s="72">
        <f t="shared" si="32"/>
        <v>-9.6178861788617809</v>
      </c>
      <c r="H359">
        <f>ROUND(VLOOKUP($A359,Results!$A$2:$I$437,6,FALSE),2)</f>
        <v>57.5</v>
      </c>
      <c r="I359">
        <f>ROUND(VLOOKUP($A359,Results!$A$2:$I$437,7,FALSE),2)</f>
        <v>41.3</v>
      </c>
      <c r="J359" s="72">
        <f t="shared" si="33"/>
        <v>58.198380566801625</v>
      </c>
      <c r="K359" s="72">
        <f t="shared" si="34"/>
        <v>41.801619433198375</v>
      </c>
      <c r="L359" s="72">
        <f t="shared" si="35"/>
        <v>-9.0967611336032483</v>
      </c>
    </row>
    <row r="360" spans="1:12" x14ac:dyDescent="0.25">
      <c r="A360" s="3" t="s">
        <v>722</v>
      </c>
      <c r="B360" t="s">
        <v>722</v>
      </c>
      <c r="C360">
        <f>ROUND(VLOOKUP($A360,Results!$A$2:$I$437,4,FALSE),2)</f>
        <v>29.5</v>
      </c>
      <c r="D360">
        <f>ROUND(VLOOKUP($A360,Results!$A$2:$I$437,5,FALSE),2)</f>
        <v>69.099999999999994</v>
      </c>
      <c r="E360" s="72">
        <f t="shared" si="30"/>
        <v>29.918864097363084</v>
      </c>
      <c r="F360" s="72">
        <f t="shared" si="31"/>
        <v>70.081135902636916</v>
      </c>
      <c r="G360" s="72">
        <f t="shared" si="32"/>
        <v>44.162271805273832</v>
      </c>
      <c r="H360">
        <f>ROUND(VLOOKUP($A360,Results!$A$2:$I$437,6,FALSE),2)</f>
        <v>33.5</v>
      </c>
      <c r="I360">
        <f>ROUND(VLOOKUP($A360,Results!$A$2:$I$437,7,FALSE),2)</f>
        <v>64.900000000000006</v>
      </c>
      <c r="J360" s="72">
        <f t="shared" si="33"/>
        <v>34.044715447154474</v>
      </c>
      <c r="K360" s="72">
        <f t="shared" si="34"/>
        <v>65.955284552845526</v>
      </c>
      <c r="L360" s="72">
        <f t="shared" si="35"/>
        <v>39.21056910569105</v>
      </c>
    </row>
    <row r="361" spans="1:12" x14ac:dyDescent="0.25">
      <c r="A361" s="3" t="s">
        <v>724</v>
      </c>
      <c r="B361" t="s">
        <v>724</v>
      </c>
      <c r="C361">
        <f>ROUND(VLOOKUP($A361,Results!$A$2:$I$437,4,FALSE),2)</f>
        <v>32.9</v>
      </c>
      <c r="D361">
        <f>ROUND(VLOOKUP($A361,Results!$A$2:$I$437,5,FALSE),2)</f>
        <v>65.7</v>
      </c>
      <c r="E361" s="72">
        <f t="shared" si="30"/>
        <v>33.367139959432052</v>
      </c>
      <c r="F361" s="72">
        <f t="shared" si="31"/>
        <v>66.632860040567948</v>
      </c>
      <c r="G361" s="72">
        <f t="shared" si="32"/>
        <v>37.265720081135896</v>
      </c>
      <c r="H361">
        <f>ROUND(VLOOKUP($A361,Results!$A$2:$I$437,6,FALSE),2)</f>
        <v>36.299999999999997</v>
      </c>
      <c r="I361">
        <f>ROUND(VLOOKUP($A361,Results!$A$2:$I$437,7,FALSE),2)</f>
        <v>62.4</v>
      </c>
      <c r="J361" s="72">
        <f t="shared" si="33"/>
        <v>36.778115501519757</v>
      </c>
      <c r="K361" s="72">
        <f t="shared" si="34"/>
        <v>63.22188449848025</v>
      </c>
      <c r="L361" s="72">
        <f t="shared" si="35"/>
        <v>33.74376899696049</v>
      </c>
    </row>
    <row r="362" spans="1:12" x14ac:dyDescent="0.25">
      <c r="A362" s="3" t="s">
        <v>726</v>
      </c>
      <c r="B362" t="s">
        <v>726</v>
      </c>
      <c r="C362">
        <f>ROUND(VLOOKUP($A362,Results!$A$2:$I$437,4,FALSE),2)</f>
        <v>32.799999999999997</v>
      </c>
      <c r="D362">
        <f>ROUND(VLOOKUP($A362,Results!$A$2:$I$437,5,FALSE),2)</f>
        <v>66.099999999999994</v>
      </c>
      <c r="E362" s="72">
        <f t="shared" si="30"/>
        <v>33.164812942366027</v>
      </c>
      <c r="F362" s="72">
        <f t="shared" si="31"/>
        <v>66.835187057633973</v>
      </c>
      <c r="G362" s="72">
        <f t="shared" si="32"/>
        <v>37.670374115267947</v>
      </c>
      <c r="H362">
        <f>ROUND(VLOOKUP($A362,Results!$A$2:$I$437,6,FALSE),2)</f>
        <v>34.9</v>
      </c>
      <c r="I362">
        <f>ROUND(VLOOKUP($A362,Results!$A$2:$I$437,7,FALSE),2)</f>
        <v>64.099999999999994</v>
      </c>
      <c r="J362" s="72">
        <f t="shared" si="33"/>
        <v>35.252525252525253</v>
      </c>
      <c r="K362" s="72">
        <f t="shared" si="34"/>
        <v>64.74747474747474</v>
      </c>
      <c r="L362" s="72">
        <f t="shared" si="35"/>
        <v>36.794949494949485</v>
      </c>
    </row>
    <row r="363" spans="1:12" x14ac:dyDescent="0.25">
      <c r="A363" s="3" t="s">
        <v>728</v>
      </c>
      <c r="B363" t="s">
        <v>728</v>
      </c>
      <c r="C363">
        <f>ROUND(VLOOKUP($A363,Results!$A$2:$I$437,4,FALSE),2)</f>
        <v>78.3</v>
      </c>
      <c r="D363">
        <f>ROUND(VLOOKUP($A363,Results!$A$2:$I$437,5,FALSE),2)</f>
        <v>20.9</v>
      </c>
      <c r="E363" s="72">
        <f t="shared" si="30"/>
        <v>78.931451612903231</v>
      </c>
      <c r="F363" s="72">
        <f t="shared" si="31"/>
        <v>21.068548387096776</v>
      </c>
      <c r="G363" s="72">
        <f t="shared" si="32"/>
        <v>-53.862903225806456</v>
      </c>
      <c r="H363">
        <f>ROUND(VLOOKUP($A363,Results!$A$2:$I$437,6,FALSE),2)</f>
        <v>77</v>
      </c>
      <c r="I363">
        <f>ROUND(VLOOKUP($A363,Results!$A$2:$I$437,7,FALSE),2)</f>
        <v>22.5</v>
      </c>
      <c r="J363" s="72">
        <f t="shared" si="33"/>
        <v>77.386934673366838</v>
      </c>
      <c r="K363" s="72">
        <f t="shared" si="34"/>
        <v>22.613065326633166</v>
      </c>
      <c r="L363" s="72">
        <f t="shared" si="35"/>
        <v>-47.473869346733679</v>
      </c>
    </row>
    <row r="364" spans="1:12" x14ac:dyDescent="0.25">
      <c r="A364" s="3" t="s">
        <v>730</v>
      </c>
      <c r="B364" t="s">
        <v>730</v>
      </c>
      <c r="C364">
        <f>ROUND(VLOOKUP($A364,Results!$A$2:$I$437,4,FALSE),2)</f>
        <v>27.5</v>
      </c>
      <c r="D364">
        <f>ROUND(VLOOKUP($A364,Results!$A$2:$I$437,5,FALSE),2)</f>
        <v>71.599999999999994</v>
      </c>
      <c r="E364" s="72">
        <f t="shared" si="30"/>
        <v>27.749747729566099</v>
      </c>
      <c r="F364" s="72">
        <f t="shared" si="31"/>
        <v>72.250252270433904</v>
      </c>
      <c r="G364" s="72">
        <f t="shared" si="32"/>
        <v>48.500504540867809</v>
      </c>
      <c r="H364">
        <f>ROUND(VLOOKUP($A364,Results!$A$2:$I$437,6,FALSE),2)</f>
        <v>30</v>
      </c>
      <c r="I364">
        <f>ROUND(VLOOKUP($A364,Results!$A$2:$I$437,7,FALSE),2)</f>
        <v>69</v>
      </c>
      <c r="J364" s="72">
        <f t="shared" si="33"/>
        <v>30.303030303030305</v>
      </c>
      <c r="K364" s="72">
        <f t="shared" si="34"/>
        <v>69.696969696969703</v>
      </c>
      <c r="L364" s="72">
        <f t="shared" si="35"/>
        <v>46.693939393939395</v>
      </c>
    </row>
    <row r="365" spans="1:12" x14ac:dyDescent="0.25">
      <c r="A365" s="3" t="s">
        <v>732</v>
      </c>
      <c r="B365" t="s">
        <v>732</v>
      </c>
      <c r="C365">
        <f>ROUND(VLOOKUP($A365,Results!$A$2:$I$437,4,FALSE),2)</f>
        <v>35.6</v>
      </c>
      <c r="D365">
        <f>ROUND(VLOOKUP($A365,Results!$A$2:$I$437,5,FALSE),2)</f>
        <v>62.9</v>
      </c>
      <c r="E365" s="72">
        <f t="shared" si="30"/>
        <v>36.142131979695435</v>
      </c>
      <c r="F365" s="72">
        <f t="shared" si="31"/>
        <v>63.857868020304565</v>
      </c>
      <c r="G365" s="72">
        <f t="shared" si="32"/>
        <v>31.71573604060913</v>
      </c>
      <c r="H365">
        <f>ROUND(VLOOKUP($A365,Results!$A$2:$I$437,6,FALSE),2)</f>
        <v>37</v>
      </c>
      <c r="I365">
        <f>ROUND(VLOOKUP($A365,Results!$A$2:$I$437,7,FALSE),2)</f>
        <v>62</v>
      </c>
      <c r="J365" s="72">
        <f t="shared" si="33"/>
        <v>37.373737373737377</v>
      </c>
      <c r="K365" s="72">
        <f t="shared" si="34"/>
        <v>62.62626262626263</v>
      </c>
      <c r="L365" s="72">
        <f t="shared" si="35"/>
        <v>32.55252525252525</v>
      </c>
    </row>
    <row r="366" spans="1:12" x14ac:dyDescent="0.25">
      <c r="A366" s="3" t="s">
        <v>734</v>
      </c>
      <c r="B366" t="s">
        <v>734</v>
      </c>
      <c r="C366">
        <f>ROUND(VLOOKUP($A366,Results!$A$2:$I$437,4,FALSE),2)</f>
        <v>34.200000000000003</v>
      </c>
      <c r="D366">
        <f>ROUND(VLOOKUP($A366,Results!$A$2:$I$437,5,FALSE),2)</f>
        <v>64.3</v>
      </c>
      <c r="E366" s="72">
        <f t="shared" si="30"/>
        <v>34.72081218274112</v>
      </c>
      <c r="F366" s="72">
        <f t="shared" si="31"/>
        <v>65.279187817258872</v>
      </c>
      <c r="G366" s="72">
        <f t="shared" si="32"/>
        <v>34.558375634517752</v>
      </c>
      <c r="H366">
        <f>ROUND(VLOOKUP($A366,Results!$A$2:$I$437,6,FALSE),2)</f>
        <v>37</v>
      </c>
      <c r="I366">
        <f>ROUND(VLOOKUP($A366,Results!$A$2:$I$437,7,FALSE),2)</f>
        <v>61</v>
      </c>
      <c r="J366" s="72">
        <f t="shared" si="33"/>
        <v>37.755102040816325</v>
      </c>
      <c r="K366" s="72">
        <f t="shared" si="34"/>
        <v>62.244897959183675</v>
      </c>
      <c r="L366" s="72">
        <f t="shared" si="35"/>
        <v>31.78979591836735</v>
      </c>
    </row>
    <row r="367" spans="1:12" x14ac:dyDescent="0.25">
      <c r="A367" s="3" t="s">
        <v>736</v>
      </c>
      <c r="B367" t="s">
        <v>736</v>
      </c>
      <c r="C367">
        <f>ROUND(VLOOKUP($A367,Results!$A$2:$I$437,4,FALSE),2)</f>
        <v>24.8</v>
      </c>
      <c r="D367">
        <f>ROUND(VLOOKUP($A367,Results!$A$2:$I$437,5,FALSE),2)</f>
        <v>74</v>
      </c>
      <c r="E367" s="72">
        <f t="shared" si="30"/>
        <v>25.10121457489879</v>
      </c>
      <c r="F367" s="72">
        <f t="shared" si="31"/>
        <v>74.898785425101224</v>
      </c>
      <c r="G367" s="72">
        <f t="shared" si="32"/>
        <v>53.797570850202433</v>
      </c>
      <c r="H367">
        <f>ROUND(VLOOKUP($A367,Results!$A$2:$I$437,6,FALSE),2)</f>
        <v>29</v>
      </c>
      <c r="I367">
        <f>ROUND(VLOOKUP($A367,Results!$A$2:$I$437,7,FALSE),2)</f>
        <v>70</v>
      </c>
      <c r="J367" s="72">
        <f t="shared" si="33"/>
        <v>29.292929292929294</v>
      </c>
      <c r="K367" s="72">
        <f t="shared" si="34"/>
        <v>70.707070707070713</v>
      </c>
      <c r="L367" s="72">
        <f t="shared" si="35"/>
        <v>48.714141414141416</v>
      </c>
    </row>
    <row r="368" spans="1:12" x14ac:dyDescent="0.25">
      <c r="A368" s="3" t="s">
        <v>738</v>
      </c>
      <c r="B368" t="s">
        <v>738</v>
      </c>
      <c r="C368">
        <f>ROUND(VLOOKUP($A368,Results!$A$2:$I$437,4,FALSE),2)</f>
        <v>34.4</v>
      </c>
      <c r="D368">
        <f>ROUND(VLOOKUP($A368,Results!$A$2:$I$437,5,FALSE),2)</f>
        <v>64.5</v>
      </c>
      <c r="E368" s="72">
        <f t="shared" si="30"/>
        <v>34.782608695652172</v>
      </c>
      <c r="F368" s="72">
        <f t="shared" si="31"/>
        <v>65.217391304347828</v>
      </c>
      <c r="G368" s="72">
        <f t="shared" si="32"/>
        <v>34.434782608695656</v>
      </c>
      <c r="H368">
        <f>ROUND(VLOOKUP($A368,Results!$A$2:$I$437,6,FALSE),2)</f>
        <v>37</v>
      </c>
      <c r="I368">
        <f>ROUND(VLOOKUP($A368,Results!$A$2:$I$437,7,FALSE),2)</f>
        <v>62</v>
      </c>
      <c r="J368" s="72">
        <f t="shared" si="33"/>
        <v>37.373737373737377</v>
      </c>
      <c r="K368" s="72">
        <f t="shared" si="34"/>
        <v>62.62626262626263</v>
      </c>
      <c r="L368" s="72">
        <f t="shared" si="35"/>
        <v>32.55252525252525</v>
      </c>
    </row>
    <row r="369" spans="1:12" x14ac:dyDescent="0.25">
      <c r="A369" s="3" t="s">
        <v>740</v>
      </c>
      <c r="B369" t="s">
        <v>740</v>
      </c>
      <c r="C369">
        <f>ROUND(VLOOKUP($A369,Results!$A$2:$I$437,4,FALSE),2)</f>
        <v>40.799999999999997</v>
      </c>
      <c r="D369">
        <f>ROUND(VLOOKUP($A369,Results!$A$2:$I$437,5,FALSE),2)</f>
        <v>57.9</v>
      </c>
      <c r="E369" s="72">
        <f t="shared" si="30"/>
        <v>41.337386018237083</v>
      </c>
      <c r="F369" s="72">
        <f t="shared" si="31"/>
        <v>58.662613981762924</v>
      </c>
      <c r="G369" s="72">
        <f t="shared" si="32"/>
        <v>21.32522796352584</v>
      </c>
      <c r="H369">
        <f>ROUND(VLOOKUP($A369,Results!$A$2:$I$437,6,FALSE),2)</f>
        <v>42</v>
      </c>
      <c r="I369">
        <f>ROUND(VLOOKUP($A369,Results!$A$2:$I$437,7,FALSE),2)</f>
        <v>57</v>
      </c>
      <c r="J369" s="72">
        <f t="shared" si="33"/>
        <v>42.424242424242422</v>
      </c>
      <c r="K369" s="72">
        <f t="shared" si="34"/>
        <v>57.575757575757578</v>
      </c>
      <c r="L369" s="72">
        <f t="shared" si="35"/>
        <v>22.451515151515157</v>
      </c>
    </row>
    <row r="370" spans="1:12" x14ac:dyDescent="0.25">
      <c r="A370" s="3" t="s">
        <v>742</v>
      </c>
      <c r="B370" t="s">
        <v>742</v>
      </c>
      <c r="C370">
        <f>ROUND(VLOOKUP($A370,Results!$A$2:$I$437,4,FALSE),2)</f>
        <v>38.6</v>
      </c>
      <c r="D370">
        <f>ROUND(VLOOKUP($A370,Results!$A$2:$I$437,5,FALSE),2)</f>
        <v>59.9</v>
      </c>
      <c r="E370" s="72">
        <f t="shared" si="30"/>
        <v>39.18781725888325</v>
      </c>
      <c r="F370" s="72">
        <f t="shared" si="31"/>
        <v>60.81218274111675</v>
      </c>
      <c r="G370" s="72">
        <f t="shared" si="32"/>
        <v>25.6243654822335</v>
      </c>
      <c r="H370">
        <f>ROUND(VLOOKUP($A370,Results!$A$2:$I$437,6,FALSE),2)</f>
        <v>40</v>
      </c>
      <c r="I370">
        <f>ROUND(VLOOKUP($A370,Results!$A$2:$I$437,7,FALSE),2)</f>
        <v>59</v>
      </c>
      <c r="J370" s="72">
        <f t="shared" si="33"/>
        <v>40.404040404040401</v>
      </c>
      <c r="K370" s="72">
        <f t="shared" si="34"/>
        <v>59.595959595959592</v>
      </c>
      <c r="L370" s="72">
        <f t="shared" si="35"/>
        <v>26.491919191919191</v>
      </c>
    </row>
    <row r="371" spans="1:12" x14ac:dyDescent="0.25">
      <c r="A371" s="3" t="s">
        <v>744</v>
      </c>
      <c r="B371" t="s">
        <v>744</v>
      </c>
      <c r="C371">
        <f>ROUND(VLOOKUP($A371,Results!$A$2:$I$437,4,FALSE),2)</f>
        <v>21.7</v>
      </c>
      <c r="D371">
        <f>ROUND(VLOOKUP($A371,Results!$A$2:$I$437,5,FALSE),2)</f>
        <v>77</v>
      </c>
      <c r="E371" s="72">
        <f t="shared" si="30"/>
        <v>21.98581560283688</v>
      </c>
      <c r="F371" s="72">
        <f t="shared" si="31"/>
        <v>78.01418439716312</v>
      </c>
      <c r="G371" s="72">
        <f t="shared" si="32"/>
        <v>60.028368794326241</v>
      </c>
      <c r="H371">
        <f>ROUND(VLOOKUP($A371,Results!$A$2:$I$437,6,FALSE),2)</f>
        <v>26</v>
      </c>
      <c r="I371">
        <f>ROUND(VLOOKUP($A371,Results!$A$2:$I$437,7,FALSE),2)</f>
        <v>73</v>
      </c>
      <c r="J371" s="72">
        <f t="shared" si="33"/>
        <v>26.262626262626267</v>
      </c>
      <c r="K371" s="72">
        <f t="shared" si="34"/>
        <v>73.73737373737373</v>
      </c>
      <c r="L371" s="72">
        <f t="shared" si="35"/>
        <v>54.774747474747457</v>
      </c>
    </row>
    <row r="372" spans="1:12" x14ac:dyDescent="0.25">
      <c r="A372" s="3" t="s">
        <v>746</v>
      </c>
      <c r="B372" t="s">
        <v>746</v>
      </c>
      <c r="C372">
        <f>ROUND(VLOOKUP($A372,Results!$A$2:$I$437,4,FALSE),2)</f>
        <v>78</v>
      </c>
      <c r="D372">
        <f>ROUND(VLOOKUP($A372,Results!$A$2:$I$437,5,FALSE),2)</f>
        <v>21.1</v>
      </c>
      <c r="E372" s="72">
        <f t="shared" si="30"/>
        <v>78.708375378405663</v>
      </c>
      <c r="F372" s="72">
        <f t="shared" si="31"/>
        <v>21.291624621594352</v>
      </c>
      <c r="G372" s="72">
        <f t="shared" si="32"/>
        <v>-53.416750756811311</v>
      </c>
      <c r="H372">
        <f>ROUND(VLOOKUP($A372,Results!$A$2:$I$437,6,FALSE),2)</f>
        <v>76</v>
      </c>
      <c r="I372">
        <f>ROUND(VLOOKUP($A372,Results!$A$2:$I$437,7,FALSE),2)</f>
        <v>23</v>
      </c>
      <c r="J372" s="72">
        <f t="shared" si="33"/>
        <v>76.767676767676761</v>
      </c>
      <c r="K372" s="72">
        <f t="shared" si="34"/>
        <v>23.232323232323232</v>
      </c>
      <c r="L372" s="72">
        <f t="shared" si="35"/>
        <v>-46.235353535353532</v>
      </c>
    </row>
    <row r="373" spans="1:12" x14ac:dyDescent="0.25">
      <c r="A373" s="3" t="s">
        <v>748</v>
      </c>
      <c r="B373" t="s">
        <v>748</v>
      </c>
      <c r="C373">
        <f>ROUND(VLOOKUP($A373,Results!$A$2:$I$437,4,FALSE),2)</f>
        <v>38.799999999999997</v>
      </c>
      <c r="D373">
        <f>ROUND(VLOOKUP($A373,Results!$A$2:$I$437,5,FALSE),2)</f>
        <v>59.1</v>
      </c>
      <c r="E373" s="72">
        <f t="shared" si="30"/>
        <v>39.63227783452502</v>
      </c>
      <c r="F373" s="72">
        <f t="shared" si="31"/>
        <v>60.367722165474966</v>
      </c>
      <c r="G373" s="72">
        <f t="shared" si="32"/>
        <v>24.735444330949946</v>
      </c>
      <c r="H373">
        <f>ROUND(VLOOKUP($A373,Results!$A$2:$I$437,6,FALSE),2)</f>
        <v>43</v>
      </c>
      <c r="I373">
        <f>ROUND(VLOOKUP($A373,Results!$A$2:$I$437,7,FALSE),2)</f>
        <v>56</v>
      </c>
      <c r="J373" s="72">
        <f t="shared" si="33"/>
        <v>43.43434343434344</v>
      </c>
      <c r="K373" s="72">
        <f t="shared" si="34"/>
        <v>56.56565656565656</v>
      </c>
      <c r="L373" s="72">
        <f t="shared" si="35"/>
        <v>20.431313131313122</v>
      </c>
    </row>
    <row r="374" spans="1:12" x14ac:dyDescent="0.25">
      <c r="A374" s="3" t="s">
        <v>750</v>
      </c>
      <c r="B374" t="s">
        <v>750</v>
      </c>
      <c r="C374">
        <f>ROUND(VLOOKUP($A374,Results!$A$2:$I$437,4,FALSE),2)</f>
        <v>19.600000000000001</v>
      </c>
      <c r="D374">
        <f>ROUND(VLOOKUP($A374,Results!$A$2:$I$437,5,FALSE),2)</f>
        <v>79.2</v>
      </c>
      <c r="E374" s="72">
        <f t="shared" si="30"/>
        <v>19.838056680161941</v>
      </c>
      <c r="F374" s="72">
        <f t="shared" si="31"/>
        <v>80.161943319838045</v>
      </c>
      <c r="G374" s="72">
        <f t="shared" si="32"/>
        <v>64.323886639676104</v>
      </c>
      <c r="H374">
        <f>ROUND(VLOOKUP($A374,Results!$A$2:$I$437,6,FALSE),2)</f>
        <v>23</v>
      </c>
      <c r="I374">
        <f>ROUND(VLOOKUP($A374,Results!$A$2:$I$437,7,FALSE),2)</f>
        <v>76</v>
      </c>
      <c r="J374" s="72">
        <f t="shared" si="33"/>
        <v>23.232323232323232</v>
      </c>
      <c r="K374" s="72">
        <f t="shared" si="34"/>
        <v>76.767676767676761</v>
      </c>
      <c r="L374" s="72">
        <f t="shared" si="35"/>
        <v>60.835353535353526</v>
      </c>
    </row>
    <row r="375" spans="1:12" x14ac:dyDescent="0.25">
      <c r="A375" s="3" t="s">
        <v>752</v>
      </c>
      <c r="B375" t="s">
        <v>752</v>
      </c>
      <c r="C375">
        <f>ROUND(VLOOKUP($A375,Results!$A$2:$I$437,4,FALSE),2)</f>
        <v>31.7</v>
      </c>
      <c r="D375">
        <f>ROUND(VLOOKUP($A375,Results!$A$2:$I$437,5,FALSE),2)</f>
        <v>66.8</v>
      </c>
      <c r="E375" s="72">
        <f t="shared" si="30"/>
        <v>32.182741116751266</v>
      </c>
      <c r="F375" s="72">
        <f t="shared" si="31"/>
        <v>67.817258883248726</v>
      </c>
      <c r="G375" s="72">
        <f t="shared" si="32"/>
        <v>39.63451776649746</v>
      </c>
      <c r="H375">
        <f>ROUND(VLOOKUP($A375,Results!$A$2:$I$437,6,FALSE),2)</f>
        <v>35</v>
      </c>
      <c r="I375">
        <f>ROUND(VLOOKUP($A375,Results!$A$2:$I$437,7,FALSE),2)</f>
        <v>64</v>
      </c>
      <c r="J375" s="72">
        <f t="shared" si="33"/>
        <v>35.353535353535356</v>
      </c>
      <c r="K375" s="72">
        <f t="shared" si="34"/>
        <v>64.646464646464651</v>
      </c>
      <c r="L375" s="72">
        <f t="shared" si="35"/>
        <v>36.592929292929291</v>
      </c>
    </row>
    <row r="376" spans="1:12" x14ac:dyDescent="0.25">
      <c r="A376" s="3" t="s">
        <v>754</v>
      </c>
      <c r="B376" t="s">
        <v>754</v>
      </c>
      <c r="C376">
        <f>ROUND(VLOOKUP($A376,Results!$A$2:$I$437,4,FALSE),2)</f>
        <v>18.5</v>
      </c>
      <c r="D376">
        <f>ROUND(VLOOKUP($A376,Results!$A$2:$I$437,5,FALSE),2)</f>
        <v>80.2</v>
      </c>
      <c r="E376" s="72">
        <f t="shared" si="30"/>
        <v>18.743667679837891</v>
      </c>
      <c r="F376" s="72">
        <f t="shared" si="31"/>
        <v>81.256332320162102</v>
      </c>
      <c r="G376" s="72">
        <f t="shared" si="32"/>
        <v>66.512664640324203</v>
      </c>
      <c r="H376">
        <f>ROUND(VLOOKUP($A376,Results!$A$2:$I$437,6,FALSE),2)</f>
        <v>22</v>
      </c>
      <c r="I376">
        <f>ROUND(VLOOKUP($A376,Results!$A$2:$I$437,7,FALSE),2)</f>
        <v>77</v>
      </c>
      <c r="J376" s="72">
        <f t="shared" si="33"/>
        <v>22.222222222222221</v>
      </c>
      <c r="K376" s="72">
        <f t="shared" si="34"/>
        <v>77.777777777777786</v>
      </c>
      <c r="L376" s="72">
        <f t="shared" si="35"/>
        <v>62.855555555555561</v>
      </c>
    </row>
    <row r="377" spans="1:12" x14ac:dyDescent="0.25">
      <c r="A377" s="3" t="s">
        <v>756</v>
      </c>
      <c r="B377" t="s">
        <v>756</v>
      </c>
      <c r="C377">
        <f>ROUND(VLOOKUP($A377,Results!$A$2:$I$437,4,FALSE),2)</f>
        <v>39.5</v>
      </c>
      <c r="D377">
        <f>ROUND(VLOOKUP($A377,Results!$A$2:$I$437,5,FALSE),2)</f>
        <v>59.3</v>
      </c>
      <c r="E377" s="72">
        <f t="shared" si="30"/>
        <v>39.979757085020246</v>
      </c>
      <c r="F377" s="72">
        <f t="shared" si="31"/>
        <v>60.020242914979761</v>
      </c>
      <c r="G377" s="72">
        <f t="shared" si="32"/>
        <v>24.040485829959515</v>
      </c>
      <c r="H377">
        <f>ROUND(VLOOKUP($A377,Results!$A$2:$I$437,6,FALSE),2)</f>
        <v>42</v>
      </c>
      <c r="I377">
        <f>ROUND(VLOOKUP($A377,Results!$A$2:$I$437,7,FALSE),2)</f>
        <v>57</v>
      </c>
      <c r="J377" s="72">
        <f t="shared" si="33"/>
        <v>42.424242424242422</v>
      </c>
      <c r="K377" s="72">
        <f t="shared" si="34"/>
        <v>57.575757575757578</v>
      </c>
      <c r="L377" s="72">
        <f t="shared" si="35"/>
        <v>22.451515151515157</v>
      </c>
    </row>
    <row r="378" spans="1:12" x14ac:dyDescent="0.25">
      <c r="A378" s="3" t="s">
        <v>758</v>
      </c>
      <c r="B378" t="s">
        <v>758</v>
      </c>
      <c r="C378">
        <f>ROUND(VLOOKUP($A378,Results!$A$2:$I$437,4,FALSE),2)</f>
        <v>57.4</v>
      </c>
      <c r="D378">
        <f>ROUND(VLOOKUP($A378,Results!$A$2:$I$437,5,FALSE),2)</f>
        <v>41.5</v>
      </c>
      <c r="E378" s="72">
        <f t="shared" si="30"/>
        <v>58.038422649140543</v>
      </c>
      <c r="F378" s="72">
        <f t="shared" si="31"/>
        <v>41.96157735085945</v>
      </c>
      <c r="G378" s="72">
        <f t="shared" si="32"/>
        <v>-12.076845298281093</v>
      </c>
      <c r="H378">
        <f>ROUND(VLOOKUP($A378,Results!$A$2:$I$437,6,FALSE),2)</f>
        <v>57</v>
      </c>
      <c r="I378">
        <f>ROUND(VLOOKUP($A378,Results!$A$2:$I$437,7,FALSE),2)</f>
        <v>42</v>
      </c>
      <c r="J378" s="72">
        <f t="shared" si="33"/>
        <v>57.575757575757578</v>
      </c>
      <c r="K378" s="72">
        <f t="shared" si="34"/>
        <v>42.424242424242422</v>
      </c>
      <c r="L378" s="72">
        <f t="shared" si="35"/>
        <v>-7.851515151515156</v>
      </c>
    </row>
    <row r="379" spans="1:12" x14ac:dyDescent="0.25">
      <c r="A379" s="3" t="s">
        <v>760</v>
      </c>
      <c r="B379" t="s">
        <v>760</v>
      </c>
      <c r="C379">
        <f>ROUND(VLOOKUP($A379,Results!$A$2:$I$437,4,FALSE),2)</f>
        <v>64.2</v>
      </c>
      <c r="D379">
        <f>ROUND(VLOOKUP($A379,Results!$A$2:$I$437,5,FALSE),2)</f>
        <v>34.5</v>
      </c>
      <c r="E379" s="72">
        <f t="shared" si="30"/>
        <v>65.045592705167181</v>
      </c>
      <c r="F379" s="72">
        <f t="shared" si="31"/>
        <v>34.954407294832826</v>
      </c>
      <c r="G379" s="72">
        <f t="shared" si="32"/>
        <v>-26.091185410334354</v>
      </c>
      <c r="H379">
        <f>ROUND(VLOOKUP($A379,Results!$A$2:$I$437,6,FALSE),2)</f>
        <v>64</v>
      </c>
      <c r="I379">
        <f>ROUND(VLOOKUP($A379,Results!$A$2:$I$437,7,FALSE),2)</f>
        <v>35</v>
      </c>
      <c r="J379" s="72">
        <f t="shared" si="33"/>
        <v>64.646464646464651</v>
      </c>
      <c r="K379" s="72">
        <f t="shared" si="34"/>
        <v>35.353535353535356</v>
      </c>
      <c r="L379" s="72">
        <f t="shared" si="35"/>
        <v>-21.992929292929293</v>
      </c>
    </row>
    <row r="380" spans="1:12" x14ac:dyDescent="0.25">
      <c r="A380" s="3" t="s">
        <v>762</v>
      </c>
      <c r="B380" t="s">
        <v>762</v>
      </c>
      <c r="C380">
        <f>ROUND(VLOOKUP($A380,Results!$A$2:$I$437,4,FALSE),2)</f>
        <v>37.700000000000003</v>
      </c>
      <c r="D380">
        <f>ROUND(VLOOKUP($A380,Results!$A$2:$I$437,5,FALSE),2)</f>
        <v>60.4</v>
      </c>
      <c r="E380" s="72">
        <f t="shared" si="30"/>
        <v>38.430173292558614</v>
      </c>
      <c r="F380" s="72">
        <f t="shared" si="31"/>
        <v>61.569826707441386</v>
      </c>
      <c r="G380" s="72">
        <f t="shared" si="32"/>
        <v>27.139653414882773</v>
      </c>
      <c r="H380">
        <f>ROUND(VLOOKUP($A380,Results!$A$2:$I$437,6,FALSE),2)</f>
        <v>41</v>
      </c>
      <c r="I380">
        <f>ROUND(VLOOKUP($A380,Results!$A$2:$I$437,7,FALSE),2)</f>
        <v>58</v>
      </c>
      <c r="J380" s="72">
        <f t="shared" si="33"/>
        <v>41.414141414141412</v>
      </c>
      <c r="K380" s="72">
        <f t="shared" si="34"/>
        <v>58.585858585858588</v>
      </c>
      <c r="L380" s="72">
        <f t="shared" si="35"/>
        <v>24.471717171717177</v>
      </c>
    </row>
    <row r="381" spans="1:12" x14ac:dyDescent="0.25">
      <c r="A381" s="3" t="s">
        <v>764</v>
      </c>
      <c r="B381" t="s">
        <v>764</v>
      </c>
      <c r="C381">
        <f>ROUND(VLOOKUP($A381,Results!$A$2:$I$437,4,FALSE),2)</f>
        <v>76.099999999999994</v>
      </c>
      <c r="D381">
        <f>ROUND(VLOOKUP($A381,Results!$A$2:$I$437,5,FALSE),2)</f>
        <v>22.8</v>
      </c>
      <c r="E381" s="72">
        <f t="shared" si="30"/>
        <v>76.946410515672397</v>
      </c>
      <c r="F381" s="72">
        <f t="shared" si="31"/>
        <v>23.053589484327606</v>
      </c>
      <c r="G381" s="72">
        <f t="shared" si="32"/>
        <v>-49.892821031344795</v>
      </c>
      <c r="H381">
        <f>ROUND(VLOOKUP($A381,Results!$A$2:$I$437,6,FALSE),2)</f>
        <v>77</v>
      </c>
      <c r="I381">
        <f>ROUND(VLOOKUP($A381,Results!$A$2:$I$437,7,FALSE),2)</f>
        <v>23</v>
      </c>
      <c r="J381" s="72">
        <f t="shared" si="33"/>
        <v>77</v>
      </c>
      <c r="K381" s="72">
        <f t="shared" si="34"/>
        <v>23</v>
      </c>
      <c r="L381" s="72">
        <f t="shared" si="35"/>
        <v>-46.7</v>
      </c>
    </row>
    <row r="382" spans="1:12" x14ac:dyDescent="0.25">
      <c r="A382" s="3" t="s">
        <v>766</v>
      </c>
      <c r="B382" t="s">
        <v>766</v>
      </c>
      <c r="C382">
        <f>ROUND(VLOOKUP($A382,Results!$A$2:$I$437,4,FALSE),2)</f>
        <v>25</v>
      </c>
      <c r="D382">
        <f>ROUND(VLOOKUP($A382,Results!$A$2:$I$437,5,FALSE),2)</f>
        <v>73.599999999999994</v>
      </c>
      <c r="E382" s="72">
        <f t="shared" si="30"/>
        <v>25.354969574036513</v>
      </c>
      <c r="F382" s="72">
        <f t="shared" si="31"/>
        <v>74.645030425963483</v>
      </c>
      <c r="G382" s="72">
        <f t="shared" si="32"/>
        <v>53.290060851926967</v>
      </c>
      <c r="H382">
        <f>ROUND(VLOOKUP($A382,Results!$A$2:$I$437,6,FALSE),2)</f>
        <v>28</v>
      </c>
      <c r="I382">
        <f>ROUND(VLOOKUP($A382,Results!$A$2:$I$437,7,FALSE),2)</f>
        <v>71</v>
      </c>
      <c r="J382" s="72">
        <f t="shared" si="33"/>
        <v>28.28282828282828</v>
      </c>
      <c r="K382" s="72">
        <f t="shared" si="34"/>
        <v>71.717171717171709</v>
      </c>
      <c r="L382" s="72">
        <f t="shared" si="35"/>
        <v>50.73434343434343</v>
      </c>
    </row>
    <row r="383" spans="1:12" x14ac:dyDescent="0.25">
      <c r="A383" s="3" t="s">
        <v>768</v>
      </c>
      <c r="B383" t="s">
        <v>768</v>
      </c>
      <c r="C383">
        <f>ROUND(VLOOKUP($A383,Results!$A$2:$I$437,4,FALSE),2)</f>
        <v>58.9</v>
      </c>
      <c r="D383">
        <f>ROUND(VLOOKUP($A383,Results!$A$2:$I$437,5,FALSE),2)</f>
        <v>39.700000000000003</v>
      </c>
      <c r="E383" s="72">
        <f t="shared" si="30"/>
        <v>59.736308316430019</v>
      </c>
      <c r="F383" s="72">
        <f t="shared" si="31"/>
        <v>40.263691683569988</v>
      </c>
      <c r="G383" s="72">
        <f t="shared" si="32"/>
        <v>-15.472616632860031</v>
      </c>
      <c r="H383">
        <f>ROUND(VLOOKUP($A383,Results!$A$2:$I$437,6,FALSE),2)</f>
        <v>58</v>
      </c>
      <c r="I383">
        <f>ROUND(VLOOKUP($A383,Results!$A$2:$I$437,7,FALSE),2)</f>
        <v>41</v>
      </c>
      <c r="J383" s="72">
        <f t="shared" si="33"/>
        <v>58.585858585858588</v>
      </c>
      <c r="K383" s="72">
        <f t="shared" si="34"/>
        <v>41.414141414141412</v>
      </c>
      <c r="L383" s="72">
        <f t="shared" si="35"/>
        <v>-9.8717171717171759</v>
      </c>
    </row>
    <row r="384" spans="1:12" x14ac:dyDescent="0.25">
      <c r="A384" s="3" t="s">
        <v>770</v>
      </c>
      <c r="B384" t="s">
        <v>770</v>
      </c>
      <c r="C384">
        <f>ROUND(VLOOKUP($A384,Results!$A$2:$I$437,4,FALSE),2)</f>
        <v>37.9</v>
      </c>
      <c r="D384">
        <f>ROUND(VLOOKUP($A384,Results!$A$2:$I$437,5,FALSE),2)</f>
        <v>59.8</v>
      </c>
      <c r="E384" s="72">
        <f t="shared" si="30"/>
        <v>38.792221084953944</v>
      </c>
      <c r="F384" s="72">
        <f t="shared" si="31"/>
        <v>61.207778915046063</v>
      </c>
      <c r="G384" s="72">
        <f t="shared" si="32"/>
        <v>26.415557830092119</v>
      </c>
      <c r="H384">
        <f>ROUND(VLOOKUP($A384,Results!$A$2:$I$437,6,FALSE),2)</f>
        <v>42</v>
      </c>
      <c r="I384">
        <f>ROUND(VLOOKUP($A384,Results!$A$2:$I$437,7,FALSE),2)</f>
        <v>56</v>
      </c>
      <c r="J384" s="72">
        <f t="shared" si="33"/>
        <v>42.857142857142854</v>
      </c>
      <c r="K384" s="72">
        <f t="shared" si="34"/>
        <v>57.142857142857139</v>
      </c>
      <c r="L384" s="72">
        <f t="shared" si="35"/>
        <v>21.585714285714285</v>
      </c>
    </row>
    <row r="385" spans="1:12" x14ac:dyDescent="0.25">
      <c r="A385" s="3" t="s">
        <v>772</v>
      </c>
      <c r="B385" t="s">
        <v>772</v>
      </c>
      <c r="C385">
        <f>ROUND(VLOOKUP($A385,Results!$A$2:$I$437,4,FALSE),2)</f>
        <v>36.700000000000003</v>
      </c>
      <c r="D385">
        <f>ROUND(VLOOKUP($A385,Results!$A$2:$I$437,5,FALSE),2)</f>
        <v>62.1</v>
      </c>
      <c r="E385" s="72">
        <f t="shared" si="30"/>
        <v>37.145748987854248</v>
      </c>
      <c r="F385" s="72">
        <f t="shared" si="31"/>
        <v>62.854251012145745</v>
      </c>
      <c r="G385" s="72">
        <f t="shared" si="32"/>
        <v>29.708502024291498</v>
      </c>
      <c r="H385">
        <f>ROUND(VLOOKUP($A385,Results!$A$2:$I$437,6,FALSE),2)</f>
        <v>39</v>
      </c>
      <c r="I385">
        <f>ROUND(VLOOKUP($A385,Results!$A$2:$I$437,7,FALSE),2)</f>
        <v>60</v>
      </c>
      <c r="J385" s="72">
        <f t="shared" si="33"/>
        <v>39.393939393939391</v>
      </c>
      <c r="K385" s="72">
        <f t="shared" si="34"/>
        <v>60.606060606060609</v>
      </c>
      <c r="L385" s="72">
        <f t="shared" si="35"/>
        <v>28.512121212121219</v>
      </c>
    </row>
    <row r="386" spans="1:12" x14ac:dyDescent="0.25">
      <c r="A386" s="3" t="s">
        <v>774</v>
      </c>
      <c r="B386" t="s">
        <v>774</v>
      </c>
      <c r="C386">
        <f>ROUND(VLOOKUP($A386,Results!$A$2:$I$437,4,FALSE),2)</f>
        <v>48.1</v>
      </c>
      <c r="D386">
        <f>ROUND(VLOOKUP($A386,Results!$A$2:$I$437,5,FALSE),2)</f>
        <v>50.7</v>
      </c>
      <c r="E386" s="72">
        <f t="shared" si="30"/>
        <v>48.684210526315788</v>
      </c>
      <c r="F386" s="72">
        <f t="shared" si="31"/>
        <v>51.315789473684205</v>
      </c>
      <c r="G386" s="72">
        <f t="shared" si="32"/>
        <v>6.6315789473684177</v>
      </c>
      <c r="H386">
        <f>ROUND(VLOOKUP($A386,Results!$A$2:$I$437,6,FALSE),2)</f>
        <v>50</v>
      </c>
      <c r="I386">
        <f>ROUND(VLOOKUP($A386,Results!$A$2:$I$437,7,FALSE),2)</f>
        <v>49</v>
      </c>
      <c r="J386" s="72">
        <f t="shared" si="33"/>
        <v>50.505050505050505</v>
      </c>
      <c r="K386" s="72">
        <f t="shared" si="34"/>
        <v>49.494949494949495</v>
      </c>
      <c r="L386" s="72">
        <f t="shared" si="35"/>
        <v>6.2898989898989894</v>
      </c>
    </row>
    <row r="387" spans="1:12" x14ac:dyDescent="0.25">
      <c r="A387" s="3" t="s">
        <v>776</v>
      </c>
      <c r="B387" t="s">
        <v>776</v>
      </c>
      <c r="C387">
        <f>ROUND(VLOOKUP($A387,Results!$A$2:$I$437,4,FALSE),2)</f>
        <v>38</v>
      </c>
      <c r="D387">
        <f>ROUND(VLOOKUP($A387,Results!$A$2:$I$437,5,FALSE),2)</f>
        <v>60.4</v>
      </c>
      <c r="E387" s="72">
        <f t="shared" si="30"/>
        <v>38.617886178861788</v>
      </c>
      <c r="F387" s="72">
        <f t="shared" si="31"/>
        <v>61.382113821138205</v>
      </c>
      <c r="G387" s="72">
        <f t="shared" si="32"/>
        <v>26.764227642276417</v>
      </c>
      <c r="H387">
        <f>ROUND(VLOOKUP($A387,Results!$A$2:$I$437,6,FALSE),2)</f>
        <v>41</v>
      </c>
      <c r="I387">
        <f>ROUND(VLOOKUP($A387,Results!$A$2:$I$437,7,FALSE),2)</f>
        <v>58</v>
      </c>
      <c r="J387" s="72">
        <f t="shared" si="33"/>
        <v>41.414141414141412</v>
      </c>
      <c r="K387" s="72">
        <f t="shared" si="34"/>
        <v>58.585858585858588</v>
      </c>
      <c r="L387" s="72">
        <f t="shared" si="35"/>
        <v>24.471717171717177</v>
      </c>
    </row>
    <row r="388" spans="1:12" x14ac:dyDescent="0.25">
      <c r="A388" s="3" t="s">
        <v>778</v>
      </c>
      <c r="B388" t="s">
        <v>778</v>
      </c>
      <c r="C388">
        <f>ROUND(VLOOKUP($A388,Results!$A$2:$I$437,4,FALSE),2)</f>
        <v>37.799999999999997</v>
      </c>
      <c r="D388">
        <f>ROUND(VLOOKUP($A388,Results!$A$2:$I$437,5,FALSE),2)</f>
        <v>59.9</v>
      </c>
      <c r="E388" s="72">
        <f t="shared" ref="E388:E437" si="36">C388/SUM(C388:D388)*100</f>
        <v>38.689866939611058</v>
      </c>
      <c r="F388" s="72">
        <f t="shared" ref="F388:F437" si="37">D388/SUM(C388:D388)*100</f>
        <v>61.310133060388949</v>
      </c>
      <c r="G388" s="72">
        <f t="shared" ref="G388:G437" si="38">F388-E388+4</f>
        <v>26.620266120777892</v>
      </c>
      <c r="H388">
        <f>ROUND(VLOOKUP($A388,Results!$A$2:$I$437,6,FALSE),2)</f>
        <v>43</v>
      </c>
      <c r="I388">
        <f>ROUND(VLOOKUP($A388,Results!$A$2:$I$437,7,FALSE),2)</f>
        <v>56</v>
      </c>
      <c r="J388" s="72">
        <f t="shared" ref="J388:J437" si="39">H388/SUM(H388:I388)*100</f>
        <v>43.43434343434344</v>
      </c>
      <c r="K388" s="72">
        <f t="shared" ref="K388:K437" si="40">I388/SUM(H388:I388)*100</f>
        <v>56.56565656565656</v>
      </c>
      <c r="L388" s="72">
        <f t="shared" ref="L388:L437" si="41">K388-J388+7.3</f>
        <v>20.431313131313122</v>
      </c>
    </row>
    <row r="389" spans="1:12" x14ac:dyDescent="0.25">
      <c r="A389" s="3" t="s">
        <v>780</v>
      </c>
      <c r="B389" t="s">
        <v>780</v>
      </c>
      <c r="C389">
        <f>ROUND(VLOOKUP($A389,Results!$A$2:$I$437,4,FALSE),2)</f>
        <v>30.7</v>
      </c>
      <c r="D389">
        <f>ROUND(VLOOKUP($A389,Results!$A$2:$I$437,5,FALSE),2)</f>
        <v>67.599999999999994</v>
      </c>
      <c r="E389" s="72">
        <f t="shared" si="36"/>
        <v>31.230925737538151</v>
      </c>
      <c r="F389" s="72">
        <f t="shared" si="37"/>
        <v>68.769074262461842</v>
      </c>
      <c r="G389" s="72">
        <f t="shared" si="38"/>
        <v>41.538148524923692</v>
      </c>
      <c r="H389">
        <f>ROUND(VLOOKUP($A389,Results!$A$2:$I$437,6,FALSE),2)</f>
        <v>35</v>
      </c>
      <c r="I389">
        <f>ROUND(VLOOKUP($A389,Results!$A$2:$I$437,7,FALSE),2)</f>
        <v>64</v>
      </c>
      <c r="J389" s="72">
        <f t="shared" si="39"/>
        <v>35.353535353535356</v>
      </c>
      <c r="K389" s="72">
        <f t="shared" si="40"/>
        <v>64.646464646464651</v>
      </c>
      <c r="L389" s="72">
        <f t="shared" si="41"/>
        <v>36.592929292929291</v>
      </c>
    </row>
    <row r="390" spans="1:12" x14ac:dyDescent="0.25">
      <c r="A390" s="3" t="s">
        <v>782</v>
      </c>
      <c r="B390" t="s">
        <v>782</v>
      </c>
      <c r="C390">
        <f>ROUND(VLOOKUP($A390,Results!$A$2:$I$437,4,FALSE),2)</f>
        <v>38.200000000000003</v>
      </c>
      <c r="D390">
        <f>ROUND(VLOOKUP($A390,Results!$A$2:$I$437,5,FALSE),2)</f>
        <v>60.5</v>
      </c>
      <c r="E390" s="72">
        <f t="shared" si="36"/>
        <v>38.703140830800407</v>
      </c>
      <c r="F390" s="72">
        <f t="shared" si="37"/>
        <v>61.296859169199593</v>
      </c>
      <c r="G390" s="72">
        <f t="shared" si="38"/>
        <v>26.593718338399185</v>
      </c>
      <c r="H390">
        <f>ROUND(VLOOKUP($A390,Results!$A$2:$I$437,6,FALSE),2)</f>
        <v>40</v>
      </c>
      <c r="I390">
        <f>ROUND(VLOOKUP($A390,Results!$A$2:$I$437,7,FALSE),2)</f>
        <v>59</v>
      </c>
      <c r="J390" s="72">
        <f t="shared" si="39"/>
        <v>40.404040404040401</v>
      </c>
      <c r="K390" s="72">
        <f t="shared" si="40"/>
        <v>59.595959595959592</v>
      </c>
      <c r="L390" s="72">
        <f t="shared" si="41"/>
        <v>26.491919191919191</v>
      </c>
    </row>
    <row r="391" spans="1:12" x14ac:dyDescent="0.25">
      <c r="A391" s="3" t="s">
        <v>784</v>
      </c>
      <c r="B391" t="s">
        <v>784</v>
      </c>
      <c r="C391">
        <f>ROUND(VLOOKUP($A391,Results!$A$2:$I$437,4,FALSE),2)</f>
        <v>60.3</v>
      </c>
      <c r="D391">
        <f>ROUND(VLOOKUP($A391,Results!$A$2:$I$437,5,FALSE),2)</f>
        <v>38.700000000000003</v>
      </c>
      <c r="E391" s="72">
        <f t="shared" si="36"/>
        <v>60.909090909090899</v>
      </c>
      <c r="F391" s="72">
        <f t="shared" si="37"/>
        <v>39.090909090909093</v>
      </c>
      <c r="G391" s="72">
        <f t="shared" si="38"/>
        <v>-17.818181818181806</v>
      </c>
      <c r="H391">
        <f>ROUND(VLOOKUP($A391,Results!$A$2:$I$437,6,FALSE),2)</f>
        <v>58</v>
      </c>
      <c r="I391">
        <f>ROUND(VLOOKUP($A391,Results!$A$2:$I$437,7,FALSE),2)</f>
        <v>41</v>
      </c>
      <c r="J391" s="72">
        <f t="shared" si="39"/>
        <v>58.585858585858588</v>
      </c>
      <c r="K391" s="72">
        <f t="shared" si="40"/>
        <v>41.414141414141412</v>
      </c>
      <c r="L391" s="72">
        <f t="shared" si="41"/>
        <v>-9.8717171717171759</v>
      </c>
    </row>
    <row r="392" spans="1:12" x14ac:dyDescent="0.25">
      <c r="A392" s="3" t="s">
        <v>786</v>
      </c>
      <c r="B392" t="s">
        <v>786</v>
      </c>
      <c r="C392">
        <f>ROUND(VLOOKUP($A392,Results!$A$2:$I$437,4,FALSE),2)</f>
        <v>65.900000000000006</v>
      </c>
      <c r="D392">
        <f>ROUND(VLOOKUP($A392,Results!$A$2:$I$437,5,FALSE),2)</f>
        <v>33</v>
      </c>
      <c r="E392" s="72">
        <f t="shared" si="36"/>
        <v>66.632962588473205</v>
      </c>
      <c r="F392" s="72">
        <f t="shared" si="37"/>
        <v>33.367037411526795</v>
      </c>
      <c r="G392" s="72">
        <f t="shared" si="38"/>
        <v>-29.265925176946411</v>
      </c>
      <c r="H392">
        <f>ROUND(VLOOKUP($A392,Results!$A$2:$I$437,6,FALSE),2)</f>
        <v>62</v>
      </c>
      <c r="I392">
        <f>ROUND(VLOOKUP($A392,Results!$A$2:$I$437,7,FALSE),2)</f>
        <v>37</v>
      </c>
      <c r="J392" s="72">
        <f t="shared" si="39"/>
        <v>62.62626262626263</v>
      </c>
      <c r="K392" s="72">
        <f t="shared" si="40"/>
        <v>37.373737373737377</v>
      </c>
      <c r="L392" s="72">
        <f t="shared" si="41"/>
        <v>-17.952525252525252</v>
      </c>
    </row>
    <row r="393" spans="1:12" x14ac:dyDescent="0.25">
      <c r="A393" s="3" t="s">
        <v>788</v>
      </c>
      <c r="B393" t="s">
        <v>788</v>
      </c>
      <c r="C393">
        <f>ROUND(VLOOKUP($A393,Results!$A$2:$I$437,4,FALSE),2)</f>
        <v>79.599999999999994</v>
      </c>
      <c r="D393">
        <f>ROUND(VLOOKUP($A393,Results!$A$2:$I$437,5,FALSE),2)</f>
        <v>19.600000000000001</v>
      </c>
      <c r="E393" s="72">
        <f t="shared" si="36"/>
        <v>80.241935483870975</v>
      </c>
      <c r="F393" s="72">
        <f t="shared" si="37"/>
        <v>19.758064516129036</v>
      </c>
      <c r="G393" s="72">
        <f t="shared" si="38"/>
        <v>-56.483870967741936</v>
      </c>
      <c r="H393">
        <f>ROUND(VLOOKUP($A393,Results!$A$2:$I$437,6,FALSE),2)</f>
        <v>78</v>
      </c>
      <c r="I393">
        <f>ROUND(VLOOKUP($A393,Results!$A$2:$I$437,7,FALSE),2)</f>
        <v>21</v>
      </c>
      <c r="J393" s="72">
        <f t="shared" si="39"/>
        <v>78.787878787878782</v>
      </c>
      <c r="K393" s="72">
        <f t="shared" si="40"/>
        <v>21.212121212121211</v>
      </c>
      <c r="L393" s="72">
        <f t="shared" si="41"/>
        <v>-50.275757575757574</v>
      </c>
    </row>
    <row r="394" spans="1:12" x14ac:dyDescent="0.25">
      <c r="A394" s="3" t="s">
        <v>790</v>
      </c>
      <c r="B394" t="s">
        <v>790</v>
      </c>
      <c r="C394">
        <f>ROUND(VLOOKUP($A394,Results!$A$2:$I$437,4,FALSE),2)</f>
        <v>38.299999999999997</v>
      </c>
      <c r="D394">
        <f>ROUND(VLOOKUP($A394,Results!$A$2:$I$437,5,FALSE),2)</f>
        <v>59.6</v>
      </c>
      <c r="E394" s="72">
        <f t="shared" si="36"/>
        <v>39.121552604698664</v>
      </c>
      <c r="F394" s="72">
        <f t="shared" si="37"/>
        <v>60.878447395301329</v>
      </c>
      <c r="G394" s="72">
        <f t="shared" si="38"/>
        <v>25.756894790602665</v>
      </c>
      <c r="H394">
        <f>ROUND(VLOOKUP($A394,Results!$A$2:$I$437,6,FALSE),2)</f>
        <v>43</v>
      </c>
      <c r="I394">
        <f>ROUND(VLOOKUP($A394,Results!$A$2:$I$437,7,FALSE),2)</f>
        <v>56</v>
      </c>
      <c r="J394" s="72">
        <f t="shared" si="39"/>
        <v>43.43434343434344</v>
      </c>
      <c r="K394" s="72">
        <f t="shared" si="40"/>
        <v>56.56565656565656</v>
      </c>
      <c r="L394" s="72">
        <f t="shared" si="41"/>
        <v>20.431313131313122</v>
      </c>
    </row>
    <row r="395" spans="1:12" x14ac:dyDescent="0.25">
      <c r="A395" s="3" t="s">
        <v>792</v>
      </c>
      <c r="B395" t="s">
        <v>792</v>
      </c>
      <c r="C395">
        <f>ROUND(VLOOKUP($A395,Results!$A$2:$I$437,4,FALSE),2)</f>
        <v>41.5</v>
      </c>
      <c r="D395">
        <f>ROUND(VLOOKUP($A395,Results!$A$2:$I$437,5,FALSE),2)</f>
        <v>57</v>
      </c>
      <c r="E395" s="72">
        <f t="shared" si="36"/>
        <v>42.131979695431468</v>
      </c>
      <c r="F395" s="72">
        <f t="shared" si="37"/>
        <v>57.868020304568525</v>
      </c>
      <c r="G395" s="72">
        <f t="shared" si="38"/>
        <v>19.736040609137056</v>
      </c>
      <c r="H395">
        <f>ROUND(VLOOKUP($A395,Results!$A$2:$I$437,6,FALSE),2)</f>
        <v>44</v>
      </c>
      <c r="I395">
        <f>ROUND(VLOOKUP($A395,Results!$A$2:$I$437,7,FALSE),2)</f>
        <v>55</v>
      </c>
      <c r="J395" s="72">
        <f t="shared" si="39"/>
        <v>44.444444444444443</v>
      </c>
      <c r="K395" s="72">
        <f t="shared" si="40"/>
        <v>55.555555555555557</v>
      </c>
      <c r="L395" s="72">
        <f t="shared" si="41"/>
        <v>18.411111111111115</v>
      </c>
    </row>
    <row r="396" spans="1:12" x14ac:dyDescent="0.25">
      <c r="A396" s="3" t="s">
        <v>794</v>
      </c>
      <c r="B396" t="s">
        <v>794</v>
      </c>
      <c r="C396">
        <f>ROUND(VLOOKUP($A396,Results!$A$2:$I$437,4,FALSE),2)</f>
        <v>72</v>
      </c>
      <c r="D396">
        <f>ROUND(VLOOKUP($A396,Results!$A$2:$I$437,5,FALSE),2)</f>
        <v>27.1</v>
      </c>
      <c r="E396" s="72">
        <f t="shared" si="36"/>
        <v>72.653884964682149</v>
      </c>
      <c r="F396" s="72">
        <f t="shared" si="37"/>
        <v>27.346115035317865</v>
      </c>
      <c r="G396" s="72">
        <f t="shared" si="38"/>
        <v>-41.307769929364284</v>
      </c>
      <c r="H396">
        <f>ROUND(VLOOKUP($A396,Results!$A$2:$I$437,6,FALSE),2)</f>
        <v>69</v>
      </c>
      <c r="I396">
        <f>ROUND(VLOOKUP($A396,Results!$A$2:$I$437,7,FALSE),2)</f>
        <v>31</v>
      </c>
      <c r="J396" s="72">
        <f t="shared" si="39"/>
        <v>69</v>
      </c>
      <c r="K396" s="72">
        <f t="shared" si="40"/>
        <v>31</v>
      </c>
      <c r="L396" s="72">
        <f t="shared" si="41"/>
        <v>-30.7</v>
      </c>
    </row>
    <row r="397" spans="1:12" x14ac:dyDescent="0.25">
      <c r="A397" s="3" t="s">
        <v>796</v>
      </c>
      <c r="B397" t="s">
        <v>796</v>
      </c>
      <c r="C397">
        <f>ROUND(VLOOKUP($A397,Results!$A$2:$I$437,4,FALSE),2)</f>
        <v>60.8</v>
      </c>
      <c r="D397">
        <f>ROUND(VLOOKUP($A397,Results!$A$2:$I$437,5,FALSE),2)</f>
        <v>38.299999999999997</v>
      </c>
      <c r="E397" s="72">
        <f t="shared" si="36"/>
        <v>61.352169525731583</v>
      </c>
      <c r="F397" s="72">
        <f t="shared" si="37"/>
        <v>38.64783047426841</v>
      </c>
      <c r="G397" s="72">
        <f t="shared" si="38"/>
        <v>-18.704339051463172</v>
      </c>
      <c r="H397">
        <f>ROUND(VLOOKUP($A397,Results!$A$2:$I$437,6,FALSE),2)</f>
        <v>60</v>
      </c>
      <c r="I397">
        <f>ROUND(VLOOKUP($A397,Results!$A$2:$I$437,7,FALSE),2)</f>
        <v>39</v>
      </c>
      <c r="J397" s="72">
        <f t="shared" si="39"/>
        <v>60.606060606060609</v>
      </c>
      <c r="K397" s="72">
        <f t="shared" si="40"/>
        <v>39.393939393939391</v>
      </c>
      <c r="L397" s="72">
        <f t="shared" si="41"/>
        <v>-13.912121212121217</v>
      </c>
    </row>
    <row r="398" spans="1:12" x14ac:dyDescent="0.25">
      <c r="A398" s="3" t="s">
        <v>798</v>
      </c>
      <c r="B398" t="s">
        <v>798</v>
      </c>
      <c r="C398">
        <f>ROUND(VLOOKUP($A398,Results!$A$2:$I$437,4,FALSE),2)</f>
        <v>63</v>
      </c>
      <c r="D398">
        <f>ROUND(VLOOKUP($A398,Results!$A$2:$I$437,5,FALSE),2)</f>
        <v>34.6</v>
      </c>
      <c r="E398" s="72">
        <f t="shared" si="36"/>
        <v>64.549180327868854</v>
      </c>
      <c r="F398" s="72">
        <f t="shared" si="37"/>
        <v>35.450819672131153</v>
      </c>
      <c r="G398" s="72">
        <f t="shared" si="38"/>
        <v>-25.0983606557377</v>
      </c>
      <c r="H398">
        <f>ROUND(VLOOKUP($A398,Results!$A$2:$I$437,6,FALSE),2)</f>
        <v>63</v>
      </c>
      <c r="I398">
        <f>ROUND(VLOOKUP($A398,Results!$A$2:$I$437,7,FALSE),2)</f>
        <v>35</v>
      </c>
      <c r="J398" s="72">
        <f t="shared" si="39"/>
        <v>64.285714285714292</v>
      </c>
      <c r="K398" s="72">
        <f t="shared" si="40"/>
        <v>35.714285714285715</v>
      </c>
      <c r="L398" s="72">
        <f t="shared" si="41"/>
        <v>-21.271428571428576</v>
      </c>
    </row>
    <row r="399" spans="1:12" x14ac:dyDescent="0.25">
      <c r="A399" s="3" t="s">
        <v>800</v>
      </c>
      <c r="B399" t="s">
        <v>800</v>
      </c>
      <c r="C399">
        <f>ROUND(VLOOKUP($A399,Results!$A$2:$I$437,4,FALSE),2)</f>
        <v>25.7</v>
      </c>
      <c r="D399">
        <f>ROUND(VLOOKUP($A399,Results!$A$2:$I$437,5,FALSE),2)</f>
        <v>73.2</v>
      </c>
      <c r="E399" s="72">
        <f t="shared" si="36"/>
        <v>25.985844287158745</v>
      </c>
      <c r="F399" s="72">
        <f t="shared" si="37"/>
        <v>74.014155712841259</v>
      </c>
      <c r="G399" s="72">
        <f t="shared" si="38"/>
        <v>52.028311425682517</v>
      </c>
      <c r="H399">
        <f>ROUND(VLOOKUP($A399,Results!$A$2:$I$437,6,FALSE),2)</f>
        <v>30</v>
      </c>
      <c r="I399">
        <f>ROUND(VLOOKUP($A399,Results!$A$2:$I$437,7,FALSE),2)</f>
        <v>69</v>
      </c>
      <c r="J399" s="72">
        <f t="shared" si="39"/>
        <v>30.303030303030305</v>
      </c>
      <c r="K399" s="72">
        <f t="shared" si="40"/>
        <v>69.696969696969703</v>
      </c>
      <c r="L399" s="72">
        <f t="shared" si="41"/>
        <v>46.693939393939395</v>
      </c>
    </row>
    <row r="400" spans="1:12" x14ac:dyDescent="0.25">
      <c r="A400" s="3" t="s">
        <v>802</v>
      </c>
      <c r="B400" t="s">
        <v>802</v>
      </c>
      <c r="C400">
        <f>ROUND(VLOOKUP($A400,Results!$A$2:$I$437,4,FALSE),2)</f>
        <v>20.399999999999999</v>
      </c>
      <c r="D400">
        <f>ROUND(VLOOKUP($A400,Results!$A$2:$I$437,5,FALSE),2)</f>
        <v>77.400000000000006</v>
      </c>
      <c r="E400" s="72">
        <f t="shared" si="36"/>
        <v>20.858895705521469</v>
      </c>
      <c r="F400" s="72">
        <f t="shared" si="37"/>
        <v>79.141104294478524</v>
      </c>
      <c r="G400" s="72">
        <f t="shared" si="38"/>
        <v>62.282208588957054</v>
      </c>
      <c r="H400">
        <f>ROUND(VLOOKUP($A400,Results!$A$2:$I$437,6,FALSE),2)</f>
        <v>29.4</v>
      </c>
      <c r="I400">
        <f>ROUND(VLOOKUP($A400,Results!$A$2:$I$437,7,FALSE),2)</f>
        <v>67.7</v>
      </c>
      <c r="J400" s="72">
        <f t="shared" si="39"/>
        <v>30.278063851699276</v>
      </c>
      <c r="K400" s="72">
        <f t="shared" si="40"/>
        <v>69.721936148300728</v>
      </c>
      <c r="L400" s="72">
        <f t="shared" si="41"/>
        <v>46.743872296601452</v>
      </c>
    </row>
    <row r="401" spans="1:12" x14ac:dyDescent="0.25">
      <c r="A401" s="3" t="s">
        <v>804</v>
      </c>
      <c r="B401" t="s">
        <v>804</v>
      </c>
      <c r="C401">
        <f>ROUND(VLOOKUP($A401,Results!$A$2:$I$437,4,FALSE),2)</f>
        <v>29.2</v>
      </c>
      <c r="D401">
        <f>ROUND(VLOOKUP($A401,Results!$A$2:$I$437,5,FALSE),2)</f>
        <v>68</v>
      </c>
      <c r="E401" s="72">
        <f t="shared" si="36"/>
        <v>30.041152263374482</v>
      </c>
      <c r="F401" s="72">
        <f t="shared" si="37"/>
        <v>69.958847736625501</v>
      </c>
      <c r="G401" s="72">
        <f t="shared" si="38"/>
        <v>43.917695473251015</v>
      </c>
      <c r="H401">
        <f>ROUND(VLOOKUP($A401,Results!$A$2:$I$437,6,FALSE),2)</f>
        <v>38.4</v>
      </c>
      <c r="I401">
        <f>ROUND(VLOOKUP($A401,Results!$A$2:$I$437,7,FALSE),2)</f>
        <v>58.5</v>
      </c>
      <c r="J401" s="72">
        <f t="shared" si="39"/>
        <v>39.628482972136219</v>
      </c>
      <c r="K401" s="72">
        <f t="shared" si="40"/>
        <v>60.371517027863774</v>
      </c>
      <c r="L401" s="72">
        <f t="shared" si="41"/>
        <v>28.043034055727556</v>
      </c>
    </row>
    <row r="402" spans="1:12" x14ac:dyDescent="0.25">
      <c r="A402" s="3" t="s">
        <v>806</v>
      </c>
      <c r="B402" t="s">
        <v>806</v>
      </c>
      <c r="C402">
        <f>ROUND(VLOOKUP($A402,Results!$A$2:$I$437,4,FALSE),2)</f>
        <v>19.5</v>
      </c>
      <c r="D402">
        <f>ROUND(VLOOKUP($A402,Results!$A$2:$I$437,5,FALSE),2)</f>
        <v>78.3</v>
      </c>
      <c r="E402" s="72">
        <f t="shared" si="36"/>
        <v>19.938650306748468</v>
      </c>
      <c r="F402" s="72">
        <f t="shared" si="37"/>
        <v>80.061349693251543</v>
      </c>
      <c r="G402" s="72">
        <f t="shared" si="38"/>
        <v>64.122699386503072</v>
      </c>
      <c r="H402">
        <f>ROUND(VLOOKUP($A402,Results!$A$2:$I$437,6,FALSE),2)</f>
        <v>29.5</v>
      </c>
      <c r="I402">
        <f>ROUND(VLOOKUP($A402,Results!$A$2:$I$437,7,FALSE),2)</f>
        <v>67.5</v>
      </c>
      <c r="J402" s="72">
        <f t="shared" si="39"/>
        <v>30.412371134020617</v>
      </c>
      <c r="K402" s="72">
        <f t="shared" si="40"/>
        <v>69.587628865979383</v>
      </c>
      <c r="L402" s="72">
        <f t="shared" si="41"/>
        <v>46.475257731958763</v>
      </c>
    </row>
    <row r="403" spans="1:12" x14ac:dyDescent="0.25">
      <c r="A403" s="3" t="s">
        <v>808</v>
      </c>
      <c r="B403" t="s">
        <v>808</v>
      </c>
      <c r="C403">
        <f>ROUND(VLOOKUP($A403,Results!$A$2:$I$437,4,FALSE),2)</f>
        <v>30.2</v>
      </c>
      <c r="D403">
        <f>ROUND(VLOOKUP($A403,Results!$A$2:$I$437,5,FALSE),2)</f>
        <v>67.2</v>
      </c>
      <c r="E403" s="72">
        <f t="shared" si="36"/>
        <v>31.006160164271044</v>
      </c>
      <c r="F403" s="72">
        <f t="shared" si="37"/>
        <v>68.993839835728949</v>
      </c>
      <c r="G403" s="72">
        <f t="shared" si="38"/>
        <v>41.987679671457904</v>
      </c>
      <c r="H403">
        <f>ROUND(VLOOKUP($A403,Results!$A$2:$I$437,6,FALSE),2)</f>
        <v>40.9</v>
      </c>
      <c r="I403">
        <f>ROUND(VLOOKUP($A403,Results!$A$2:$I$437,7,FALSE),2)</f>
        <v>56.1</v>
      </c>
      <c r="J403" s="72">
        <f t="shared" si="39"/>
        <v>42.164948453608247</v>
      </c>
      <c r="K403" s="72">
        <f t="shared" si="40"/>
        <v>57.83505154639176</v>
      </c>
      <c r="L403" s="72">
        <f t="shared" si="41"/>
        <v>22.970103092783514</v>
      </c>
    </row>
    <row r="404" spans="1:12" x14ac:dyDescent="0.25">
      <c r="A404" s="3" t="s">
        <v>810</v>
      </c>
      <c r="B404" t="s">
        <v>810</v>
      </c>
      <c r="C404">
        <f>ROUND(VLOOKUP($A404,Results!$A$2:$I$437,4,FALSE),2)</f>
        <v>45.6</v>
      </c>
      <c r="D404">
        <f>ROUND(VLOOKUP($A404,Results!$A$2:$I$437,5,FALSE),2)</f>
        <v>53</v>
      </c>
      <c r="E404" s="72">
        <f t="shared" si="36"/>
        <v>46.2474645030426</v>
      </c>
      <c r="F404" s="72">
        <f t="shared" si="37"/>
        <v>53.752535496957407</v>
      </c>
      <c r="G404" s="72">
        <f t="shared" si="38"/>
        <v>11.505070993914806</v>
      </c>
      <c r="H404">
        <f>ROUND(VLOOKUP($A404,Results!$A$2:$I$437,6,FALSE),2)</f>
        <v>46.9</v>
      </c>
      <c r="I404">
        <f>ROUND(VLOOKUP($A404,Results!$A$2:$I$437,7,FALSE),2)</f>
        <v>52.3</v>
      </c>
      <c r="J404" s="72">
        <f t="shared" si="39"/>
        <v>47.278225806451616</v>
      </c>
      <c r="K404" s="72">
        <f t="shared" si="40"/>
        <v>52.721774193548384</v>
      </c>
      <c r="L404" s="72">
        <f t="shared" si="41"/>
        <v>12.743548387096769</v>
      </c>
    </row>
    <row r="405" spans="1:12" x14ac:dyDescent="0.25">
      <c r="A405" s="3" t="s">
        <v>812</v>
      </c>
      <c r="B405" t="s">
        <v>812</v>
      </c>
      <c r="C405">
        <f>ROUND(VLOOKUP($A405,Results!$A$2:$I$437,4,FALSE),2)</f>
        <v>50.1</v>
      </c>
      <c r="D405">
        <f>ROUND(VLOOKUP($A405,Results!$A$2:$I$437,5,FALSE),2)</f>
        <v>48.6</v>
      </c>
      <c r="E405" s="72">
        <f t="shared" si="36"/>
        <v>50.759878419452889</v>
      </c>
      <c r="F405" s="72">
        <f t="shared" si="37"/>
        <v>49.240121580547111</v>
      </c>
      <c r="G405" s="72">
        <f t="shared" si="38"/>
        <v>2.4802431610942222</v>
      </c>
      <c r="H405">
        <f>ROUND(VLOOKUP($A405,Results!$A$2:$I$437,6,FALSE),2)</f>
        <v>50.4</v>
      </c>
      <c r="I405">
        <f>ROUND(VLOOKUP($A405,Results!$A$2:$I$437,7,FALSE),2)</f>
        <v>48.7</v>
      </c>
      <c r="J405" s="72">
        <f t="shared" si="39"/>
        <v>50.857719475277499</v>
      </c>
      <c r="K405" s="72">
        <f t="shared" si="40"/>
        <v>49.142280524722509</v>
      </c>
      <c r="L405" s="72">
        <f t="shared" si="41"/>
        <v>5.5845610494450098</v>
      </c>
    </row>
    <row r="406" spans="1:12" x14ac:dyDescent="0.25">
      <c r="A406" s="3" t="s">
        <v>814</v>
      </c>
      <c r="B406" t="s">
        <v>814</v>
      </c>
      <c r="C406">
        <f>ROUND(VLOOKUP($A406,Results!$A$2:$I$437,4,FALSE),2)</f>
        <v>79</v>
      </c>
      <c r="D406">
        <f>ROUND(VLOOKUP($A406,Results!$A$2:$I$437,5,FALSE),2)</f>
        <v>20</v>
      </c>
      <c r="E406" s="72">
        <f t="shared" si="36"/>
        <v>79.797979797979806</v>
      </c>
      <c r="F406" s="72">
        <f t="shared" si="37"/>
        <v>20.202020202020201</v>
      </c>
      <c r="G406" s="72">
        <f t="shared" si="38"/>
        <v>-55.595959595959606</v>
      </c>
      <c r="H406">
        <f>ROUND(VLOOKUP($A406,Results!$A$2:$I$437,6,FALSE),2)</f>
        <v>78.5</v>
      </c>
      <c r="I406">
        <f>ROUND(VLOOKUP($A406,Results!$A$2:$I$437,7,FALSE),2)</f>
        <v>20.9</v>
      </c>
      <c r="J406" s="72">
        <f t="shared" si="39"/>
        <v>78.973843058350084</v>
      </c>
      <c r="K406" s="72">
        <f t="shared" si="40"/>
        <v>21.026156941649894</v>
      </c>
      <c r="L406" s="72">
        <f t="shared" si="41"/>
        <v>-50.647686116700193</v>
      </c>
    </row>
    <row r="407" spans="1:12" x14ac:dyDescent="0.25">
      <c r="A407" s="3" t="s">
        <v>816</v>
      </c>
      <c r="B407" t="s">
        <v>816</v>
      </c>
      <c r="C407">
        <f>ROUND(VLOOKUP($A407,Results!$A$2:$I$437,4,FALSE),2)</f>
        <v>48.8</v>
      </c>
      <c r="D407">
        <f>ROUND(VLOOKUP($A407,Results!$A$2:$I$437,5,FALSE),2)</f>
        <v>50.1</v>
      </c>
      <c r="E407" s="72">
        <f t="shared" si="36"/>
        <v>49.342770475227496</v>
      </c>
      <c r="F407" s="72">
        <f t="shared" si="37"/>
        <v>50.657229524772497</v>
      </c>
      <c r="G407" s="72">
        <f t="shared" si="38"/>
        <v>5.3144590495450004</v>
      </c>
      <c r="H407">
        <f>ROUND(VLOOKUP($A407,Results!$A$2:$I$437,6,FALSE),2)</f>
        <v>48.9</v>
      </c>
      <c r="I407">
        <f>ROUND(VLOOKUP($A407,Results!$A$2:$I$437,7,FALSE),2)</f>
        <v>50.4</v>
      </c>
      <c r="J407" s="72">
        <f t="shared" si="39"/>
        <v>49.244712990936556</v>
      </c>
      <c r="K407" s="72">
        <f t="shared" si="40"/>
        <v>50.755287009063444</v>
      </c>
      <c r="L407" s="72">
        <f t="shared" si="41"/>
        <v>8.8105740181268892</v>
      </c>
    </row>
    <row r="408" spans="1:12" x14ac:dyDescent="0.25">
      <c r="A408" s="3" t="s">
        <v>818</v>
      </c>
      <c r="B408" t="s">
        <v>818</v>
      </c>
      <c r="C408">
        <f>ROUND(VLOOKUP($A408,Results!$A$2:$I$437,4,FALSE),2)</f>
        <v>45.9</v>
      </c>
      <c r="D408">
        <f>ROUND(VLOOKUP($A408,Results!$A$2:$I$437,5,FALSE),2)</f>
        <v>52.5</v>
      </c>
      <c r="E408" s="72">
        <f t="shared" si="36"/>
        <v>46.646341463414629</v>
      </c>
      <c r="F408" s="72">
        <f t="shared" si="37"/>
        <v>53.353658536585357</v>
      </c>
      <c r="G408" s="72">
        <f t="shared" si="38"/>
        <v>10.707317073170728</v>
      </c>
      <c r="H408">
        <f>ROUND(VLOOKUP($A408,Results!$A$2:$I$437,6,FALSE),2)</f>
        <v>47.9</v>
      </c>
      <c r="I408">
        <f>ROUND(VLOOKUP($A408,Results!$A$2:$I$437,7,FALSE),2)</f>
        <v>51.1</v>
      </c>
      <c r="J408" s="72">
        <f t="shared" si="39"/>
        <v>48.383838383838388</v>
      </c>
      <c r="K408" s="72">
        <f t="shared" si="40"/>
        <v>51.616161616161612</v>
      </c>
      <c r="L408" s="72">
        <f t="shared" si="41"/>
        <v>10.532323232323225</v>
      </c>
    </row>
    <row r="409" spans="1:12" x14ac:dyDescent="0.25">
      <c r="A409" s="3" t="s">
        <v>820</v>
      </c>
      <c r="B409" t="s">
        <v>820</v>
      </c>
      <c r="C409">
        <f>ROUND(VLOOKUP($A409,Results!$A$2:$I$437,4,FALSE),2)</f>
        <v>39.5</v>
      </c>
      <c r="D409">
        <f>ROUND(VLOOKUP($A409,Results!$A$2:$I$437,5,FALSE),2)</f>
        <v>58.8</v>
      </c>
      <c r="E409" s="72">
        <f t="shared" si="36"/>
        <v>40.183112919633771</v>
      </c>
      <c r="F409" s="72">
        <f t="shared" si="37"/>
        <v>59.816887080366222</v>
      </c>
      <c r="G409" s="72">
        <f t="shared" si="38"/>
        <v>23.63377416073245</v>
      </c>
      <c r="H409">
        <f>ROUND(VLOOKUP($A409,Results!$A$2:$I$437,6,FALSE),2)</f>
        <v>42</v>
      </c>
      <c r="I409">
        <f>ROUND(VLOOKUP($A409,Results!$A$2:$I$437,7,FALSE),2)</f>
        <v>57</v>
      </c>
      <c r="J409" s="72">
        <f t="shared" si="39"/>
        <v>42.424242424242422</v>
      </c>
      <c r="K409" s="72">
        <f t="shared" si="40"/>
        <v>57.575757575757578</v>
      </c>
      <c r="L409" s="72">
        <f t="shared" si="41"/>
        <v>22.451515151515157</v>
      </c>
    </row>
    <row r="410" spans="1:12" x14ac:dyDescent="0.25">
      <c r="A410" s="3" t="s">
        <v>822</v>
      </c>
      <c r="B410" t="s">
        <v>822</v>
      </c>
      <c r="C410">
        <f>ROUND(VLOOKUP($A410,Results!$A$2:$I$437,4,FALSE),2)</f>
        <v>41.7</v>
      </c>
      <c r="D410">
        <f>ROUND(VLOOKUP($A410,Results!$A$2:$I$437,5,FALSE),2)</f>
        <v>56.9</v>
      </c>
      <c r="E410" s="72">
        <f t="shared" si="36"/>
        <v>42.292089249492903</v>
      </c>
      <c r="F410" s="72">
        <f t="shared" si="37"/>
        <v>57.707910750507097</v>
      </c>
      <c r="G410" s="72">
        <f t="shared" si="38"/>
        <v>19.415821501014193</v>
      </c>
      <c r="H410">
        <f>ROUND(VLOOKUP($A410,Results!$A$2:$I$437,6,FALSE),2)</f>
        <v>43.6</v>
      </c>
      <c r="I410">
        <f>ROUND(VLOOKUP($A410,Results!$A$2:$I$437,7,FALSE),2)</f>
        <v>55.6</v>
      </c>
      <c r="J410" s="72">
        <f t="shared" si="39"/>
        <v>43.951612903225808</v>
      </c>
      <c r="K410" s="72">
        <f t="shared" si="40"/>
        <v>56.048387096774185</v>
      </c>
      <c r="L410" s="72">
        <f t="shared" si="41"/>
        <v>19.396774193548378</v>
      </c>
    </row>
    <row r="411" spans="1:12" x14ac:dyDescent="0.25">
      <c r="A411" s="3" t="s">
        <v>824</v>
      </c>
      <c r="B411" t="s">
        <v>824</v>
      </c>
      <c r="C411">
        <f>ROUND(VLOOKUP($A411,Results!$A$2:$I$437,4,FALSE),2)</f>
        <v>67.8</v>
      </c>
      <c r="D411">
        <f>ROUND(VLOOKUP($A411,Results!$A$2:$I$437,5,FALSE),2)</f>
        <v>31</v>
      </c>
      <c r="E411" s="72">
        <f t="shared" si="36"/>
        <v>68.623481781376512</v>
      </c>
      <c r="F411" s="72">
        <f t="shared" si="37"/>
        <v>31.376518218623485</v>
      </c>
      <c r="G411" s="72">
        <f t="shared" si="38"/>
        <v>-33.246963562753024</v>
      </c>
      <c r="H411">
        <f>ROUND(VLOOKUP($A411,Results!$A$2:$I$437,6,FALSE),2)</f>
        <v>68.5</v>
      </c>
      <c r="I411">
        <f>ROUND(VLOOKUP($A411,Results!$A$2:$I$437,7,FALSE),2)</f>
        <v>30.6</v>
      </c>
      <c r="J411" s="72">
        <f t="shared" si="39"/>
        <v>69.122098890010093</v>
      </c>
      <c r="K411" s="72">
        <f t="shared" si="40"/>
        <v>30.877901109989914</v>
      </c>
      <c r="L411" s="72">
        <f t="shared" si="41"/>
        <v>-30.944197780020179</v>
      </c>
    </row>
    <row r="412" spans="1:12" x14ac:dyDescent="0.25">
      <c r="A412" s="3" t="s">
        <v>826</v>
      </c>
      <c r="B412" t="s">
        <v>826</v>
      </c>
      <c r="C412">
        <f>ROUND(VLOOKUP($A412,Results!$A$2:$I$437,4,FALSE),2)</f>
        <v>34.9</v>
      </c>
      <c r="D412">
        <f>ROUND(VLOOKUP($A412,Results!$A$2:$I$437,5,FALSE),2)</f>
        <v>63.1</v>
      </c>
      <c r="E412" s="72">
        <f t="shared" si="36"/>
        <v>35.612244897959187</v>
      </c>
      <c r="F412" s="72">
        <f t="shared" si="37"/>
        <v>64.387755102040828</v>
      </c>
      <c r="G412" s="72">
        <f t="shared" si="38"/>
        <v>32.775510204081641</v>
      </c>
      <c r="H412">
        <f>ROUND(VLOOKUP($A412,Results!$A$2:$I$437,6,FALSE),2)</f>
        <v>40.200000000000003</v>
      </c>
      <c r="I412">
        <f>ROUND(VLOOKUP($A412,Results!$A$2:$I$437,7,FALSE),2)</f>
        <v>58.4</v>
      </c>
      <c r="J412" s="72">
        <f t="shared" si="39"/>
        <v>40.770791075050717</v>
      </c>
      <c r="K412" s="72">
        <f t="shared" si="40"/>
        <v>59.229208924949297</v>
      </c>
      <c r="L412" s="72">
        <f t="shared" si="41"/>
        <v>25.758417849898581</v>
      </c>
    </row>
    <row r="413" spans="1:12" x14ac:dyDescent="0.25">
      <c r="A413" s="3" t="s">
        <v>828</v>
      </c>
      <c r="B413" t="s">
        <v>828</v>
      </c>
      <c r="C413">
        <f>ROUND(VLOOKUP($A413,Results!$A$2:$I$437,4,FALSE),2)</f>
        <v>48.8</v>
      </c>
      <c r="D413">
        <f>ROUND(VLOOKUP($A413,Results!$A$2:$I$437,5,FALSE),2)</f>
        <v>49.9</v>
      </c>
      <c r="E413" s="72">
        <f t="shared" si="36"/>
        <v>49.442755825734551</v>
      </c>
      <c r="F413" s="72">
        <f t="shared" si="37"/>
        <v>50.557244174265456</v>
      </c>
      <c r="G413" s="72">
        <f t="shared" si="38"/>
        <v>5.1144883485309052</v>
      </c>
      <c r="H413">
        <f>ROUND(VLOOKUP($A413,Results!$A$2:$I$437,6,FALSE),2)</f>
        <v>51</v>
      </c>
      <c r="I413">
        <f>ROUND(VLOOKUP($A413,Results!$A$2:$I$437,7,FALSE),2)</f>
        <v>48.2</v>
      </c>
      <c r="J413" s="72">
        <f t="shared" si="39"/>
        <v>51.411290322580641</v>
      </c>
      <c r="K413" s="72">
        <f t="shared" si="40"/>
        <v>48.588709677419359</v>
      </c>
      <c r="L413" s="72">
        <f t="shared" si="41"/>
        <v>4.4774193548387187</v>
      </c>
    </row>
    <row r="414" spans="1:12" x14ac:dyDescent="0.25">
      <c r="A414" s="3" t="s">
        <v>830</v>
      </c>
      <c r="B414" t="s">
        <v>830</v>
      </c>
      <c r="C414">
        <f>ROUND(VLOOKUP($A414,Results!$A$2:$I$437,4,FALSE),2)</f>
        <v>62.5</v>
      </c>
      <c r="D414">
        <f>ROUND(VLOOKUP($A414,Results!$A$2:$I$437,5,FALSE),2)</f>
        <v>36.299999999999997</v>
      </c>
      <c r="E414" s="72">
        <f t="shared" si="36"/>
        <v>63.259109311740893</v>
      </c>
      <c r="F414" s="72">
        <f t="shared" si="37"/>
        <v>36.740890688259107</v>
      </c>
      <c r="G414" s="72">
        <f t="shared" si="38"/>
        <v>-22.518218623481786</v>
      </c>
      <c r="H414">
        <f>ROUND(VLOOKUP($A414,Results!$A$2:$I$437,6,FALSE),2)</f>
        <v>62.3</v>
      </c>
      <c r="I414">
        <f>ROUND(VLOOKUP($A414,Results!$A$2:$I$437,7,FALSE),2)</f>
        <v>37</v>
      </c>
      <c r="J414" s="72">
        <f t="shared" si="39"/>
        <v>62.73917421953675</v>
      </c>
      <c r="K414" s="72">
        <f t="shared" si="40"/>
        <v>37.260825780463243</v>
      </c>
      <c r="L414" s="72">
        <f t="shared" si="41"/>
        <v>-18.178348439073506</v>
      </c>
    </row>
    <row r="415" spans="1:12" x14ac:dyDescent="0.25">
      <c r="A415" s="3" t="s">
        <v>832</v>
      </c>
      <c r="B415" t="s">
        <v>1177</v>
      </c>
      <c r="C415">
        <f>ROUND(VLOOKUP($A415,Results!$A$2:$I$437,4,FALSE),2)</f>
        <v>67</v>
      </c>
      <c r="D415">
        <f>ROUND(VLOOKUP($A415,Results!$A$2:$I$437,5,FALSE),2)</f>
        <v>31.2</v>
      </c>
      <c r="E415" s="72">
        <f t="shared" si="36"/>
        <v>68.228105906313644</v>
      </c>
      <c r="F415" s="72">
        <f t="shared" si="37"/>
        <v>31.771894093686353</v>
      </c>
      <c r="G415" s="72">
        <f t="shared" si="38"/>
        <v>-32.456211812627288</v>
      </c>
      <c r="H415">
        <f>ROUND(VLOOKUP($A415,Results!$A$2:$I$437,6,FALSE),2)</f>
        <v>67.8</v>
      </c>
      <c r="I415">
        <f>ROUND(VLOOKUP($A415,Results!$A$2:$I$437,7,FALSE),2)</f>
        <v>30.6</v>
      </c>
      <c r="J415" s="72">
        <f t="shared" si="39"/>
        <v>68.902439024390233</v>
      </c>
      <c r="K415" s="72">
        <f t="shared" si="40"/>
        <v>31.097560975609756</v>
      </c>
      <c r="L415" s="72">
        <f t="shared" si="41"/>
        <v>-30.50487804878048</v>
      </c>
    </row>
    <row r="416" spans="1:12" x14ac:dyDescent="0.25">
      <c r="A416" s="3" t="s">
        <v>834</v>
      </c>
      <c r="B416" t="s">
        <v>834</v>
      </c>
      <c r="C416">
        <f>ROUND(VLOOKUP($A416,Results!$A$2:$I$437,4,FALSE),2)</f>
        <v>54.1</v>
      </c>
      <c r="D416">
        <f>ROUND(VLOOKUP($A416,Results!$A$2:$I$437,5,FALSE),2)</f>
        <v>43.3</v>
      </c>
      <c r="E416" s="72">
        <f t="shared" si="36"/>
        <v>55.544147843942504</v>
      </c>
      <c r="F416" s="72">
        <f t="shared" si="37"/>
        <v>44.455852156057489</v>
      </c>
      <c r="G416" s="72">
        <f t="shared" si="38"/>
        <v>-7.0882956878850152</v>
      </c>
      <c r="H416">
        <f>ROUND(VLOOKUP($A416,Results!$A$2:$I$437,6,FALSE),2)</f>
        <v>56.3</v>
      </c>
      <c r="I416">
        <f>ROUND(VLOOKUP($A416,Results!$A$2:$I$437,7,FALSE),2)</f>
        <v>41.9</v>
      </c>
      <c r="J416" s="72">
        <f t="shared" si="39"/>
        <v>57.331975560081474</v>
      </c>
      <c r="K416" s="72">
        <f t="shared" si="40"/>
        <v>42.66802443991854</v>
      </c>
      <c r="L416" s="72">
        <f t="shared" si="41"/>
        <v>-7.3639511201629348</v>
      </c>
    </row>
    <row r="417" spans="1:12" x14ac:dyDescent="0.25">
      <c r="A417" s="3" t="s">
        <v>836</v>
      </c>
      <c r="B417" t="s">
        <v>836</v>
      </c>
      <c r="C417">
        <f>ROUND(VLOOKUP($A417,Results!$A$2:$I$437,4,FALSE),2)</f>
        <v>59.2</v>
      </c>
      <c r="D417">
        <f>ROUND(VLOOKUP($A417,Results!$A$2:$I$437,5,FALSE),2)</f>
        <v>38</v>
      </c>
      <c r="E417" s="72">
        <f t="shared" si="36"/>
        <v>60.905349794238681</v>
      </c>
      <c r="F417" s="72">
        <f t="shared" si="37"/>
        <v>39.094650205761319</v>
      </c>
      <c r="G417" s="72">
        <f t="shared" si="38"/>
        <v>-17.810699588477362</v>
      </c>
      <c r="H417">
        <f>ROUND(VLOOKUP($A417,Results!$A$2:$I$437,6,FALSE),2)</f>
        <v>60.5</v>
      </c>
      <c r="I417">
        <f>ROUND(VLOOKUP($A417,Results!$A$2:$I$437,7,FALSE),2)</f>
        <v>37.6</v>
      </c>
      <c r="J417" s="72">
        <f t="shared" si="39"/>
        <v>61.671763506625901</v>
      </c>
      <c r="K417" s="72">
        <f t="shared" si="40"/>
        <v>38.328236493374114</v>
      </c>
      <c r="L417" s="72">
        <f t="shared" si="41"/>
        <v>-16.043527013251786</v>
      </c>
    </row>
    <row r="418" spans="1:12" x14ac:dyDescent="0.25">
      <c r="A418" s="3" t="s">
        <v>838</v>
      </c>
      <c r="B418" t="s">
        <v>838</v>
      </c>
      <c r="C418">
        <f>ROUND(VLOOKUP($A418,Results!$A$2:$I$437,4,FALSE),2)</f>
        <v>47.9</v>
      </c>
      <c r="D418">
        <f>ROUND(VLOOKUP($A418,Results!$A$2:$I$437,5,FALSE),2)</f>
        <v>49.6</v>
      </c>
      <c r="E418" s="72">
        <f t="shared" si="36"/>
        <v>49.128205128205124</v>
      </c>
      <c r="F418" s="72">
        <f t="shared" si="37"/>
        <v>50.871794871794876</v>
      </c>
      <c r="G418" s="72">
        <f t="shared" si="38"/>
        <v>5.7435897435897516</v>
      </c>
      <c r="H418">
        <f>ROUND(VLOOKUP($A418,Results!$A$2:$I$437,6,FALSE),2)</f>
        <v>50.9</v>
      </c>
      <c r="I418">
        <f>ROUND(VLOOKUP($A418,Results!$A$2:$I$437,7,FALSE),2)</f>
        <v>47.1</v>
      </c>
      <c r="J418" s="72">
        <f t="shared" si="39"/>
        <v>51.938775510204081</v>
      </c>
      <c r="K418" s="72">
        <f t="shared" si="40"/>
        <v>48.061224489795919</v>
      </c>
      <c r="L418" s="72">
        <f t="shared" si="41"/>
        <v>3.4224489795918371</v>
      </c>
    </row>
    <row r="419" spans="1:12" x14ac:dyDescent="0.25">
      <c r="A419" s="3" t="s">
        <v>840</v>
      </c>
      <c r="B419" t="s">
        <v>840</v>
      </c>
      <c r="C419">
        <f>ROUND(VLOOKUP($A419,Results!$A$2:$I$437,4,FALSE),2)</f>
        <v>37.9</v>
      </c>
      <c r="D419">
        <f>ROUND(VLOOKUP($A419,Results!$A$2:$I$437,5,FALSE),2)</f>
        <v>59.7</v>
      </c>
      <c r="E419" s="72">
        <f t="shared" si="36"/>
        <v>38.831967213114751</v>
      </c>
      <c r="F419" s="72">
        <f t="shared" si="37"/>
        <v>61.168032786885249</v>
      </c>
      <c r="G419" s="72">
        <f t="shared" si="38"/>
        <v>26.336065573770497</v>
      </c>
      <c r="H419">
        <f>ROUND(VLOOKUP($A419,Results!$A$2:$I$437,6,FALSE),2)</f>
        <v>39.200000000000003</v>
      </c>
      <c r="I419">
        <f>ROUND(VLOOKUP($A419,Results!$A$2:$I$437,7,FALSE),2)</f>
        <v>58.9</v>
      </c>
      <c r="J419" s="72">
        <f t="shared" si="39"/>
        <v>39.959225280326208</v>
      </c>
      <c r="K419" s="72">
        <f t="shared" si="40"/>
        <v>60.040774719673806</v>
      </c>
      <c r="L419" s="72">
        <f t="shared" si="41"/>
        <v>27.381549439347598</v>
      </c>
    </row>
    <row r="420" spans="1:12" x14ac:dyDescent="0.25">
      <c r="A420" s="3" t="s">
        <v>842</v>
      </c>
      <c r="B420" t="s">
        <v>842</v>
      </c>
      <c r="C420">
        <f>ROUND(VLOOKUP($A420,Results!$A$2:$I$437,4,FALSE),2)</f>
        <v>43.7</v>
      </c>
      <c r="D420">
        <f>ROUND(VLOOKUP($A420,Results!$A$2:$I$437,5,FALSE),2)</f>
        <v>53.5</v>
      </c>
      <c r="E420" s="72">
        <f t="shared" si="36"/>
        <v>44.958847736625515</v>
      </c>
      <c r="F420" s="72">
        <f t="shared" si="37"/>
        <v>55.041152263374485</v>
      </c>
      <c r="G420" s="72">
        <f t="shared" si="38"/>
        <v>14.08230452674897</v>
      </c>
      <c r="H420">
        <f>ROUND(VLOOKUP($A420,Results!$A$2:$I$437,6,FALSE),2)</f>
        <v>46.3</v>
      </c>
      <c r="I420">
        <f>ROUND(VLOOKUP($A420,Results!$A$2:$I$437,7,FALSE),2)</f>
        <v>51.2</v>
      </c>
      <c r="J420" s="72">
        <f t="shared" si="39"/>
        <v>47.487179487179482</v>
      </c>
      <c r="K420" s="72">
        <f t="shared" si="40"/>
        <v>52.512820512820511</v>
      </c>
      <c r="L420" s="72">
        <f t="shared" si="41"/>
        <v>12.32564102564103</v>
      </c>
    </row>
    <row r="421" spans="1:12" x14ac:dyDescent="0.25">
      <c r="A421" s="3" t="s">
        <v>844</v>
      </c>
      <c r="B421" t="s">
        <v>844</v>
      </c>
      <c r="C421">
        <f>ROUND(VLOOKUP($A421,Results!$A$2:$I$437,4,FALSE),2)</f>
        <v>56.1</v>
      </c>
      <c r="D421">
        <f>ROUND(VLOOKUP($A421,Results!$A$2:$I$437,5,FALSE),2)</f>
        <v>41.2</v>
      </c>
      <c r="E421" s="72">
        <f t="shared" si="36"/>
        <v>57.656731757451176</v>
      </c>
      <c r="F421" s="72">
        <f t="shared" si="37"/>
        <v>42.343268242548817</v>
      </c>
      <c r="G421" s="72">
        <f t="shared" si="38"/>
        <v>-11.313463514902359</v>
      </c>
      <c r="H421">
        <f>ROUND(VLOOKUP($A421,Results!$A$2:$I$437,6,FALSE),2)</f>
        <v>57</v>
      </c>
      <c r="I421">
        <f>ROUND(VLOOKUP($A421,Results!$A$2:$I$437,7,FALSE),2)</f>
        <v>40.9</v>
      </c>
      <c r="J421" s="72">
        <f t="shared" si="39"/>
        <v>58.222676200204283</v>
      </c>
      <c r="K421" s="72">
        <f t="shared" si="40"/>
        <v>41.77732379979571</v>
      </c>
      <c r="L421" s="72">
        <f t="shared" si="41"/>
        <v>-9.1453524004085729</v>
      </c>
    </row>
    <row r="422" spans="1:12" x14ac:dyDescent="0.25">
      <c r="A422" s="3" t="s">
        <v>846</v>
      </c>
      <c r="B422" t="s">
        <v>846</v>
      </c>
      <c r="C422">
        <f>ROUND(VLOOKUP($A422,Results!$A$2:$I$437,4,FALSE),2)</f>
        <v>79.2</v>
      </c>
      <c r="D422">
        <f>ROUND(VLOOKUP($A422,Results!$A$2:$I$437,5,FALSE),2)</f>
        <v>18.100000000000001</v>
      </c>
      <c r="E422" s="72">
        <f t="shared" si="36"/>
        <v>81.397738951695771</v>
      </c>
      <c r="F422" s="72">
        <f t="shared" si="37"/>
        <v>18.602261048304214</v>
      </c>
      <c r="G422" s="72">
        <f t="shared" si="38"/>
        <v>-58.795477903391557</v>
      </c>
      <c r="H422">
        <f>ROUND(VLOOKUP($A422,Results!$A$2:$I$437,6,FALSE),2)</f>
        <v>80.400000000000006</v>
      </c>
      <c r="I422">
        <f>ROUND(VLOOKUP($A422,Results!$A$2:$I$437,7,FALSE),2)</f>
        <v>18</v>
      </c>
      <c r="J422" s="72">
        <f t="shared" si="39"/>
        <v>81.707317073170742</v>
      </c>
      <c r="K422" s="72">
        <f t="shared" si="40"/>
        <v>18.292682926829269</v>
      </c>
      <c r="L422" s="72">
        <f t="shared" si="41"/>
        <v>-56.114634146341473</v>
      </c>
    </row>
    <row r="423" spans="1:12" x14ac:dyDescent="0.25">
      <c r="A423" s="3" t="s">
        <v>848</v>
      </c>
      <c r="B423" t="s">
        <v>848</v>
      </c>
      <c r="C423">
        <f>ROUND(VLOOKUP($A423,Results!$A$2:$I$437,4,FALSE),2)</f>
        <v>49.7</v>
      </c>
      <c r="D423">
        <f>ROUND(VLOOKUP($A423,Results!$A$2:$I$437,5,FALSE),2)</f>
        <v>48.1</v>
      </c>
      <c r="E423" s="72">
        <f t="shared" si="36"/>
        <v>50.817995910020443</v>
      </c>
      <c r="F423" s="72">
        <f t="shared" si="37"/>
        <v>49.18200408997955</v>
      </c>
      <c r="G423" s="72">
        <f t="shared" si="38"/>
        <v>2.3640081799591073</v>
      </c>
      <c r="H423">
        <f>ROUND(VLOOKUP($A423,Results!$A$2:$I$437,6,FALSE),2)</f>
        <v>51.5</v>
      </c>
      <c r="I423">
        <f>ROUND(VLOOKUP($A423,Results!$A$2:$I$437,7,FALSE),2)</f>
        <v>46.8</v>
      </c>
      <c r="J423" s="72">
        <f t="shared" si="39"/>
        <v>52.390640895218723</v>
      </c>
      <c r="K423" s="72">
        <f t="shared" si="40"/>
        <v>47.609359104781277</v>
      </c>
      <c r="L423" s="72">
        <f t="shared" si="41"/>
        <v>2.5187182095625529</v>
      </c>
    </row>
    <row r="424" spans="1:12" x14ac:dyDescent="0.25">
      <c r="A424" s="3" t="s">
        <v>850</v>
      </c>
      <c r="B424" t="s">
        <v>850</v>
      </c>
      <c r="C424">
        <f>ROUND(VLOOKUP($A424,Results!$A$2:$I$437,4,FALSE),2)</f>
        <v>68.3</v>
      </c>
      <c r="D424">
        <f>ROUND(VLOOKUP($A424,Results!$A$2:$I$437,5,FALSE),2)</f>
        <v>29.6</v>
      </c>
      <c r="E424" s="72">
        <f t="shared" si="36"/>
        <v>69.76506639427987</v>
      </c>
      <c r="F424" s="72">
        <f t="shared" si="37"/>
        <v>30.234933605720123</v>
      </c>
      <c r="G424" s="72">
        <f t="shared" si="38"/>
        <v>-35.530132788559747</v>
      </c>
      <c r="H424">
        <f>ROUND(VLOOKUP($A424,Results!$A$2:$I$437,6,FALSE),2)</f>
        <v>68.599999999999994</v>
      </c>
      <c r="I424">
        <f>ROUND(VLOOKUP($A424,Results!$A$2:$I$437,7,FALSE),2)</f>
        <v>29.9</v>
      </c>
      <c r="J424" s="72">
        <f t="shared" si="39"/>
        <v>69.64467005076142</v>
      </c>
      <c r="K424" s="72">
        <f t="shared" si="40"/>
        <v>30.35532994923858</v>
      </c>
      <c r="L424" s="72">
        <f t="shared" si="41"/>
        <v>-31.989340101522838</v>
      </c>
    </row>
    <row r="425" spans="1:12" x14ac:dyDescent="0.25">
      <c r="A425" s="3" t="s">
        <v>852</v>
      </c>
      <c r="B425" t="s">
        <v>852</v>
      </c>
      <c r="C425">
        <f>ROUND(VLOOKUP($A425,Results!$A$2:$I$437,4,FALSE),2)</f>
        <v>56.3</v>
      </c>
      <c r="D425">
        <f>ROUND(VLOOKUP($A425,Results!$A$2:$I$437,5,FALSE),2)</f>
        <v>41.1</v>
      </c>
      <c r="E425" s="72">
        <f t="shared" si="36"/>
        <v>57.802874743326484</v>
      </c>
      <c r="F425" s="72">
        <f t="shared" si="37"/>
        <v>42.197125256673509</v>
      </c>
      <c r="G425" s="72">
        <f t="shared" si="38"/>
        <v>-11.605749486652975</v>
      </c>
      <c r="H425">
        <f>ROUND(VLOOKUP($A425,Results!$A$2:$I$437,6,FALSE),2)</f>
        <v>57.2</v>
      </c>
      <c r="I425">
        <f>ROUND(VLOOKUP($A425,Results!$A$2:$I$437,7,FALSE),2)</f>
        <v>41</v>
      </c>
      <c r="J425" s="72">
        <f t="shared" si="39"/>
        <v>58.248472505091655</v>
      </c>
      <c r="K425" s="72">
        <f t="shared" si="40"/>
        <v>41.751527494908345</v>
      </c>
      <c r="L425" s="72">
        <f t="shared" si="41"/>
        <v>-9.1969450101833097</v>
      </c>
    </row>
    <row r="426" spans="1:12" x14ac:dyDescent="0.25">
      <c r="A426" s="3" t="s">
        <v>854</v>
      </c>
      <c r="B426" t="s">
        <v>854</v>
      </c>
      <c r="C426">
        <f>ROUND(VLOOKUP($A426,Results!$A$2:$I$437,4,FALSE),2)</f>
        <v>47.4</v>
      </c>
      <c r="D426">
        <f>ROUND(VLOOKUP($A426,Results!$A$2:$I$437,5,FALSE),2)</f>
        <v>51.6</v>
      </c>
      <c r="E426" s="72">
        <f t="shared" si="36"/>
        <v>47.878787878787875</v>
      </c>
      <c r="F426" s="72">
        <f t="shared" si="37"/>
        <v>52.121212121212125</v>
      </c>
      <c r="G426" s="72">
        <f t="shared" si="38"/>
        <v>8.2424242424242493</v>
      </c>
      <c r="H426">
        <f>ROUND(VLOOKUP($A426,Results!$A$2:$I$437,6,FALSE),2)</f>
        <v>50.8</v>
      </c>
      <c r="I426">
        <f>ROUND(VLOOKUP($A426,Results!$A$2:$I$437,7,FALSE),2)</f>
        <v>48.1</v>
      </c>
      <c r="J426" s="72">
        <f t="shared" si="39"/>
        <v>51.365015166835178</v>
      </c>
      <c r="K426" s="72">
        <f t="shared" si="40"/>
        <v>48.634984833164815</v>
      </c>
      <c r="L426" s="72">
        <f t="shared" si="41"/>
        <v>4.5699696663296363</v>
      </c>
    </row>
    <row r="427" spans="1:12" x14ac:dyDescent="0.25">
      <c r="A427" s="3" t="s">
        <v>856</v>
      </c>
      <c r="B427" t="s">
        <v>856</v>
      </c>
      <c r="C427">
        <f>ROUND(VLOOKUP($A427,Results!$A$2:$I$437,4,FALSE),2)</f>
        <v>68.3</v>
      </c>
      <c r="D427">
        <f>ROUND(VLOOKUP($A427,Results!$A$2:$I$437,5,FALSE),2)</f>
        <v>30.5</v>
      </c>
      <c r="E427" s="72">
        <f t="shared" si="36"/>
        <v>69.129554655870436</v>
      </c>
      <c r="F427" s="72">
        <f t="shared" si="37"/>
        <v>30.870445344129553</v>
      </c>
      <c r="G427" s="72">
        <f t="shared" si="38"/>
        <v>-34.259109311740886</v>
      </c>
      <c r="H427">
        <f>ROUND(VLOOKUP($A427,Results!$A$2:$I$437,6,FALSE),2)</f>
        <v>70.099999999999994</v>
      </c>
      <c r="I427">
        <f>ROUND(VLOOKUP($A427,Results!$A$2:$I$437,7,FALSE),2)</f>
        <v>28.6</v>
      </c>
      <c r="J427" s="72">
        <f t="shared" si="39"/>
        <v>71.023302938196551</v>
      </c>
      <c r="K427" s="72">
        <f t="shared" si="40"/>
        <v>28.976697061803446</v>
      </c>
      <c r="L427" s="72">
        <f t="shared" si="41"/>
        <v>-34.746605876393104</v>
      </c>
    </row>
    <row r="428" spans="1:12" x14ac:dyDescent="0.25">
      <c r="A428" s="3" t="s">
        <v>858</v>
      </c>
      <c r="B428" t="s">
        <v>858</v>
      </c>
      <c r="C428">
        <f>ROUND(VLOOKUP($A428,Results!$A$2:$I$437,4,FALSE),2)</f>
        <v>54.8</v>
      </c>
      <c r="D428">
        <f>ROUND(VLOOKUP($A428,Results!$A$2:$I$437,5,FALSE),2)</f>
        <v>43.8</v>
      </c>
      <c r="E428" s="72">
        <f t="shared" si="36"/>
        <v>55.578093306288032</v>
      </c>
      <c r="F428" s="72">
        <f t="shared" si="37"/>
        <v>44.421906693711968</v>
      </c>
      <c r="G428" s="72">
        <f t="shared" si="38"/>
        <v>-7.1561866125760645</v>
      </c>
      <c r="H428">
        <f>ROUND(VLOOKUP($A428,Results!$A$2:$I$437,6,FALSE),2)</f>
        <v>59.4</v>
      </c>
      <c r="I428">
        <f>ROUND(VLOOKUP($A428,Results!$A$2:$I$437,7,FALSE),2)</f>
        <v>39.1</v>
      </c>
      <c r="J428" s="72">
        <f t="shared" si="39"/>
        <v>60.304568527918775</v>
      </c>
      <c r="K428" s="72">
        <f t="shared" si="40"/>
        <v>39.695431472081225</v>
      </c>
      <c r="L428" s="72">
        <f t="shared" si="41"/>
        <v>-13.309137055837549</v>
      </c>
    </row>
    <row r="429" spans="1:12" x14ac:dyDescent="0.25">
      <c r="A429" s="3" t="s">
        <v>860</v>
      </c>
      <c r="B429" t="s">
        <v>860</v>
      </c>
      <c r="C429">
        <f>ROUND(VLOOKUP($A429,Results!$A$2:$I$437,4,FALSE),2)</f>
        <v>75.3</v>
      </c>
      <c r="D429">
        <f>ROUND(VLOOKUP($A429,Results!$A$2:$I$437,5,FALSE),2)</f>
        <v>23.8</v>
      </c>
      <c r="E429" s="72">
        <f t="shared" si="36"/>
        <v>75.983854692230068</v>
      </c>
      <c r="F429" s="72">
        <f t="shared" si="37"/>
        <v>24.016145307769932</v>
      </c>
      <c r="G429" s="72">
        <f t="shared" si="38"/>
        <v>-47.967709384460136</v>
      </c>
      <c r="H429">
        <f>ROUND(VLOOKUP($A429,Results!$A$2:$I$437,6,FALSE),2)</f>
        <v>74.400000000000006</v>
      </c>
      <c r="I429">
        <f>ROUND(VLOOKUP($A429,Results!$A$2:$I$437,7,FALSE),2)</f>
        <v>24.6</v>
      </c>
      <c r="J429" s="72">
        <f t="shared" si="39"/>
        <v>75.151515151515156</v>
      </c>
      <c r="K429" s="72">
        <f t="shared" si="40"/>
        <v>24.848484848484851</v>
      </c>
      <c r="L429" s="72">
        <f t="shared" si="41"/>
        <v>-43.003030303030307</v>
      </c>
    </row>
    <row r="430" spans="1:12" x14ac:dyDescent="0.25">
      <c r="A430" s="3" t="s">
        <v>862</v>
      </c>
      <c r="B430" t="s">
        <v>862</v>
      </c>
      <c r="C430">
        <f>ROUND(VLOOKUP($A430,Results!$A$2:$I$437,4,FALSE),2)</f>
        <v>37.700000000000003</v>
      </c>
      <c r="D430">
        <f>ROUND(VLOOKUP($A430,Results!$A$2:$I$437,5,FALSE),2)</f>
        <v>61.3</v>
      </c>
      <c r="E430" s="72">
        <f t="shared" si="36"/>
        <v>38.080808080808083</v>
      </c>
      <c r="F430" s="72">
        <f t="shared" si="37"/>
        <v>61.919191919191917</v>
      </c>
      <c r="G430" s="72">
        <f t="shared" si="38"/>
        <v>27.838383838383834</v>
      </c>
      <c r="H430">
        <f>ROUND(VLOOKUP($A430,Results!$A$2:$I$437,6,FALSE),2)</f>
        <v>41.8</v>
      </c>
      <c r="I430">
        <f>ROUND(VLOOKUP($A430,Results!$A$2:$I$437,7,FALSE),2)</f>
        <v>57.2</v>
      </c>
      <c r="J430" s="72">
        <f t="shared" si="39"/>
        <v>42.222222222222221</v>
      </c>
      <c r="K430" s="72">
        <f t="shared" si="40"/>
        <v>57.777777777777786</v>
      </c>
      <c r="L430" s="72">
        <f t="shared" si="41"/>
        <v>22.855555555555565</v>
      </c>
    </row>
    <row r="431" spans="1:12" x14ac:dyDescent="0.25">
      <c r="A431" s="3" t="s">
        <v>864</v>
      </c>
      <c r="B431" t="s">
        <v>864</v>
      </c>
      <c r="C431">
        <f>ROUND(VLOOKUP($A431,Results!$A$2:$I$437,4,FALSE),2)</f>
        <v>45.8</v>
      </c>
      <c r="D431">
        <f>ROUND(VLOOKUP($A431,Results!$A$2:$I$437,5,FALSE),2)</f>
        <v>53.1</v>
      </c>
      <c r="E431" s="72">
        <f t="shared" si="36"/>
        <v>46.309403437815973</v>
      </c>
      <c r="F431" s="72">
        <f t="shared" si="37"/>
        <v>53.690596562184027</v>
      </c>
      <c r="G431" s="72">
        <f t="shared" si="38"/>
        <v>11.381193124368053</v>
      </c>
      <c r="H431">
        <f>ROUND(VLOOKUP($A431,Results!$A$2:$I$437,6,FALSE),2)</f>
        <v>49.4</v>
      </c>
      <c r="I431">
        <f>ROUND(VLOOKUP($A431,Results!$A$2:$I$437,7,FALSE),2)</f>
        <v>49.3</v>
      </c>
      <c r="J431" s="72">
        <f t="shared" si="39"/>
        <v>50.050658561296871</v>
      </c>
      <c r="K431" s="72">
        <f t="shared" si="40"/>
        <v>49.949341438703144</v>
      </c>
      <c r="L431" s="72">
        <f t="shared" si="41"/>
        <v>7.1986828774062728</v>
      </c>
    </row>
    <row r="432" spans="1:12" x14ac:dyDescent="0.25">
      <c r="A432" s="3" t="s">
        <v>866</v>
      </c>
      <c r="B432" t="s">
        <v>866</v>
      </c>
      <c r="C432">
        <f>ROUND(VLOOKUP($A432,Results!$A$2:$I$437,4,FALSE),2)</f>
        <v>47.8</v>
      </c>
      <c r="D432">
        <f>ROUND(VLOOKUP($A432,Results!$A$2:$I$437,5,FALSE),2)</f>
        <v>50.9</v>
      </c>
      <c r="E432" s="72">
        <f t="shared" si="36"/>
        <v>48.429584599797373</v>
      </c>
      <c r="F432" s="72">
        <f t="shared" si="37"/>
        <v>51.570415400202641</v>
      </c>
      <c r="G432" s="72">
        <f t="shared" si="38"/>
        <v>7.1408308004052685</v>
      </c>
      <c r="H432">
        <f>ROUND(VLOOKUP($A432,Results!$A$2:$I$437,6,FALSE),2)</f>
        <v>53.2</v>
      </c>
      <c r="I432">
        <f>ROUND(VLOOKUP($A432,Results!$A$2:$I$437,7,FALSE),2)</f>
        <v>45.3</v>
      </c>
      <c r="J432" s="72">
        <f t="shared" si="39"/>
        <v>54.01015228426396</v>
      </c>
      <c r="K432" s="72">
        <f t="shared" si="40"/>
        <v>45.98984771573604</v>
      </c>
      <c r="L432" s="72">
        <f t="shared" si="41"/>
        <v>-0.72030456852791946</v>
      </c>
    </row>
    <row r="433" spans="1:12" x14ac:dyDescent="0.25">
      <c r="A433" s="3" t="s">
        <v>868</v>
      </c>
      <c r="B433" t="s">
        <v>868</v>
      </c>
      <c r="C433">
        <f>ROUND(VLOOKUP($A433,Results!$A$2:$I$437,4,FALSE),2)</f>
        <v>47.6</v>
      </c>
      <c r="D433">
        <f>ROUND(VLOOKUP($A433,Results!$A$2:$I$437,5,FALSE),2)</f>
        <v>51.3</v>
      </c>
      <c r="E433" s="72">
        <f t="shared" si="36"/>
        <v>48.129423660262887</v>
      </c>
      <c r="F433" s="72">
        <f t="shared" si="37"/>
        <v>51.870576339737106</v>
      </c>
      <c r="G433" s="72">
        <f t="shared" si="38"/>
        <v>7.7411526794742187</v>
      </c>
      <c r="H433">
        <f>ROUND(VLOOKUP($A433,Results!$A$2:$I$437,6,FALSE),2)</f>
        <v>53.7</v>
      </c>
      <c r="I433">
        <f>ROUND(VLOOKUP($A433,Results!$A$2:$I$437,7,FALSE),2)</f>
        <v>45</v>
      </c>
      <c r="J433" s="72">
        <f t="shared" si="39"/>
        <v>54.40729483282675</v>
      </c>
      <c r="K433" s="72">
        <f t="shared" si="40"/>
        <v>45.59270516717325</v>
      </c>
      <c r="L433" s="72">
        <f t="shared" si="41"/>
        <v>-1.5145896656535003</v>
      </c>
    </row>
    <row r="434" spans="1:12" x14ac:dyDescent="0.25">
      <c r="A434" s="3" t="s">
        <v>870</v>
      </c>
      <c r="B434" t="s">
        <v>870</v>
      </c>
      <c r="C434">
        <f>ROUND(VLOOKUP($A434,Results!$A$2:$I$437,4,FALSE),2)</f>
        <v>35.5</v>
      </c>
      <c r="D434">
        <f>ROUND(VLOOKUP($A434,Results!$A$2:$I$437,5,FALSE),2)</f>
        <v>62.2</v>
      </c>
      <c r="E434" s="72">
        <f t="shared" si="36"/>
        <v>36.335721596724667</v>
      </c>
      <c r="F434" s="72">
        <f t="shared" si="37"/>
        <v>63.664278403275333</v>
      </c>
      <c r="G434" s="72">
        <f t="shared" si="38"/>
        <v>31.328556806550665</v>
      </c>
      <c r="H434">
        <f>ROUND(VLOOKUP($A434,Results!$A$2:$I$437,6,FALSE),2)</f>
        <v>41.5</v>
      </c>
      <c r="I434">
        <f>ROUND(VLOOKUP($A434,Results!$A$2:$I$437,7,FALSE),2)</f>
        <v>56.7</v>
      </c>
      <c r="J434" s="72">
        <f t="shared" si="39"/>
        <v>42.260692464358449</v>
      </c>
      <c r="K434" s="72">
        <f t="shared" si="40"/>
        <v>57.739307535641551</v>
      </c>
      <c r="L434" s="72">
        <f t="shared" si="41"/>
        <v>22.778615071283102</v>
      </c>
    </row>
    <row r="435" spans="1:12" x14ac:dyDescent="0.25">
      <c r="A435" s="3" t="s">
        <v>872</v>
      </c>
      <c r="B435" t="s">
        <v>872</v>
      </c>
      <c r="C435">
        <f>ROUND(VLOOKUP($A435,Results!$A$2:$I$437,4,FALSE),2)</f>
        <v>38</v>
      </c>
      <c r="D435">
        <f>ROUND(VLOOKUP($A435,Results!$A$2:$I$437,5,FALSE),2)</f>
        <v>60</v>
      </c>
      <c r="E435" s="72">
        <f t="shared" si="36"/>
        <v>38.775510204081634</v>
      </c>
      <c r="F435" s="72">
        <f t="shared" si="37"/>
        <v>61.224489795918366</v>
      </c>
      <c r="G435" s="72">
        <f t="shared" si="38"/>
        <v>26.448979591836732</v>
      </c>
      <c r="H435">
        <f>ROUND(VLOOKUP($A435,Results!$A$2:$I$437,6,FALSE),2)</f>
        <v>43.9</v>
      </c>
      <c r="I435">
        <f>ROUND(VLOOKUP($A435,Results!$A$2:$I$437,7,FALSE),2)</f>
        <v>54.7</v>
      </c>
      <c r="J435" s="72">
        <f t="shared" si="39"/>
        <v>44.523326572008116</v>
      </c>
      <c r="K435" s="72">
        <f t="shared" si="40"/>
        <v>55.476673427991898</v>
      </c>
      <c r="L435" s="72">
        <f t="shared" si="41"/>
        <v>18.253346855983782</v>
      </c>
    </row>
    <row r="436" spans="1:12" x14ac:dyDescent="0.25">
      <c r="A436" s="3" t="s">
        <v>874</v>
      </c>
      <c r="B436" t="s">
        <v>874</v>
      </c>
      <c r="C436">
        <f>ROUND(VLOOKUP($A436,Results!$A$2:$I$437,4,FALSE),2)</f>
        <v>32.799999999999997</v>
      </c>
      <c r="D436">
        <f>ROUND(VLOOKUP($A436,Results!$A$2:$I$437,5,FALSE),2)</f>
        <v>65</v>
      </c>
      <c r="E436" s="72">
        <f t="shared" si="36"/>
        <v>33.537832310838446</v>
      </c>
      <c r="F436" s="72">
        <f t="shared" si="37"/>
        <v>66.462167689161561</v>
      </c>
      <c r="G436" s="72">
        <f t="shared" si="38"/>
        <v>36.924335378323114</v>
      </c>
      <c r="H436">
        <f>ROUND(VLOOKUP($A436,Results!$A$2:$I$437,6,FALSE),2)</f>
        <v>42.3</v>
      </c>
      <c r="I436">
        <f>ROUND(VLOOKUP($A436,Results!$A$2:$I$437,7,FALSE),2)</f>
        <v>55.7</v>
      </c>
      <c r="J436" s="72">
        <f t="shared" si="39"/>
        <v>43.163265306122447</v>
      </c>
      <c r="K436" s="72">
        <f t="shared" si="40"/>
        <v>56.836734693877553</v>
      </c>
      <c r="L436" s="72">
        <f t="shared" si="41"/>
        <v>20.973469387755106</v>
      </c>
    </row>
    <row r="437" spans="1:12" x14ac:dyDescent="0.25">
      <c r="A437" s="3" t="s">
        <v>876</v>
      </c>
      <c r="B437" t="s">
        <v>1178</v>
      </c>
      <c r="C437">
        <f>ROUND(VLOOKUP($A437,Results!$A$2:$I$437,4,FALSE),2)</f>
        <v>27.6</v>
      </c>
      <c r="D437">
        <f>ROUND(VLOOKUP($A437,Results!$A$2:$I$437,5,FALSE),2)</f>
        <v>68.2</v>
      </c>
      <c r="E437" s="72">
        <f t="shared" si="36"/>
        <v>28.810020876826719</v>
      </c>
      <c r="F437" s="72">
        <f t="shared" si="37"/>
        <v>71.189979123173273</v>
      </c>
      <c r="G437" s="72">
        <f t="shared" si="38"/>
        <v>46.379958246346554</v>
      </c>
      <c r="H437">
        <f>ROUND(VLOOKUP($A437,Results!$A$2:$I$437,6,FALSE),2)</f>
        <v>32.700000000000003</v>
      </c>
      <c r="I437">
        <f>ROUND(VLOOKUP($A437,Results!$A$2:$I$437,7,FALSE),2)</f>
        <v>65.2</v>
      </c>
      <c r="J437" s="72">
        <f t="shared" si="39"/>
        <v>33.401430030643517</v>
      </c>
      <c r="K437" s="72">
        <f t="shared" si="40"/>
        <v>66.598569969356475</v>
      </c>
      <c r="L437" s="72">
        <f t="shared" si="41"/>
        <v>40.497139938712955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"/>
  <sheetViews>
    <sheetView workbookViewId="0"/>
  </sheetViews>
  <sheetFormatPr defaultColWidth="12.6328125" defaultRowHeight="12.75" customHeight="1" x14ac:dyDescent="0.25"/>
  <cols>
    <col min="1" max="1" width="7.7265625" customWidth="1"/>
    <col min="2" max="2" width="22.7265625" customWidth="1"/>
    <col min="3" max="3" width="5.453125" customWidth="1"/>
    <col min="4" max="4" width="7.08984375" customWidth="1"/>
    <col min="5" max="5" width="8.6328125" customWidth="1"/>
    <col min="6" max="7" width="7.08984375" customWidth="1"/>
  </cols>
  <sheetData>
    <row r="1" spans="1:7" ht="12" customHeight="1" x14ac:dyDescent="0.3">
      <c r="A1" s="19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1"/>
  <sheetViews>
    <sheetView workbookViewId="0"/>
  </sheetViews>
  <sheetFormatPr defaultColWidth="12.6328125" defaultRowHeight="12.75" customHeight="1" x14ac:dyDescent="0.25"/>
  <cols>
    <col min="1" max="1" width="5.7265625" customWidth="1"/>
    <col min="2" max="3" width="7.08984375" customWidth="1"/>
  </cols>
  <sheetData>
    <row r="1" spans="1:3" ht="12" customHeight="1" x14ac:dyDescent="0.3">
      <c r="A1" s="19" t="s">
        <v>878</v>
      </c>
      <c r="B1" s="64" t="s">
        <v>879</v>
      </c>
      <c r="C1" s="65"/>
    </row>
    <row r="2" spans="1:3" ht="12" customHeight="1" x14ac:dyDescent="0.25">
      <c r="A2" s="21" t="s">
        <v>880</v>
      </c>
      <c r="B2" s="66" t="s">
        <v>881</v>
      </c>
      <c r="C2" s="67"/>
    </row>
    <row r="3" spans="1:3" ht="12" customHeight="1" x14ac:dyDescent="0.25">
      <c r="A3" s="3" t="s">
        <v>882</v>
      </c>
      <c r="B3" s="22">
        <f>HYPERLINK("https://docs.google.com/spreadsheet/ccc?key=0Av8O-dN2giY6dE84dVBhZUJzdHdwcGNaRlg2SjNqZUE#gid=0",2012)</f>
        <v>2012</v>
      </c>
      <c r="C3" s="23">
        <f>HYPERLINK("https://docs.google.com/spreadsheet/ccc?key=0Av8O-dN2giY6dEcwN3pQMEt5Y3J2VTFpeE41UnJkUXc#gid=0",2008)</f>
        <v>2008</v>
      </c>
    </row>
    <row r="4" spans="1:3" ht="12" customHeight="1" x14ac:dyDescent="0.25">
      <c r="A4" s="3" t="s">
        <v>883</v>
      </c>
      <c r="B4" s="23">
        <f>HYPERLINK("https://docs.google.com/spreadsheet/ccc?key=0Av8O-dN2giY6dEVCOENWWmR1RmVxRHczdDQ1SkttaGc#gid=0",2012)</f>
        <v>2012</v>
      </c>
      <c r="C4" s="23">
        <f>HYPERLINK("https://docs.google.com/spreadsheet/ccc?key=0Av8O-dN2giY6dGdaUWFISUVKUDloY2VYWFB5ekhzcUE#gid=0", 2008)</f>
        <v>2008</v>
      </c>
    </row>
    <row r="5" spans="1:3" ht="12" customHeight="1" x14ac:dyDescent="0.25">
      <c r="A5" s="3" t="s">
        <v>884</v>
      </c>
      <c r="B5" s="23">
        <f>HYPERLINK("https://docs.google.com/spreadsheet/ccc?key=0Av8O-dN2giY6dElFVTFKbGJ3MVhLUjFlRWZtUXFOb3c#gid=0",2012)</f>
        <v>2012</v>
      </c>
      <c r="C5" s="23">
        <f>HYPERLINK("https://docs.google.com/spreadsheet/ccc?key=0Av8O-dN2giY6dFNkNV8zdG4zXzZGQ0piUnc2eGRXUnc#gid=0",2008)</f>
        <v>2008</v>
      </c>
    </row>
    <row r="6" spans="1:3" ht="12" customHeight="1" x14ac:dyDescent="0.25">
      <c r="A6" s="3" t="s">
        <v>885</v>
      </c>
      <c r="B6" s="22">
        <f>HYPERLINK("https://docs.google.com/spreadsheet/ccc?key=0Av8O-dN2giY6dHM1MnBkMHVXbDNXclJIelF5QklZdXc#gid=0",2012)</f>
        <v>2012</v>
      </c>
      <c r="C6" s="23"/>
    </row>
    <row r="7" spans="1:3" ht="12" customHeight="1" x14ac:dyDescent="0.25">
      <c r="A7" s="3" t="s">
        <v>886</v>
      </c>
      <c r="B7" s="23" t="str">
        <f>HYPERLINK("https://docs.google.com/spreadsheet/ccc?key=0Av8O-dN2giY6dFNJejAzdFp3Y0hqMmVucWVTbWlLLVE#gid=0","2012")</f>
        <v>2012</v>
      </c>
      <c r="C7" s="23">
        <f>HYPERLINK("https://docs.google.com/spreadsheet/ccc?key=0Av8O-dN2giY6dHJ0S0JaNE01RW5KblpnR2s5TkxHZnc#gid=1",2008)</f>
        <v>2008</v>
      </c>
    </row>
    <row r="8" spans="1:3" ht="12" customHeight="1" x14ac:dyDescent="0.25">
      <c r="A8" s="3" t="s">
        <v>887</v>
      </c>
      <c r="B8" s="23"/>
      <c r="C8" s="23" t="str">
        <f>HYPERLINK("https://docs.google.com/spreadsheet/ccc?key=0Av8O-dN2giY6dHVobHp2eHVzSThkbzdyOWZGcGZTOUE&amp;usp=drive_web","2008")</f>
        <v>2008</v>
      </c>
    </row>
    <row r="9" spans="1:3" ht="12" customHeight="1" x14ac:dyDescent="0.25">
      <c r="A9" s="3" t="s">
        <v>888</v>
      </c>
      <c r="B9" s="68" t="s">
        <v>881</v>
      </c>
      <c r="C9" s="69"/>
    </row>
    <row r="10" spans="1:3" ht="12" customHeight="1" x14ac:dyDescent="0.25">
      <c r="A10" s="3" t="s">
        <v>889</v>
      </c>
      <c r="B10" s="22">
        <f>HYPERLINK("https://docs.google.com/spreadsheet/ccc?key=0Av8O-dN2giY6dFUwY0hSN21pUWtabTZoSjhOUzlleEE#gid=0",2012)</f>
        <v>2012</v>
      </c>
      <c r="C10" s="23"/>
    </row>
    <row r="11" spans="1:3" ht="12" customHeight="1" x14ac:dyDescent="0.25">
      <c r="A11" s="3" t="s">
        <v>890</v>
      </c>
      <c r="B11" s="23" t="str">
        <f>HYPERLINK("https://docs.google.com/spreadsheet/ccc?key=0Av8O-dN2giY6dEU4Y0k1cEhObkQzckN2UWJ1TFlmZHc","2012")</f>
        <v>2012</v>
      </c>
      <c r="C11" s="23" t="str">
        <f>HYPERLINK("https://docs.google.com/spreadsheet/ccc?key=0Av8O-dN2giY6dERDTzdKX2NKTGhGWU9IY3RDOF9GdVE#gid=0","2008")</f>
        <v>2008</v>
      </c>
    </row>
    <row r="12" spans="1:3" ht="12" customHeight="1" x14ac:dyDescent="0.25">
      <c r="A12" s="3" t="s">
        <v>891</v>
      </c>
      <c r="B12" s="23">
        <f>HYPERLINK("https://docs.google.com/spreadsheet/ccc?key=0Av8O-dN2giY6dFVydVFxcFFieVdfRmFYWjJKRUhyT2c#gid=0",2012)</f>
        <v>2012</v>
      </c>
      <c r="C12" s="23">
        <f>HYPERLINK("https://docs.google.com/spreadsheet/ccc?key=0Av8O-dN2giY6dDBIekVVbnhJZnJna201T0JOVGlnSUE#gid=0",2008)</f>
        <v>2008</v>
      </c>
    </row>
    <row r="13" spans="1:3" ht="12" customHeight="1" x14ac:dyDescent="0.25">
      <c r="A13" s="3" t="s">
        <v>892</v>
      </c>
      <c r="B13" s="23">
        <f>HYPERLINK("https://docs.google.com/spreadsheet/ccc?key=0Av8O-dN2giY6dENDbkZOYjFyYW1GQlZudFZvUHM0SUE#gid=0",2012)</f>
        <v>2012</v>
      </c>
      <c r="C13" s="23">
        <f>HYPERLINK("https://docs.google.com/spreadsheet/ccc?key=0Av8O-dN2giY6dEFBRFZIRFZpTDJMT1BhOWZkRHZOTGc",2008)</f>
        <v>2008</v>
      </c>
    </row>
    <row r="14" spans="1:3" ht="12" customHeight="1" x14ac:dyDescent="0.25">
      <c r="A14" s="3" t="s">
        <v>893</v>
      </c>
      <c r="B14" s="23">
        <f>HYPERLINK("https://docs.google.com/spreadsheet/ccc?key=0Av8O-dN2giY6dE1uNlFGTEllX0Y3a3kxT2lMUXVicGc#gid=0",2012)</f>
        <v>2012</v>
      </c>
      <c r="C14" s="23">
        <f>HYPERLINK("https://docs.google.com/spreadsheet/ccc?key=0Av8O-dN2giY6dDhvVjg1aURybU1JNmdxc1gyZjlKVmc#gid=0",2008)</f>
        <v>2008</v>
      </c>
    </row>
    <row r="15" spans="1:3" ht="12" customHeight="1" x14ac:dyDescent="0.25">
      <c r="A15" s="3" t="s">
        <v>894</v>
      </c>
      <c r="B15" s="22">
        <f>HYPERLINK("https://docs.google.com/spreadsheet/ccc?key=0Av8O-dN2giY6dFlkZWdQMEV5S0lXWHpyQzI1YVU5dnc#gid=0",2012)</f>
        <v>2012</v>
      </c>
      <c r="C15" s="23">
        <f>HYPERLINK("https://docs.google.com/spreadsheet/ccc?key=0Av8O-dN2giY6dENxMmFSYmgyNGRYcFEzTVBURTdjdnc#gid=0",2008)</f>
        <v>2008</v>
      </c>
    </row>
    <row r="16" spans="1:3" ht="12" customHeight="1" x14ac:dyDescent="0.25">
      <c r="A16" s="3" t="s">
        <v>895</v>
      </c>
      <c r="B16" s="22">
        <f>HYPERLINK("https://docs.google.com/spreadsheet/ccc?key=0Av8O-dN2giY6dExRcXgxVW9vSzltRDAyeEN3UUNaMHc#gid=0",2012)</f>
        <v>2012</v>
      </c>
      <c r="C16" s="23">
        <f>HYPERLINK("https://docs.google.com/spreadsheet/ccc?key=0Av8O-dN2giY6dEMwZFB5MmhTLWR0Unk3UlZ3N0lJa0E#gid=0",2008)</f>
        <v>2008</v>
      </c>
    </row>
    <row r="17" spans="1:3" ht="12" customHeight="1" x14ac:dyDescent="0.25">
      <c r="A17" s="3" t="s">
        <v>896</v>
      </c>
      <c r="B17" s="23">
        <f>HYPERLINK("https://docs.google.com/spreadsheet/ccc?key=0Av8O-dN2giY6dHBXWWE0czZSQlNmQm8wTW5vak9XYWc#gid=0",2012)</f>
        <v>2012</v>
      </c>
      <c r="C17" s="23">
        <f>HYPERLINK("https://docs.google.com/spreadsheet/ccc?key=0Av8O-dN2giY6dE9Hck42MnZfNUlucmZWSnFKcmpFV0E#gid=0",2008)</f>
        <v>2008</v>
      </c>
    </row>
    <row r="18" spans="1:3" ht="12" customHeight="1" x14ac:dyDescent="0.25">
      <c r="A18" s="3" t="s">
        <v>897</v>
      </c>
      <c r="B18" s="23">
        <f>HYPERLINK("https://docs.google.com/spreadsheet/ccc?key=0Av8O-dN2giY6dGNfc21tUWZ4RENyLTNuT2NwTkNvUnc#gid=0",2012)</f>
        <v>2012</v>
      </c>
      <c r="C18" s="23">
        <f>HYPERLINK("https://docs.google.com/spreadsheet/ccc?key=0Av8O-dN2giY6dHFsTjR4dWc2b2EwZEJvMUdSdk50UkE#gid=0",2008)</f>
        <v>2008</v>
      </c>
    </row>
    <row r="19" spans="1:3" ht="12" customHeight="1" x14ac:dyDescent="0.25">
      <c r="A19" s="3" t="s">
        <v>898</v>
      </c>
      <c r="B19" s="23">
        <f>HYPERLINK("https://docs.google.com/spreadsheet/ccc?key=0Av8O-dN2giY6dFJlVHpZeE5odGVQQVcyZFBYOUlfb1E#gid=0", 2012)</f>
        <v>2012</v>
      </c>
      <c r="C19" s="23">
        <f>HYPERLINK("https://docs.google.com/spreadsheet/ccc?key=0Av8O-dN2giY6dGJaNlF4Mk9pbXFwRGFwZ0NmaEhhbGc#gid=0",2008)</f>
        <v>2008</v>
      </c>
    </row>
    <row r="20" spans="1:3" ht="12" customHeight="1" x14ac:dyDescent="0.25">
      <c r="A20" s="3" t="s">
        <v>899</v>
      </c>
      <c r="B20" s="22">
        <f>HYPERLINK("https://docs.google.com/spreadsheet/ccc?key=0Av8O-dN2giY6dDJ0OTNXX3A4VzFQTm80ZlM1RFJSQ2c#gid=0",2012)</f>
        <v>2012</v>
      </c>
      <c r="C20" s="23">
        <f>HYPERLINK("https://docs.google.com/spreadsheet/ccc?key=0Av8O-dN2giY6dHE0YmdRY3pucURyR3VCNWhEZ0hWb1E#gid=0",2008)</f>
        <v>2008</v>
      </c>
    </row>
    <row r="21" spans="1:3" ht="12" customHeight="1" x14ac:dyDescent="0.25">
      <c r="A21" s="3" t="s">
        <v>900</v>
      </c>
      <c r="B21" s="23">
        <f>HYPERLINK("https://docs.google.com/spreadsheet/ccc?key=0Av8O-dN2giY6dG43b2l5N0hoUUlFZkNGQk1IWTFpelE#gid=0",2012)</f>
        <v>2012</v>
      </c>
      <c r="C21" s="23">
        <f>HYPERLINK("https://docs.google.com/spreadsheet/ccc?key=0Av8O-dN2giY6dDMxVFhhS0x0Sks5eFBlYXItRVBCcXc#gid=0",2008)</f>
        <v>2008</v>
      </c>
    </row>
    <row r="22" spans="1:3" ht="12" customHeight="1" x14ac:dyDescent="0.25">
      <c r="A22" s="3" t="s">
        <v>901</v>
      </c>
      <c r="B22" s="23"/>
      <c r="C22" s="23"/>
    </row>
    <row r="23" spans="1:3" ht="12" customHeight="1" x14ac:dyDescent="0.25">
      <c r="A23" s="3" t="s">
        <v>902</v>
      </c>
      <c r="B23" s="22">
        <f>HYPERLINK("https://docs.google.com/spreadsheet/ccc?key=0Av8O-dN2giY6dGFJdFEweDZwczRJZFVKMHpQYTN3OEE#gid=0",2012)</f>
        <v>2012</v>
      </c>
      <c r="C23" s="23">
        <f>HYPERLINK("https://docs.google.com/spreadsheet/ccc?key=0Av8O-dN2giY6dDVCUUZLR3c1VF9GZW9PTGozQ3N1NkE#gid=0",2008)</f>
        <v>2008</v>
      </c>
    </row>
    <row r="24" spans="1:3" ht="12" customHeight="1" x14ac:dyDescent="0.25">
      <c r="A24" s="3" t="s">
        <v>903</v>
      </c>
      <c r="B24" s="23">
        <f>HYPERLINK("https://docs.google.com/spreadsheet/ccc?key=0Av8O-dN2giY6dGlwTTF6d1VSMUE0X21DckpqMHlxemc#gid=0",2012)</f>
        <v>2012</v>
      </c>
      <c r="C24" s="23">
        <f>HYPERLINK("https://docs.google.com/spreadsheet/ccc?key=0Av8O-dN2giY6dFlJWjVCN1dTd21zbUE4cTBLeEZoV0E#gid=0",2008)</f>
        <v>2008</v>
      </c>
    </row>
    <row r="25" spans="1:3" ht="12" customHeight="1" x14ac:dyDescent="0.25">
      <c r="A25" s="3" t="s">
        <v>904</v>
      </c>
      <c r="B25" s="22">
        <f>HYPERLINK("https://docs.google.com/spreadsheet/ccc?key=0Av8O-dN2giY6dGlyZXZsZFRzcWlCNE5TMVR0eXNqU0E#gid=0",2012)</f>
        <v>2012</v>
      </c>
      <c r="C25" s="23">
        <f>HYPERLINK("https://docs.google.com/spreadsheet/ccc?key=0Av8O-dN2giY6dERsREI4WndFV1hxdVJReXB5bXc5UWc#gid=0",2008)</f>
        <v>2008</v>
      </c>
    </row>
    <row r="26" spans="1:3" ht="12" customHeight="1" x14ac:dyDescent="0.25">
      <c r="A26" s="3" t="s">
        <v>905</v>
      </c>
      <c r="B26" s="23">
        <f>HYPERLINK("https://docs.google.com/spreadsheet/ccc?key=0Av8O-dN2giY6dEQ0eXN1LXB2eDR1YWJHM2tGMDZYQXc#gid=0",2012)</f>
        <v>2012</v>
      </c>
      <c r="C26" s="23">
        <f>HYPERLINK("https://docs.google.com/spreadsheet/ccc?key=0Av8O-dN2giY6dEVuVHdfNE1nWnh1RVk2WHZwYklQNkE#gid=0",2008)</f>
        <v>2008</v>
      </c>
    </row>
    <row r="27" spans="1:3" ht="12" customHeight="1" x14ac:dyDescent="0.25">
      <c r="A27" s="3" t="s">
        <v>906</v>
      </c>
      <c r="B27" s="68" t="s">
        <v>881</v>
      </c>
      <c r="C27" s="69"/>
    </row>
    <row r="28" spans="1:3" ht="12" customHeight="1" x14ac:dyDescent="0.25">
      <c r="A28" s="3" t="s">
        <v>907</v>
      </c>
      <c r="B28" s="22">
        <f>HYPERLINK("https://docs.google.com/spreadsheet/ccc?key=0Av8O-dN2giY6dDkyODlueXZNUTU0UHd4cWNHWkZJV0E#gid=0",2012)</f>
        <v>2012</v>
      </c>
      <c r="C28" s="23" t="str">
        <f>HYPERLINK("https://docs.google.com/spreadsheet/ccc?key=0At9k6QrlThx6dHVaek5TX01iYU5oY1NvekRBVlNxYXc&amp;usp=drive_web","2008")</f>
        <v>2008</v>
      </c>
    </row>
    <row r="29" spans="1:3" ht="12" customHeight="1" x14ac:dyDescent="0.25">
      <c r="A29" s="3" t="s">
        <v>908</v>
      </c>
      <c r="B29" s="68" t="s">
        <v>881</v>
      </c>
      <c r="C29" s="69"/>
    </row>
    <row r="30" spans="1:3" ht="12" customHeight="1" x14ac:dyDescent="0.25">
      <c r="A30" s="3" t="s">
        <v>909</v>
      </c>
      <c r="B30" s="23"/>
      <c r="C30" s="23" t="str">
        <f>HYPERLINK("https://docs.google.com/spreadsheet/ccc?key=0Av8O-dN2giY6dEZjR2p4VElRZmljdGlDbkpXLTBRQmc&amp;usp=drive_web","2008")</f>
        <v>2008</v>
      </c>
    </row>
    <row r="31" spans="1:3" ht="12" customHeight="1" x14ac:dyDescent="0.25">
      <c r="A31" s="3" t="s">
        <v>910</v>
      </c>
      <c r="B31" s="23">
        <f>HYPERLINK("https://docs.google.com/spreadsheet/ccc?key=0Av8O-dN2giY6dEswUFhnUkR0YnVDaWtCSGtrOURtY1E#gid=0",2012)</f>
        <v>2012</v>
      </c>
      <c r="C31" s="23">
        <f>HYPERLINK("https://docs.google.com/spreadsheet/ccc?key=0Av8O-dN2giY6dGxscWp4SFQ4QUhaU3VTWUZzZ0ZtcXc#gid=0",2008)</f>
        <v>2008</v>
      </c>
    </row>
    <row r="32" spans="1:3" ht="12" customHeight="1" x14ac:dyDescent="0.25">
      <c r="A32" s="3" t="s">
        <v>911</v>
      </c>
      <c r="B32" s="22">
        <f>HYPERLINK("https://docs.google.com/spreadsheet/ccc?key=0Av8O-dN2giY6dFNGTXo5MWZJdVRENkVQQko5OEZRVWc",2012)</f>
        <v>2012</v>
      </c>
      <c r="C32" s="23">
        <f>HYPERLINK("https://docs.google.com/spreadsheet/ccc?key=0Av8O-dN2giY6dGtYTV8xS2hHcXJnX0pOZkdCU2V1N2c",2008)</f>
        <v>2008</v>
      </c>
    </row>
    <row r="33" spans="1:3" ht="12" customHeight="1" x14ac:dyDescent="0.25">
      <c r="A33" s="3" t="s">
        <v>912</v>
      </c>
      <c r="B33" s="23">
        <f>HYPERLINK("https://docs.google.com/spreadsheet/ccc?key=0Av8O-dN2giY6dHhyeTFsV2tfYTA5dGpaUUJORXE4dUE#gid=0",2012)</f>
        <v>2012</v>
      </c>
      <c r="C33" s="23">
        <f>HYPERLINK("https://docs.google.com/spreadsheet/ccc?key=0Av8O-dN2giY6dG1WaEx0VDdCNDNLbnE2UUpzZ0tydEE#gid=0",2008)</f>
        <v>2008</v>
      </c>
    </row>
    <row r="34" spans="1:3" ht="12" customHeight="1" x14ac:dyDescent="0.25">
      <c r="A34" s="3" t="s">
        <v>913</v>
      </c>
      <c r="B34" s="23">
        <f>HYPERLINK("https://docs.google.com/spreadsheet/ccc?key=0Av8O-dN2giY6dGpDWFJmeEFLRG8zWE1CejVUeU9NSnc#gid=0",2012)</f>
        <v>2012</v>
      </c>
      <c r="C34" s="23">
        <f>HYPERLINK("https://docs.google.com/spreadsheet/ccc?key=0Av8O-dN2giY6dDBOMTBPVzZ6aHY2U29OaG04RDVLSWc#gid=0",2008)</f>
        <v>2008</v>
      </c>
    </row>
    <row r="35" spans="1:3" ht="12" customHeight="1" x14ac:dyDescent="0.25">
      <c r="A35" s="3" t="s">
        <v>914</v>
      </c>
      <c r="B35" s="22">
        <f>HYPERLINK("https://docs.google.com/spreadsheet/ccc?key=0Av8O-dN2giY6dFNKeFpKeVpaa3R3ekFqV2JUZ0VXaVE#gid=0",2012)</f>
        <v>2012</v>
      </c>
      <c r="C35" s="23" t="str">
        <f>HYPERLINK("https://docs.google.com/spreadsheet/ccc?key=0Av8O-dN2giY6dGlFemVqU2ZRZXB3ZUhha200Mk1aVkE&amp;usp=drive_web","2008")</f>
        <v>2008</v>
      </c>
    </row>
    <row r="36" spans="1:3" ht="12" customHeight="1" x14ac:dyDescent="0.25">
      <c r="A36" s="3" t="s">
        <v>915</v>
      </c>
      <c r="B36" s="22">
        <f>HYPERLINK("https://docs.google.com/spreadsheet/ccc?key=0Av8O-dN2giY6dHBGTWRESHJlTEUzX24tUEhfN1BjQUE#gid=0",2012)</f>
        <v>2012</v>
      </c>
      <c r="C36" s="23">
        <f>HYPERLINK("https://docs.google.com/spreadsheet/ccc?key=0Av8O-dN2giY6dFBJR2RrSmhHVGs4cEpmenc2bHRrcEE#gid=0",2008)</f>
        <v>2008</v>
      </c>
    </row>
    <row r="37" spans="1:3" ht="12" customHeight="1" x14ac:dyDescent="0.25">
      <c r="A37" s="3" t="s">
        <v>916</v>
      </c>
      <c r="B37" s="24">
        <f>HYPERLINK("https://docs.google.com/spreadsheets/d/1f92dly9I722RL3AsbwjUmmD7g63PMBVMgYUGGgzRvuc/edit?usp=sharing",2012)</f>
        <v>2012</v>
      </c>
      <c r="C37" s="23">
        <f>HYPERLINK("https://docs.google.com/spreadsheet/ccc?key=0Av8O-dN2giY6dHhrWmtYX3h1TUtWYmNDNzQxcTVxdWc&amp;authkey=CMf59ucH&amp;authkey=CMf59ucH",2008)</f>
        <v>2008</v>
      </c>
    </row>
    <row r="38" spans="1:3" ht="12" customHeight="1" x14ac:dyDescent="0.25">
      <c r="A38" s="3" t="s">
        <v>917</v>
      </c>
      <c r="B38" s="22">
        <f>HYPERLINK("https://docs.google.com/spreadsheet/ccc?key=0Av8O-dN2giY6dHhTNTVGdnJaOS1sZ3JwbUtGRTZ0OWc#gid=0",2012)</f>
        <v>2012</v>
      </c>
      <c r="C38" s="25">
        <f>HYPERLINK("https://docs.google.com/spreadsheet/ccc?key=0Av8O-dN2giY6dDlPaHBEVnV3OEVxOXV3M2dhYURENUE#gid=0",2008)</f>
        <v>2008</v>
      </c>
    </row>
    <row r="39" spans="1:3" ht="12" customHeight="1" x14ac:dyDescent="0.25">
      <c r="A39" s="3" t="s">
        <v>918</v>
      </c>
      <c r="B39" s="22">
        <f>HYPERLINK("https://docs.google.com/spreadsheet/ccc?key=0Av8O-dN2giY6dHRTR0VnMzFfcXpZVDdBOXkyWDNHX0E#gid=0",2012)</f>
        <v>2012</v>
      </c>
      <c r="C39" s="23">
        <f>HYPERLINK("https://docs.google.com/spreadsheet/ccc?key=0Av8O-dN2giY6dGpmY0tiZV9tT3kzOTI0RmJXM1BZMkE#gid=0",2008)</f>
        <v>2008</v>
      </c>
    </row>
    <row r="40" spans="1:3" ht="12" customHeight="1" x14ac:dyDescent="0.25">
      <c r="A40" s="3" t="s">
        <v>919</v>
      </c>
      <c r="B40" s="23">
        <f>HYPERLINK("https://docs.google.com/spreadsheet/ccc?key=0Av8O-dN2giY6dExnZldoZl9fT0RyeW5yVXBzV21vQlE#gid=0",2012)</f>
        <v>2012</v>
      </c>
      <c r="C40" s="23">
        <f>HYPERLINK("https://docs.google.com/spreadsheet/ccc?key=0Av8O-dN2giY6dEVuMUlEZ2dqcVFkb3U3LUlBNElSbEE#gid=0",2008)</f>
        <v>2008</v>
      </c>
    </row>
    <row r="41" spans="1:3" ht="12" customHeight="1" x14ac:dyDescent="0.25">
      <c r="A41" s="3" t="s">
        <v>920</v>
      </c>
      <c r="B41" s="23">
        <f>HYPERLINK("https://docs.google.com/spreadsheet/ccc?key=0Av8O-dN2giY6dGlOM3ZjVUx4emotWHVYUFVBdnEwVGc#gid=0",2012)</f>
        <v>2012</v>
      </c>
      <c r="C41" s="23">
        <f>HYPERLINK("https://docs.google.com/spreadsheet/ccc?key=0Av8O-dN2giY6dG9oXzFiTXRaRWlBdkk5TDVsNnEzOGc#gid=0",2008)</f>
        <v>2008</v>
      </c>
    </row>
    <row r="42" spans="1:3" ht="12" customHeight="1" x14ac:dyDescent="0.25">
      <c r="A42" s="3" t="s">
        <v>921</v>
      </c>
      <c r="B42" s="68" t="s">
        <v>881</v>
      </c>
      <c r="C42" s="69"/>
    </row>
    <row r="43" spans="1:3" ht="12" customHeight="1" x14ac:dyDescent="0.25">
      <c r="A43" s="3" t="s">
        <v>922</v>
      </c>
      <c r="B43" s="23">
        <f>HYPERLINK("https://docs.google.com/spreadsheet/ccc?key=0Av8O-dN2giY6dEllb2k5cWhEZWNVb2NQalBDTHI4OFE#gid=0",2012)</f>
        <v>2012</v>
      </c>
      <c r="C43" s="23">
        <f>HYPERLINK("https://docs.google.com/spreadsheet/ccc?key=0Av8O-dN2giY6dC1OZENYQ1dNbEdYbmpQT1I4V3AzT2c#gid=0",2008)</f>
        <v>2008</v>
      </c>
    </row>
    <row r="44" spans="1:3" ht="12" customHeight="1" x14ac:dyDescent="0.25">
      <c r="A44" s="3" t="s">
        <v>923</v>
      </c>
      <c r="B44" s="22">
        <f>HYPERLINK("https://docs.google.com/spreadsheet/ccc?key=0Av8O-dN2giY6dEVuaEQ0OHR6c2puSEpMc3d5Q1NuY1E#gid=0",2012)</f>
        <v>2012</v>
      </c>
      <c r="C44" s="23"/>
    </row>
    <row r="45" spans="1:3" ht="12" customHeight="1" x14ac:dyDescent="0.25">
      <c r="A45" s="3" t="s">
        <v>924</v>
      </c>
      <c r="B45" s="22">
        <f>HYPERLINK("https://docs.google.com/spreadsheet/ccc?key=0Av8O-dN2giY6dFpwSDEzVDBWdGcwR3lDLVRVb2JJMkE#gid=0",2012)</f>
        <v>2012</v>
      </c>
      <c r="C45" s="23">
        <f>HYPERLINK("https://docs.google.com/spreadsheet/ccc?key=0Av8O-dN2giY6dEFmR3BQYjUtSndEYmNkeUpHcGdzVnc#gid=0",2008)</f>
        <v>2008</v>
      </c>
    </row>
    <row r="46" spans="1:3" ht="12" customHeight="1" x14ac:dyDescent="0.25">
      <c r="A46" s="3" t="s">
        <v>925</v>
      </c>
      <c r="B46" s="23">
        <f>HYPERLINK("https://docs.google.com/spreadsheet/ccc?key=0Av8O-dN2giY6dHN4RXZfWVZWRWozRE90WGJQSktBNmc#gid=0",2012)</f>
        <v>2012</v>
      </c>
      <c r="C46" s="23">
        <f>HYPERLINK("https://docs.google.com/spreadsheet/ccc?key=0Av8O-dN2giY6dFp0Zk4zNkE3Rmp6SFpkd2lwb2VrOVE#gid=0",2008)</f>
        <v>2008</v>
      </c>
    </row>
    <row r="47" spans="1:3" ht="12" customHeight="1" x14ac:dyDescent="0.25">
      <c r="A47" s="3" t="s">
        <v>926</v>
      </c>
      <c r="B47" s="68" t="s">
        <v>881</v>
      </c>
      <c r="C47" s="69"/>
    </row>
    <row r="48" spans="1:3" ht="12" customHeight="1" x14ac:dyDescent="0.25">
      <c r="A48" s="3" t="s">
        <v>927</v>
      </c>
      <c r="B48" s="25">
        <f>HYPERLINK("https://docs.google.com/spreadsheet/ccc?key=0Av8O-dN2giY6dDVheDVQVkRSek5pLUpTRGJKVUNHN0E#gid=0",2012)</f>
        <v>2012</v>
      </c>
      <c r="C48" s="23">
        <f>HYPERLINK("https://docs.google.com/spreadsheet/ccc?key=0Av8O-dN2giY6dFB0U0J1dFVMNWRUbG00M1hXOWFJLUE#gid=0",2008)</f>
        <v>2008</v>
      </c>
    </row>
    <row r="49" spans="1:3" ht="12" customHeight="1" x14ac:dyDescent="0.25">
      <c r="A49" s="3" t="s">
        <v>928</v>
      </c>
      <c r="B49" s="23">
        <f>HYPERLINK("https://docs.google.com/spreadsheet/ccc?key=0Av8O-dN2giY6dG5CZjVGRk5XaHlqZzh2QnFLZDduQXc#gid=0",2012)</f>
        <v>2012</v>
      </c>
      <c r="C49" s="23">
        <f>HYPERLINK("https://docs.google.com/spreadsheet/ccc?key=0Av8O-dN2giY6dEY5czhEc1g4R3FDZUF5c05SbTFRUUE#gid=0",2008)</f>
        <v>2008</v>
      </c>
    </row>
    <row r="50" spans="1:3" ht="12" customHeight="1" x14ac:dyDescent="0.25">
      <c r="A50" s="3" t="s">
        <v>929</v>
      </c>
      <c r="B50" s="23">
        <f>HYPERLINK("https://docs.google.com/spreadsheet/ccc?key=0Av8O-dN2giY6dHotbUNLel9mdVBhMERiQkNWV1h2Tnc#gid=0",2012)</f>
        <v>2012</v>
      </c>
      <c r="C50" s="23">
        <f>HYPERLINK("https://docs.google.com/spreadsheet/ccc?key=0Av8O-dN2giY6dHY2QW5Rbk0xbGxtNXZ0LWFkdUN6WEE#gid=0",2008)</f>
        <v>2008</v>
      </c>
    </row>
    <row r="51" spans="1:3" ht="12" customHeight="1" x14ac:dyDescent="0.25">
      <c r="A51" s="3" t="s">
        <v>930</v>
      </c>
      <c r="B51" s="68" t="s">
        <v>881</v>
      </c>
      <c r="C51" s="69"/>
    </row>
  </sheetData>
  <mergeCells count="8">
    <mergeCell ref="B42:C42"/>
    <mergeCell ref="B47:C47"/>
    <mergeCell ref="B51:C51"/>
    <mergeCell ref="B1:C1"/>
    <mergeCell ref="B2:C2"/>
    <mergeCell ref="B9:C9"/>
    <mergeCell ref="B27:C27"/>
    <mergeCell ref="B29:C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9"/>
  <sheetViews>
    <sheetView workbookViewId="0"/>
  </sheetViews>
  <sheetFormatPr defaultColWidth="12.6328125" defaultRowHeight="12.75" customHeight="1" x14ac:dyDescent="0.25"/>
  <cols>
    <col min="1" max="1" width="5.7265625" customWidth="1"/>
    <col min="2" max="2" width="19.08984375" customWidth="1"/>
    <col min="3" max="3" width="33.26953125" customWidth="1"/>
    <col min="4" max="4" width="74.90625" customWidth="1"/>
  </cols>
  <sheetData>
    <row r="1" spans="1:4" ht="12.75" customHeight="1" x14ac:dyDescent="0.3">
      <c r="A1" s="26" t="s">
        <v>878</v>
      </c>
      <c r="B1" s="26" t="s">
        <v>931</v>
      </c>
      <c r="C1" s="26" t="s">
        <v>932</v>
      </c>
      <c r="D1" s="26" t="s">
        <v>933</v>
      </c>
    </row>
    <row r="2" spans="1:4" ht="12.75" customHeight="1" x14ac:dyDescent="0.25">
      <c r="A2" s="27" t="s">
        <v>880</v>
      </c>
      <c r="B2" s="28" t="s">
        <v>934</v>
      </c>
      <c r="C2" s="29" t="str">
        <f>HYPERLINK("http://www.elections.alaska.gov/results/12GENR/data/results.htm","AK Sec. of State")</f>
        <v>AK Sec. of State</v>
      </c>
      <c r="D2" s="28" t="s">
        <v>935</v>
      </c>
    </row>
    <row r="3" spans="1:4" ht="12.75" customHeight="1" x14ac:dyDescent="0.3">
      <c r="A3" s="30" t="s">
        <v>882</v>
      </c>
      <c r="B3" s="31" t="s">
        <v>936</v>
      </c>
      <c r="C3" s="31"/>
      <c r="D3" s="31"/>
    </row>
    <row r="4" spans="1:4" ht="12.75" customHeight="1" x14ac:dyDescent="0.25">
      <c r="A4" s="32" t="s">
        <v>883</v>
      </c>
      <c r="B4" s="33" t="s">
        <v>934</v>
      </c>
      <c r="C4" s="34" t="str">
        <f>HYPERLINK("http://results.enr.clarityelections.com/AR/42843/113233/en/summary.html","AR Sec. of State")</f>
        <v>AR Sec. of State</v>
      </c>
      <c r="D4" s="35" t="s">
        <v>937</v>
      </c>
    </row>
    <row r="5" spans="1:4" ht="12.75" customHeight="1" x14ac:dyDescent="0.25">
      <c r="A5" s="32" t="s">
        <v>884</v>
      </c>
      <c r="B5" s="33" t="s">
        <v>934</v>
      </c>
      <c r="C5" s="34" t="str">
        <f>HYPERLINK("http://results.enr.clarityelections.com/AZ/42050/113544/Web01/en/summary.html","AZ Sec. of State")</f>
        <v>AZ Sec. of State</v>
      </c>
      <c r="D5" s="35" t="s">
        <v>938</v>
      </c>
    </row>
    <row r="6" spans="1:4" ht="12.75" customHeight="1" x14ac:dyDescent="0.3">
      <c r="A6" s="30" t="s">
        <v>885</v>
      </c>
      <c r="B6" s="31" t="s">
        <v>939</v>
      </c>
      <c r="C6" s="31"/>
      <c r="D6" s="31"/>
    </row>
    <row r="7" spans="1:4" ht="12.75" customHeight="1" x14ac:dyDescent="0.25">
      <c r="A7" s="32" t="s">
        <v>886</v>
      </c>
      <c r="B7" s="33" t="s">
        <v>934</v>
      </c>
      <c r="C7" s="34" t="str">
        <f>HYPERLINK("http://results.enr.clarityelections.com/CO/43032/113865/en/summary.html","CO Sec. of State")</f>
        <v>CO Sec. of State</v>
      </c>
      <c r="D7" s="35" t="s">
        <v>940</v>
      </c>
    </row>
    <row r="8" spans="1:4" ht="12.75" customHeight="1" x14ac:dyDescent="0.25">
      <c r="A8" s="3" t="s">
        <v>887</v>
      </c>
    </row>
    <row r="9" spans="1:4" ht="12.75" customHeight="1" x14ac:dyDescent="0.25">
      <c r="A9" s="32" t="s">
        <v>888</v>
      </c>
      <c r="B9" s="33" t="s">
        <v>934</v>
      </c>
      <c r="C9" s="34" t="str">
        <f>HYPERLINK("http://elections.delaware.gov/archive/elect12/elect12_general/html/stwoff_kns.shtml","DE Elec. Commissioner")</f>
        <v>DE Elec. Commissioner</v>
      </c>
      <c r="D9" s="33" t="s">
        <v>935</v>
      </c>
    </row>
    <row r="10" spans="1:4" ht="12.75" customHeight="1" x14ac:dyDescent="0.25">
      <c r="A10" s="36" t="s">
        <v>889</v>
      </c>
      <c r="B10" s="37" t="s">
        <v>934</v>
      </c>
      <c r="C10" s="38" t="str">
        <f>HYPERLINK("http://enight.elections.myflorida.com/","FL Dept. of State")</f>
        <v>FL Dept. of State</v>
      </c>
      <c r="D10" s="39" t="s">
        <v>941</v>
      </c>
    </row>
    <row r="11" spans="1:4" ht="12.75" customHeight="1" x14ac:dyDescent="0.25">
      <c r="A11" s="40"/>
      <c r="B11" s="41" t="s">
        <v>942</v>
      </c>
      <c r="C11" s="42" t="str">
        <f>HYPERLINK("http://elections.alachua.fl.us/ew_pages/20121106_General_SOVC.pdf","Alachua Co. Sup. of Elections")</f>
        <v>Alachua Co. Sup. of Elections</v>
      </c>
      <c r="D11" s="41"/>
    </row>
    <row r="12" spans="1:4" ht="12.75" customHeight="1" x14ac:dyDescent="0.25">
      <c r="A12" s="40"/>
      <c r="B12" s="41" t="s">
        <v>943</v>
      </c>
      <c r="C12" s="42" t="str">
        <f>HYPERLINK("http://results.enr.clarityelections.com/FL/Broward/42272/112723/en/reports.html","Broward Co. Sup. of Elections")</f>
        <v>Broward Co. Sup. of Elections</v>
      </c>
      <c r="D12" s="41"/>
    </row>
    <row r="13" spans="1:4" ht="12.75" customHeight="1" x14ac:dyDescent="0.25">
      <c r="A13" s="40"/>
      <c r="B13" s="41" t="s">
        <v>944</v>
      </c>
      <c r="C13" s="42" t="str">
        <f>HYPERLINK("http://www.electionsfl.org/clay/","Clay Co. Sup. of Elections")</f>
        <v>Clay Co. Sup. of Elections</v>
      </c>
      <c r="D13" s="41"/>
    </row>
    <row r="14" spans="1:4" ht="12.75" customHeight="1" x14ac:dyDescent="0.25">
      <c r="A14" s="40"/>
      <c r="B14" s="41" t="s">
        <v>945</v>
      </c>
      <c r="C14" s="42" t="str">
        <f>HYPERLINK("http://www.colliervotes.com/","Collier Co. Sup. of Elections")</f>
        <v>Collier Co. Sup. of Elections</v>
      </c>
      <c r="D14" s="41"/>
    </row>
    <row r="15" spans="1:4" ht="12.75" customHeight="1" x14ac:dyDescent="0.25">
      <c r="A15" s="40"/>
      <c r="B15" s="41" t="s">
        <v>946</v>
      </c>
      <c r="C15" s="42" t="str">
        <f>HYPERLINK("http://results.enr.clarityelections.com/FL/Duval/42561/112678/en/reports.html","Duval Co. Sup. of Elections")</f>
        <v>Duval Co. Sup. of Elections</v>
      </c>
      <c r="D15" s="41"/>
    </row>
    <row r="16" spans="1:4" ht="12.75" customHeight="1" x14ac:dyDescent="0.25">
      <c r="A16" s="40"/>
      <c r="B16" s="41" t="s">
        <v>947</v>
      </c>
      <c r="C16" s="42" t="str">
        <f>HYPERLINK("http://hendryelections.org/","Hendry Co. Sup. of Elections")</f>
        <v>Hendry Co. Sup. of Elections</v>
      </c>
      <c r="D16" s="41"/>
    </row>
    <row r="17" spans="1:4" ht="12.75" customHeight="1" x14ac:dyDescent="0.25">
      <c r="A17" s="40"/>
      <c r="B17" s="41" t="s">
        <v>948</v>
      </c>
      <c r="C17" s="42" t="str">
        <f>HYPERLINK("http://results.enr.clarityelections.com/FL/Hillsborough/43959/112753/en/reports.html","Hillsborough Co. Elections")</f>
        <v>Hillsborough Co. Elections</v>
      </c>
      <c r="D17" s="41"/>
    </row>
    <row r="18" spans="1:4" ht="12.75" customHeight="1" x14ac:dyDescent="0.25">
      <c r="A18" s="40"/>
      <c r="B18" s="41" t="s">
        <v>949</v>
      </c>
      <c r="C18" s="42" t="str">
        <f>HYPERLINK("http://www.holmeselections.com/","Holmes Co. Sup. of Elections")</f>
        <v>Holmes Co. Sup. of Elections</v>
      </c>
      <c r="D18" s="41"/>
    </row>
    <row r="19" spans="1:4" ht="12.75" customHeight="1" x14ac:dyDescent="0.25">
      <c r="A19" s="40"/>
      <c r="B19" s="41" t="s">
        <v>950</v>
      </c>
      <c r="C19" s="42" t="str">
        <f>HYPERLINK("http://elections.lakecountyfl.gov/","Lake Co. Sup. of Elections")</f>
        <v>Lake Co. Sup. of Elections</v>
      </c>
      <c r="D19" s="41"/>
    </row>
    <row r="20" spans="1:4" ht="12.75" customHeight="1" x14ac:dyDescent="0.25">
      <c r="A20" s="40"/>
      <c r="B20" s="41" t="s">
        <v>951</v>
      </c>
      <c r="C20" s="42" t="str">
        <f>HYPERLINK("http://leeelections.com/","Lee Co. Sup. of Elections")</f>
        <v>Lee Co. Sup. of Elections</v>
      </c>
      <c r="D20" s="41"/>
    </row>
    <row r="21" spans="1:4" ht="12.75" customHeight="1" x14ac:dyDescent="0.25">
      <c r="A21" s="40"/>
      <c r="B21" s="41" t="s">
        <v>952</v>
      </c>
      <c r="C21" s="42" t="str">
        <f>HYPERLINK("http://www.votemadison.com/index.php?id=57&amp;spanish=N","Madison Co. Sup. of Elections")</f>
        <v>Madison Co. Sup. of Elections</v>
      </c>
      <c r="D21" s="41"/>
    </row>
    <row r="22" spans="1:4" ht="12.75" customHeight="1" x14ac:dyDescent="0.25">
      <c r="A22" s="40"/>
      <c r="B22" s="41" t="s">
        <v>953</v>
      </c>
      <c r="C22" s="42" t="str">
        <f>HYPERLINK("http://www.votemanatee.com/","Manatee Co. Sup. of Elections")</f>
        <v>Manatee Co. Sup. of Elections</v>
      </c>
      <c r="D22" s="41"/>
    </row>
    <row r="23" spans="1:4" ht="12.75" customHeight="1" x14ac:dyDescent="0.25">
      <c r="A23" s="40"/>
      <c r="B23" s="41" t="s">
        <v>954</v>
      </c>
      <c r="C23" s="42" t="str">
        <f>HYPERLINK("http://results.enr.clarityelections.com/FL/Marion/42443/112684/en/reports.html","Marion Co. Sup. of Elections")</f>
        <v>Marion Co. Sup. of Elections</v>
      </c>
      <c r="D23" s="41"/>
    </row>
    <row r="24" spans="1:4" ht="12.75" customHeight="1" x14ac:dyDescent="0.25">
      <c r="A24" s="40"/>
      <c r="B24" s="41" t="s">
        <v>955</v>
      </c>
      <c r="C24" s="42" t="str">
        <f>HYPERLINK("http://results.enr.clarityelections.com/FL/Dade/42008/112848/en/reports.html#","Miami-Dade Co. Elections")</f>
        <v>Miami-Dade Co. Elections</v>
      </c>
      <c r="D24" s="41"/>
    </row>
    <row r="25" spans="1:4" ht="12.5" x14ac:dyDescent="0.25">
      <c r="A25" s="40"/>
      <c r="B25" s="41" t="s">
        <v>956</v>
      </c>
      <c r="C25" s="42" t="str">
        <f>HYPERLINK("http://results.enr.clarityelections.com/FL/Orange/43105/112625/en/reports.html","Orange Co. Sup. of Elections")</f>
        <v>Orange Co. Sup. of Elections</v>
      </c>
      <c r="D25" s="41"/>
    </row>
    <row r="26" spans="1:4" ht="12.5" x14ac:dyDescent="0.25">
      <c r="A26" s="40"/>
      <c r="B26" s="41" t="s">
        <v>957</v>
      </c>
      <c r="C26" s="42" t="str">
        <f>HYPERLINK("http://www.pbcelections.org/","Palm Beach Co. Sup. of Elections")</f>
        <v>Palm Beach Co. Sup. of Elections</v>
      </c>
      <c r="D26" s="41"/>
    </row>
    <row r="27" spans="1:4" ht="12.5" x14ac:dyDescent="0.25">
      <c r="A27" s="40"/>
      <c r="B27" s="41" t="s">
        <v>958</v>
      </c>
      <c r="C27" s="42" t="str">
        <f>HYPERLINK("http://enr.votepinellas.com/FL/Pinellas/43334/112818/en/reports.html","Pinellas Co. Sup. of Elections")</f>
        <v>Pinellas Co. Sup. of Elections</v>
      </c>
      <c r="D27" s="41"/>
    </row>
    <row r="28" spans="1:4" ht="12.5" x14ac:dyDescent="0.25">
      <c r="A28" s="40"/>
      <c r="B28" s="41" t="s">
        <v>959</v>
      </c>
      <c r="C28" s="42" t="str">
        <f>HYPERLINK("http://www.polkelections.com/content.asp?c=73","Polk Co. Sup. of Elections")</f>
        <v>Polk Co. Sup. of Elections</v>
      </c>
      <c r="D28" s="41"/>
    </row>
    <row r="29" spans="1:4" ht="12.5" x14ac:dyDescent="0.25">
      <c r="A29" s="40"/>
      <c r="B29" s="41" t="s">
        <v>960</v>
      </c>
      <c r="C29" s="42" t="str">
        <f>HYPERLINK("http://soe.putnam-fl.com/","Putnam Co. Sup. of Elections")</f>
        <v>Putnam Co. Sup. of Elections</v>
      </c>
      <c r="D29" s="41"/>
    </row>
    <row r="30" spans="1:4" ht="12.5" x14ac:dyDescent="0.25">
      <c r="A30" s="40"/>
      <c r="B30" s="41" t="s">
        <v>961</v>
      </c>
      <c r="C30" s="42" t="str">
        <f>HYPERLINK("http://www.voteseminole.org/","Seminole Co. Sup. of Elections")</f>
        <v>Seminole Co. Sup. of Elections</v>
      </c>
      <c r="D30" s="41"/>
    </row>
    <row r="31" spans="1:4" ht="12.5" x14ac:dyDescent="0.25">
      <c r="A31" s="40"/>
      <c r="B31" s="41" t="s">
        <v>962</v>
      </c>
      <c r="C31" s="42" t="str">
        <f>HYPERLINK("http://volusiaelections.org/","Volusia Co. Dept. of Elections")</f>
        <v>Volusia Co. Dept. of Elections</v>
      </c>
      <c r="D31" s="41"/>
    </row>
    <row r="32" spans="1:4" ht="12.5" x14ac:dyDescent="0.25">
      <c r="A32" s="32" t="s">
        <v>890</v>
      </c>
      <c r="B32" s="33" t="s">
        <v>934</v>
      </c>
      <c r="C32" s="34" t="str">
        <f>HYPERLINK("http://results.enr.clarityelections.com/GA/42277/112424/en/summary.html", "GA Sec. of State")</f>
        <v>GA Sec. of State</v>
      </c>
      <c r="D32" s="35" t="s">
        <v>963</v>
      </c>
    </row>
    <row r="33" spans="1:4" ht="25" x14ac:dyDescent="0.25">
      <c r="A33" s="32" t="s">
        <v>891</v>
      </c>
      <c r="B33" s="33" t="s">
        <v>934</v>
      </c>
      <c r="C33" s="34" t="str">
        <f>HYPERLINK("http://hawaii.gov/elections/results/2012/general/","HI Office of Elections")</f>
        <v>HI Office of Elections</v>
      </c>
      <c r="D33" s="35" t="s">
        <v>964</v>
      </c>
    </row>
    <row r="34" spans="1:4" ht="25" x14ac:dyDescent="0.25">
      <c r="A34" s="32" t="s">
        <v>892</v>
      </c>
      <c r="B34" s="33" t="s">
        <v>934</v>
      </c>
      <c r="C34" s="34" t="str">
        <f>HYPERLINK("http://electionresults.sos.iowa.gov/resultsSW.aspx?type=FED&amp;map=CTY","IA Sec. of State")</f>
        <v>IA Sec. of State</v>
      </c>
      <c r="D34" s="35" t="s">
        <v>965</v>
      </c>
    </row>
    <row r="35" spans="1:4" ht="25" x14ac:dyDescent="0.25">
      <c r="A35" s="32" t="s">
        <v>893</v>
      </c>
      <c r="B35" s="33" t="s">
        <v>934</v>
      </c>
      <c r="C35" s="34" t="str">
        <f>HYPERLINK("http://www.sos.idaho.gov/elect/RESULTS/2012/General/12%20Gen_fed_prec.xls","ID Sec. of State")</f>
        <v>ID Sec. of State</v>
      </c>
      <c r="D35" s="35" t="s">
        <v>966</v>
      </c>
    </row>
    <row r="36" spans="1:4" ht="12.5" x14ac:dyDescent="0.25">
      <c r="A36" s="36" t="s">
        <v>894</v>
      </c>
      <c r="B36" s="37" t="s">
        <v>934</v>
      </c>
      <c r="C36" s="37"/>
      <c r="D36" s="37"/>
    </row>
    <row r="37" spans="1:4" ht="12.5" x14ac:dyDescent="0.25">
      <c r="A37" s="40"/>
      <c r="B37" s="41" t="s">
        <v>967</v>
      </c>
      <c r="C37" s="41" t="s">
        <v>968</v>
      </c>
      <c r="D37" s="41"/>
    </row>
    <row r="38" spans="1:4" ht="12.5" x14ac:dyDescent="0.25">
      <c r="A38" s="40"/>
      <c r="B38" s="41" t="s">
        <v>969</v>
      </c>
      <c r="C38" s="41" t="s">
        <v>970</v>
      </c>
      <c r="D38" s="41"/>
    </row>
    <row r="39" spans="1:4" ht="12.5" x14ac:dyDescent="0.25">
      <c r="A39" s="40"/>
      <c r="B39" s="41" t="s">
        <v>971</v>
      </c>
      <c r="C39" s="41" t="s">
        <v>972</v>
      </c>
      <c r="D39" s="41"/>
    </row>
    <row r="40" spans="1:4" ht="12.5" x14ac:dyDescent="0.25">
      <c r="A40" s="40"/>
      <c r="B40" s="41" t="s">
        <v>973</v>
      </c>
      <c r="C40" s="41" t="s">
        <v>974</v>
      </c>
      <c r="D40" s="41"/>
    </row>
    <row r="41" spans="1:4" ht="12.5" x14ac:dyDescent="0.25">
      <c r="A41" s="40"/>
      <c r="B41" s="41" t="s">
        <v>975</v>
      </c>
      <c r="C41" s="41" t="s">
        <v>976</v>
      </c>
      <c r="D41" s="41"/>
    </row>
    <row r="42" spans="1:4" ht="12.5" x14ac:dyDescent="0.25">
      <c r="A42" s="40"/>
      <c r="B42" s="41" t="s">
        <v>977</v>
      </c>
      <c r="C42" s="41" t="s">
        <v>978</v>
      </c>
      <c r="D42" s="41"/>
    </row>
    <row r="43" spans="1:4" ht="12.5" x14ac:dyDescent="0.25">
      <c r="A43" s="40"/>
      <c r="B43" s="41" t="s">
        <v>979</v>
      </c>
      <c r="C43" s="41" t="s">
        <v>980</v>
      </c>
      <c r="D43" s="41"/>
    </row>
    <row r="44" spans="1:4" ht="12.5" x14ac:dyDescent="0.25">
      <c r="A44" s="40"/>
      <c r="B44" s="41" t="s">
        <v>981</v>
      </c>
      <c r="C44" s="41" t="s">
        <v>982</v>
      </c>
      <c r="D44" s="41"/>
    </row>
    <row r="45" spans="1:4" ht="12.5" x14ac:dyDescent="0.25">
      <c r="A45" s="40"/>
      <c r="B45" s="41" t="s">
        <v>950</v>
      </c>
      <c r="C45" s="41" t="s">
        <v>983</v>
      </c>
      <c r="D45" s="41"/>
    </row>
    <row r="46" spans="1:4" ht="12.5" x14ac:dyDescent="0.25">
      <c r="A46" s="40"/>
      <c r="B46" s="41" t="s">
        <v>952</v>
      </c>
      <c r="C46" s="41" t="s">
        <v>984</v>
      </c>
      <c r="D46" s="41"/>
    </row>
    <row r="47" spans="1:4" ht="12.5" x14ac:dyDescent="0.25">
      <c r="A47" s="40"/>
      <c r="B47" s="41" t="s">
        <v>985</v>
      </c>
      <c r="C47" s="41" t="s">
        <v>986</v>
      </c>
      <c r="D47" s="41"/>
    </row>
    <row r="48" spans="1:4" ht="12.5" x14ac:dyDescent="0.25">
      <c r="A48" s="40"/>
      <c r="B48" s="41" t="s">
        <v>987</v>
      </c>
      <c r="C48" s="41" t="s">
        <v>988</v>
      </c>
      <c r="D48" s="41"/>
    </row>
    <row r="49" spans="1:4" ht="12.5" x14ac:dyDescent="0.25">
      <c r="A49" s="40"/>
      <c r="B49" s="41" t="s">
        <v>989</v>
      </c>
      <c r="C49" s="41" t="s">
        <v>990</v>
      </c>
      <c r="D49" s="41"/>
    </row>
    <row r="50" spans="1:4" ht="12.5" x14ac:dyDescent="0.25">
      <c r="A50" s="40"/>
      <c r="B50" s="41" t="s">
        <v>991</v>
      </c>
      <c r="C50" s="41" t="s">
        <v>992</v>
      </c>
      <c r="D50" s="41"/>
    </row>
    <row r="51" spans="1:4" ht="12.5" x14ac:dyDescent="0.25">
      <c r="A51" s="40"/>
      <c r="B51" s="41" t="s">
        <v>993</v>
      </c>
      <c r="C51" s="41" t="s">
        <v>994</v>
      </c>
      <c r="D51" s="41"/>
    </row>
    <row r="52" spans="1:4" ht="12.5" x14ac:dyDescent="0.25">
      <c r="A52" s="40"/>
      <c r="B52" s="41" t="s">
        <v>995</v>
      </c>
      <c r="C52" s="41" t="s">
        <v>996</v>
      </c>
      <c r="D52" s="41"/>
    </row>
    <row r="53" spans="1:4" ht="12.5" x14ac:dyDescent="0.25">
      <c r="A53" s="40"/>
      <c r="B53" s="41" t="s">
        <v>997</v>
      </c>
      <c r="C53" s="41" t="s">
        <v>998</v>
      </c>
      <c r="D53" s="41"/>
    </row>
    <row r="54" spans="1:4" ht="12.5" x14ac:dyDescent="0.25">
      <c r="A54" s="40"/>
      <c r="B54" s="41" t="s">
        <v>999</v>
      </c>
      <c r="C54" s="41" t="s">
        <v>1000</v>
      </c>
      <c r="D54" s="41"/>
    </row>
    <row r="55" spans="1:4" ht="12.5" x14ac:dyDescent="0.25">
      <c r="A55" s="40"/>
      <c r="B55" s="41" t="s">
        <v>1001</v>
      </c>
      <c r="C55" s="41" t="s">
        <v>1002</v>
      </c>
      <c r="D55" s="41"/>
    </row>
    <row r="56" spans="1:4" ht="12.5" x14ac:dyDescent="0.25">
      <c r="A56" s="40"/>
      <c r="B56" s="41" t="s">
        <v>1003</v>
      </c>
      <c r="C56" s="41" t="s">
        <v>1004</v>
      </c>
      <c r="D56" s="41"/>
    </row>
    <row r="57" spans="1:4" ht="12.5" x14ac:dyDescent="0.25">
      <c r="A57" s="40"/>
      <c r="B57" s="41" t="s">
        <v>1005</v>
      </c>
      <c r="C57" s="41" t="s">
        <v>1006</v>
      </c>
      <c r="D57" s="41"/>
    </row>
    <row r="58" spans="1:4" ht="12.5" x14ac:dyDescent="0.25">
      <c r="A58" s="40"/>
      <c r="B58" s="41" t="s">
        <v>1007</v>
      </c>
      <c r="C58" s="41" t="s">
        <v>1008</v>
      </c>
      <c r="D58" s="41"/>
    </row>
    <row r="59" spans="1:4" ht="12.5" x14ac:dyDescent="0.25">
      <c r="A59" s="40"/>
      <c r="B59" s="41" t="s">
        <v>1009</v>
      </c>
      <c r="C59" s="41" t="s">
        <v>1010</v>
      </c>
      <c r="D59" s="41"/>
    </row>
    <row r="60" spans="1:4" ht="26" x14ac:dyDescent="0.3">
      <c r="A60" s="30" t="s">
        <v>895</v>
      </c>
      <c r="B60" s="31" t="s">
        <v>1011</v>
      </c>
      <c r="C60" s="43"/>
      <c r="D60" s="43"/>
    </row>
    <row r="61" spans="1:4" ht="12.5" x14ac:dyDescent="0.25">
      <c r="A61" s="36" t="s">
        <v>896</v>
      </c>
      <c r="B61" s="37" t="s">
        <v>934</v>
      </c>
      <c r="C61" s="38" t="str">
        <f>HYPERLINK("http://www.kssos.org/elections/elections_statistics.html","KS Sec. of State")</f>
        <v>KS Sec. of State</v>
      </c>
      <c r="D61" s="39" t="s">
        <v>1012</v>
      </c>
    </row>
    <row r="62" spans="1:4" ht="12.5" x14ac:dyDescent="0.25">
      <c r="A62" s="40"/>
      <c r="B62" s="41" t="s">
        <v>1013</v>
      </c>
      <c r="C62" s="42" t="str">
        <f>HYPERLINK("http://www.marshall.kansasgov.com/","Marshall Co. Election Office")</f>
        <v>Marshall Co. Election Office</v>
      </c>
      <c r="D62" s="41"/>
    </row>
    <row r="63" spans="1:4" ht="12.5" x14ac:dyDescent="0.25">
      <c r="A63" s="40"/>
      <c r="B63" s="41" t="s">
        <v>1014</v>
      </c>
      <c r="C63" s="42" t="str">
        <f>HYPERLINK("http://www.miamicountyks.org/clerk2.html","Miami Co. Clerk")</f>
        <v>Miami Co. Clerk</v>
      </c>
      <c r="D63" s="41"/>
    </row>
    <row r="64" spans="1:4" ht="12.5" x14ac:dyDescent="0.25">
      <c r="A64" s="40"/>
      <c r="B64" s="41" t="s">
        <v>1015</v>
      </c>
      <c r="C64" s="42" t="str">
        <f>HYPERLINK("http://www.pawneecountykansas.com/Election/tabid/6395/Default.aspx","Pawnee Co. Clerk")</f>
        <v>Pawnee Co. Clerk</v>
      </c>
      <c r="D64" s="41"/>
    </row>
    <row r="65" spans="1:4" ht="12.5" x14ac:dyDescent="0.25">
      <c r="A65" s="32" t="s">
        <v>897</v>
      </c>
      <c r="B65" s="33" t="s">
        <v>934</v>
      </c>
      <c r="C65" s="34" t="str">
        <f>HYPERLINK("http://elect.ky.gov/results/2010-2019/Pages/2012primaryandgeneralelectionresults.aspx","KY State Bd. of Elections")</f>
        <v>KY State Bd. of Elections</v>
      </c>
      <c r="D65" s="35" t="s">
        <v>1016</v>
      </c>
    </row>
    <row r="66" spans="1:4" ht="12.5" x14ac:dyDescent="0.25">
      <c r="A66" s="32" t="s">
        <v>898</v>
      </c>
      <c r="B66" s="33" t="s">
        <v>934</v>
      </c>
      <c r="C66" s="34" t="str">
        <f>HYPERLINK("http://electionresults.sos.la.gov/graphical/","LA Sec. of State")</f>
        <v>LA Sec. of State</v>
      </c>
      <c r="D66" s="35" t="s">
        <v>1017</v>
      </c>
    </row>
    <row r="67" spans="1:4" ht="12.5" x14ac:dyDescent="0.25">
      <c r="A67" s="3" t="s">
        <v>899</v>
      </c>
    </row>
    <row r="68" spans="1:4" ht="12.5" x14ac:dyDescent="0.25">
      <c r="A68" s="32" t="s">
        <v>900</v>
      </c>
      <c r="B68" s="33" t="s">
        <v>934</v>
      </c>
      <c r="C68" s="34" t="str">
        <f>HYPERLINK("http://www.elections.state.md.us/elections/2012/election_data/index.html","MD State Bd. of Elections")</f>
        <v>MD State Bd. of Elections</v>
      </c>
      <c r="D68" s="44" t="s">
        <v>1018</v>
      </c>
    </row>
    <row r="69" spans="1:4" ht="12.5" x14ac:dyDescent="0.25">
      <c r="A69" s="3" t="s">
        <v>901</v>
      </c>
    </row>
    <row r="70" spans="1:4" ht="26" x14ac:dyDescent="0.3">
      <c r="A70" s="30" t="s">
        <v>902</v>
      </c>
      <c r="B70" s="31" t="s">
        <v>939</v>
      </c>
      <c r="C70" s="43"/>
      <c r="D70" s="43"/>
    </row>
    <row r="71" spans="1:4" ht="25" x14ac:dyDescent="0.25">
      <c r="A71" s="32" t="s">
        <v>903</v>
      </c>
      <c r="B71" s="33" t="s">
        <v>934</v>
      </c>
      <c r="C71" s="34" t="str">
        <f>HYPERLINK("http://electionresults.sos.state.mn.us/enr/enr/home/1","MN Sec. of State")</f>
        <v>MN Sec. of State</v>
      </c>
      <c r="D71" s="35" t="s">
        <v>1019</v>
      </c>
    </row>
    <row r="72" spans="1:4" ht="13" x14ac:dyDescent="0.3">
      <c r="A72" s="30" t="s">
        <v>904</v>
      </c>
      <c r="B72" s="31" t="s">
        <v>936</v>
      </c>
      <c r="C72" s="31"/>
      <c r="D72" s="31"/>
    </row>
    <row r="73" spans="1:4" ht="12.5" x14ac:dyDescent="0.25">
      <c r="A73" s="32" t="s">
        <v>905</v>
      </c>
      <c r="B73" s="33" t="s">
        <v>934</v>
      </c>
      <c r="C73" s="34" t="str">
        <f>HYPERLINK("http://www.sos.ms.gov/elections_results_2012_general.aspx","MS Sec. of State")</f>
        <v>MS Sec. of State</v>
      </c>
      <c r="D73" s="35" t="s">
        <v>1020</v>
      </c>
    </row>
    <row r="74" spans="1:4" ht="12.5" x14ac:dyDescent="0.25">
      <c r="A74" s="32" t="s">
        <v>906</v>
      </c>
      <c r="B74" s="33" t="s">
        <v>934</v>
      </c>
      <c r="C74" s="34" t="str">
        <f>HYPERLINK("http://sos.mt.gov/elections/2012/2012_General_Canvass.pdf","MT Sec. of State")</f>
        <v>MT Sec. of State</v>
      </c>
      <c r="D74" s="33" t="s">
        <v>935</v>
      </c>
    </row>
    <row r="75" spans="1:4" ht="12.5" x14ac:dyDescent="0.25">
      <c r="A75" s="32" t="s">
        <v>907</v>
      </c>
      <c r="B75" s="33" t="s">
        <v>934</v>
      </c>
      <c r="C75" s="34" t="str">
        <f>HYPERLINK("http://results.enr.clarityelections.com/NC/42923/113873/Web01/en/summary.html","NC State Bd. of Elections")</f>
        <v>NC State Bd. of Elections</v>
      </c>
      <c r="D75" s="35" t="s">
        <v>1021</v>
      </c>
    </row>
    <row r="76" spans="1:4" ht="12.5" x14ac:dyDescent="0.25">
      <c r="A76" s="32" t="s">
        <v>908</v>
      </c>
      <c r="B76" s="33" t="s">
        <v>934</v>
      </c>
      <c r="C76" s="34" t="str">
        <f>HYPERLINK("http://results.sos.nd.gov/resultsSW.aspx?text=Race&amp;type=SW&amp;map=CTY","ND Sec. of State")</f>
        <v>ND Sec. of State</v>
      </c>
      <c r="D76" s="33" t="s">
        <v>935</v>
      </c>
    </row>
    <row r="77" spans="1:4" ht="12.5" x14ac:dyDescent="0.25">
      <c r="A77" s="3" t="s">
        <v>909</v>
      </c>
    </row>
    <row r="78" spans="1:4" ht="25" x14ac:dyDescent="0.25">
      <c r="A78" s="32" t="s">
        <v>910</v>
      </c>
      <c r="B78" s="33" t="s">
        <v>934</v>
      </c>
      <c r="C78" s="34" t="str">
        <f>HYPERLINK("http://sos.nh.gov/2012PresGen.aspx","NH Sec. of State")</f>
        <v>NH Sec. of State</v>
      </c>
      <c r="D78" s="35" t="s">
        <v>1022</v>
      </c>
    </row>
    <row r="79" spans="1:4" ht="12.5" x14ac:dyDescent="0.25">
      <c r="A79" s="3" t="s">
        <v>911</v>
      </c>
    </row>
    <row r="80" spans="1:4" ht="12.5" x14ac:dyDescent="0.25">
      <c r="A80" s="32" t="s">
        <v>912</v>
      </c>
      <c r="B80" s="33" t="s">
        <v>934</v>
      </c>
      <c r="C80" s="34" t="str">
        <f>HYPERLINK("http://www.electionpeople.com/nmger2012/County/GroupByCountyTable.aspx","NM Sec. of State")</f>
        <v>NM Sec. of State</v>
      </c>
      <c r="D80" s="33"/>
    </row>
    <row r="81" spans="1:4" ht="12.5" x14ac:dyDescent="0.25">
      <c r="A81" s="36" t="s">
        <v>913</v>
      </c>
      <c r="B81" s="37" t="s">
        <v>934</v>
      </c>
      <c r="C81" s="38" t="str">
        <f>HYPERLINK("http://www.silverstateelection.com/USPresidential/index.shtml","NV Sec. of State")</f>
        <v>NV Sec. of State</v>
      </c>
      <c r="D81" s="39" t="s">
        <v>1023</v>
      </c>
    </row>
    <row r="82" spans="1:4" ht="12.5" x14ac:dyDescent="0.25">
      <c r="A82" s="40"/>
      <c r="B82" s="41" t="s">
        <v>1024</v>
      </c>
      <c r="C82" s="42" t="str">
        <f>HYPERLINK("http://www.clarkcountynv.gov/Depts/election/Pages/ElectionHistory.aspx?ecode=12G&amp;ecat=3","Clark Co. Elections")</f>
        <v>Clark Co. Elections</v>
      </c>
      <c r="D82" s="41"/>
    </row>
    <row r="83" spans="1:4" ht="12.5" x14ac:dyDescent="0.25">
      <c r="A83" s="40"/>
      <c r="B83" s="41" t="s">
        <v>1025</v>
      </c>
      <c r="C83" s="42" t="str">
        <f>HYPERLINK("http://www.lyon-county.org/index.aspx?NID=16","Lyon Co. Clerk/Treasurer")</f>
        <v>Lyon Co. Clerk/Treasurer</v>
      </c>
      <c r="D83" s="41"/>
    </row>
    <row r="84" spans="1:4" ht="13" x14ac:dyDescent="0.3">
      <c r="A84" s="30" t="s">
        <v>914</v>
      </c>
      <c r="B84" s="31" t="s">
        <v>936</v>
      </c>
      <c r="C84" s="31"/>
      <c r="D84" s="31"/>
    </row>
    <row r="85" spans="1:4" ht="13" x14ac:dyDescent="0.3">
      <c r="A85" s="30" t="s">
        <v>915</v>
      </c>
      <c r="B85" s="31" t="s">
        <v>936</v>
      </c>
      <c r="C85" s="31"/>
      <c r="D85" s="31"/>
    </row>
    <row r="86" spans="1:4" ht="25" x14ac:dyDescent="0.25">
      <c r="A86" s="32" t="s">
        <v>916</v>
      </c>
      <c r="B86" s="33" t="s">
        <v>934</v>
      </c>
      <c r="C86" s="34" t="str">
        <f>HYPERLINK("http://www.ok.gov/elections/Candidates_&amp;_Elections/General_Election_-_November_6,_2012.html","OK State Election Board")</f>
        <v>OK State Election Board</v>
      </c>
      <c r="D86" s="35" t="s">
        <v>1026</v>
      </c>
    </row>
    <row r="87" spans="1:4" ht="12.5" x14ac:dyDescent="0.25">
      <c r="A87" s="36" t="s">
        <v>917</v>
      </c>
      <c r="B87" s="37" t="s">
        <v>934</v>
      </c>
      <c r="C87" s="38" t="str">
        <f>HYPERLINK("http://oregonvotes.org/index.html","OR Sec. of State")</f>
        <v>OR Sec. of State</v>
      </c>
      <c r="D87" s="39" t="s">
        <v>1027</v>
      </c>
    </row>
    <row r="88" spans="1:4" ht="12.5" x14ac:dyDescent="0.25">
      <c r="A88" s="40"/>
      <c r="B88" s="41" t="s">
        <v>1028</v>
      </c>
      <c r="C88" s="42" t="str">
        <f>HYPERLINK("http://www.co.benton.or.us/elections/2010-2019.php","Benton Co. Elections")</f>
        <v>Benton Co. Elections</v>
      </c>
      <c r="D88" s="41"/>
    </row>
    <row r="89" spans="1:4" ht="12.5" x14ac:dyDescent="0.25">
      <c r="A89" s="40"/>
      <c r="B89" s="41" t="s">
        <v>1029</v>
      </c>
      <c r="C89" s="42" t="str">
        <f>HYPERLINK("http://www.clackamas.us/elections/results.html","Clackamas Co. Elections")</f>
        <v>Clackamas Co. Elections</v>
      </c>
      <c r="D89" s="41"/>
    </row>
    <row r="90" spans="1:4" ht="12.5" x14ac:dyDescent="0.25">
      <c r="A90" s="40"/>
      <c r="B90" s="41" t="s">
        <v>1030</v>
      </c>
      <c r="C90" s="42" t="str">
        <f>HYPERLINK("http://www.co.josephine.or.us/Page.asp?NavID=747","Josephine Co. Election Div.")</f>
        <v>Josephine Co. Election Div.</v>
      </c>
      <c r="D90" s="41"/>
    </row>
    <row r="91" spans="1:4" ht="12.5" x14ac:dyDescent="0.25">
      <c r="A91" s="40"/>
      <c r="B91" s="41" t="s">
        <v>1031</v>
      </c>
      <c r="C91" s="42" t="str">
        <f>HYPERLINK("http://web.multco.us/elections/november-6-2012-general-election","Multnomah Co. Elections")</f>
        <v>Multnomah Co. Elections</v>
      </c>
      <c r="D91" s="41"/>
    </row>
    <row r="92" spans="1:4" ht="13" x14ac:dyDescent="0.3">
      <c r="A92" s="30" t="s">
        <v>918</v>
      </c>
      <c r="B92" s="31" t="s">
        <v>936</v>
      </c>
      <c r="C92" s="43"/>
      <c r="D92" s="43"/>
    </row>
    <row r="93" spans="1:4" ht="25" x14ac:dyDescent="0.25">
      <c r="A93" s="32" t="s">
        <v>919</v>
      </c>
      <c r="B93" s="33" t="s">
        <v>934</v>
      </c>
      <c r="C93" s="34" t="str">
        <f>HYPERLINK("http://www.ri.gov/election/results/2012/general_election/","RI Board of Elections")</f>
        <v>RI Board of Elections</v>
      </c>
      <c r="D93" s="35" t="s">
        <v>1032</v>
      </c>
    </row>
    <row r="94" spans="1:4" ht="12.5" x14ac:dyDescent="0.25">
      <c r="A94" s="32" t="s">
        <v>920</v>
      </c>
      <c r="B94" s="33" t="s">
        <v>934</v>
      </c>
      <c r="C94" s="34" t="str">
        <f>HYPERLINK("http://www.enr-scvotes.org/SC/42513/113010/en/summary.html","SC Board of Elections")</f>
        <v>SC Board of Elections</v>
      </c>
      <c r="D94" s="35" t="s">
        <v>1033</v>
      </c>
    </row>
    <row r="95" spans="1:4" ht="12.5" x14ac:dyDescent="0.25">
      <c r="A95" s="32" t="s">
        <v>921</v>
      </c>
      <c r="B95" s="33" t="s">
        <v>934</v>
      </c>
      <c r="C95" s="34" t="str">
        <f>HYPERLINK("http://sdsos.gov/content/html/elections/electvoterpdfs/2012/OfficialGeneralElectionStateCanvass.pdf","SD Sec. of State")</f>
        <v>SD Sec. of State</v>
      </c>
      <c r="D95" s="33" t="s">
        <v>935</v>
      </c>
    </row>
    <row r="96" spans="1:4" ht="25" x14ac:dyDescent="0.25">
      <c r="A96" s="32" t="s">
        <v>922</v>
      </c>
      <c r="B96" s="33" t="s">
        <v>934</v>
      </c>
      <c r="C96" s="34" t="str">
        <f>HYPERLINK("http://www.tn.gov/sos/election/results/2012-11/index.htm","TN Sec. of State")</f>
        <v>TN Sec. of State</v>
      </c>
      <c r="D96" s="35" t="s">
        <v>1034</v>
      </c>
    </row>
    <row r="97" spans="1:4" ht="13" x14ac:dyDescent="0.3">
      <c r="A97" s="30" t="s">
        <v>923</v>
      </c>
      <c r="B97" s="31" t="s">
        <v>936</v>
      </c>
      <c r="C97" s="31"/>
      <c r="D97" s="31"/>
    </row>
    <row r="98" spans="1:4" ht="12.5" x14ac:dyDescent="0.25">
      <c r="A98" s="36" t="s">
        <v>924</v>
      </c>
      <c r="B98" s="37" t="s">
        <v>934</v>
      </c>
      <c r="C98" s="38" t="str">
        <f>HYPERLINK("http://elections.utah.gov/election-resources/election-results","Utah Elections")</f>
        <v>Utah Elections</v>
      </c>
      <c r="D98" s="39" t="s">
        <v>1035</v>
      </c>
    </row>
    <row r="99" spans="1:4" ht="12.5" x14ac:dyDescent="0.25">
      <c r="A99" s="40"/>
      <c r="B99" s="41" t="s">
        <v>1036</v>
      </c>
      <c r="C99" s="42" t="str">
        <f>HYPERLINK("http://www.co.davis.ut.us/clerkauditor/elections/election_results/default.cfm","Davis Co. Clerk/Auditor")</f>
        <v>Davis Co. Clerk/Auditor</v>
      </c>
      <c r="D99" s="41"/>
    </row>
    <row r="100" spans="1:4" ht="12.5" x14ac:dyDescent="0.25">
      <c r="A100" s="40"/>
      <c r="B100" s="41" t="s">
        <v>1037</v>
      </c>
      <c r="C100" s="42" t="str">
        <f>HYPERLINK("http://www.co.juab.ut.us/county/clerk/index.html","Juab Co. Clerk")</f>
        <v>Juab Co. Clerk</v>
      </c>
      <c r="D100" s="41"/>
    </row>
    <row r="101" spans="1:4" ht="12.5" x14ac:dyDescent="0.25">
      <c r="A101" s="40"/>
      <c r="B101" s="41" t="s">
        <v>1038</v>
      </c>
      <c r="C101" s="42" t="str">
        <f>HYPERLINK("https://secure.slco.org/clerk/elections/results/public/","Salt Lake Co. Clerk")</f>
        <v>Salt Lake Co. Clerk</v>
      </c>
      <c r="D101" s="41"/>
    </row>
    <row r="102" spans="1:4" ht="12.5" x14ac:dyDescent="0.25">
      <c r="A102" s="40"/>
      <c r="B102" s="41" t="s">
        <v>1039</v>
      </c>
      <c r="C102" s="42" t="str">
        <f>HYPERLINK("http://sanpete.com/pages/clerk","Sanpete Co. Clerk")</f>
        <v>Sanpete Co. Clerk</v>
      </c>
      <c r="D102" s="41"/>
    </row>
    <row r="103" spans="1:4" ht="12.5" x14ac:dyDescent="0.25">
      <c r="A103" s="40"/>
      <c r="B103" s="41" t="s">
        <v>1040</v>
      </c>
      <c r="C103" s="42" t="str">
        <f>HYPERLINK("http://www.utahcountyonline.org/Dept/ClerkAud/Elections/index.asp","Utah Co. Clerk/Auditor")</f>
        <v>Utah Co. Clerk/Auditor</v>
      </c>
      <c r="D103" s="41"/>
    </row>
    <row r="104" spans="1:4" ht="12.5" x14ac:dyDescent="0.25">
      <c r="A104" s="32" t="s">
        <v>925</v>
      </c>
      <c r="B104" s="33" t="s">
        <v>934</v>
      </c>
      <c r="C104" s="34" t="str">
        <f>HYPERLINK("https://www.voterinfo.sbe.virginia.gov/election/DATA/2012/68C30477-AAF2-46DD-994E-5D3BE8A89C9B/Official/1_s.shtml","VA State Board of Elections")</f>
        <v>VA State Board of Elections</v>
      </c>
      <c r="D104" s="33" t="s">
        <v>935</v>
      </c>
    </row>
    <row r="105" spans="1:4" ht="12.5" x14ac:dyDescent="0.25">
      <c r="A105" s="32" t="s">
        <v>926</v>
      </c>
      <c r="B105" s="33" t="s">
        <v>934</v>
      </c>
      <c r="C105" s="34" t="str">
        <f>HYPERLINK("http://vermont-elections.org/elections1/2012ElectionResults/2012_election_info.html","VT Sec. of State")</f>
        <v>VT Sec. of State</v>
      </c>
      <c r="D105" s="33" t="s">
        <v>935</v>
      </c>
    </row>
    <row r="106" spans="1:4" ht="12.5" x14ac:dyDescent="0.25">
      <c r="A106" s="32" t="s">
        <v>927</v>
      </c>
      <c r="B106" s="33" t="s">
        <v>934</v>
      </c>
      <c r="C106" s="34" t="str">
        <f>HYPERLINK("https://wei.sos.wa.gov/agency/osos/en/press_and_research/PreviousElections/2012/General-Election/Pages/Results.aspx","WA Sec. of State")</f>
        <v>WA Sec. of State</v>
      </c>
      <c r="D106" s="33" t="s">
        <v>935</v>
      </c>
    </row>
    <row r="107" spans="1:4" ht="25" x14ac:dyDescent="0.25">
      <c r="A107" s="32" t="s">
        <v>928</v>
      </c>
      <c r="B107" s="33" t="s">
        <v>934</v>
      </c>
      <c r="C107" s="34" t="str">
        <f>HYPERLINK("http://gab.wi.gov/elections-voting/results/2012/fall-general","WI Gov't. Accountability Bd.")</f>
        <v>WI Gov't. Accountability Bd.</v>
      </c>
      <c r="D107" s="35" t="s">
        <v>1041</v>
      </c>
    </row>
    <row r="108" spans="1:4" ht="12.5" x14ac:dyDescent="0.25">
      <c r="A108" s="32" t="s">
        <v>929</v>
      </c>
      <c r="B108" s="33" t="s">
        <v>934</v>
      </c>
      <c r="C108" s="34" t="str">
        <f>HYPERLINK("http://apps.sos.wv.gov/elections/results/results.aspx?year=2012&amp;eid=13&amp;county=Statewide","WV Sec. of State")</f>
        <v>WV Sec. of State</v>
      </c>
      <c r="D108" s="33"/>
    </row>
    <row r="109" spans="1:4" ht="12.5" x14ac:dyDescent="0.25">
      <c r="A109" s="32" t="s">
        <v>930</v>
      </c>
      <c r="B109" s="33" t="s">
        <v>934</v>
      </c>
      <c r="C109" s="34" t="str">
        <f>HYPERLINK("http://soswy.state.wy.us/Elections/Docs/2012/Results/General/2012_Statewide_Candidates_Summary.pdf","WY Sec. of State")</f>
        <v>WY Sec. of State</v>
      </c>
      <c r="D109" s="33" t="s">
        <v>935</v>
      </c>
    </row>
  </sheetData>
  <hyperlinks>
    <hyperlink ref="D4" r:id="rId1" xr:uid="{00000000-0004-0000-0300-000000000000}"/>
    <hyperlink ref="D5" r:id="rId2" xr:uid="{00000000-0004-0000-0300-000001000000}"/>
    <hyperlink ref="D7" r:id="rId3" xr:uid="{00000000-0004-0000-0300-000002000000}"/>
    <hyperlink ref="D10" r:id="rId4" xr:uid="{00000000-0004-0000-0300-000003000000}"/>
    <hyperlink ref="D32" r:id="rId5" xr:uid="{00000000-0004-0000-0300-000004000000}"/>
    <hyperlink ref="D33" r:id="rId6" xr:uid="{00000000-0004-0000-0300-000005000000}"/>
    <hyperlink ref="D34" r:id="rId7" xr:uid="{00000000-0004-0000-0300-000006000000}"/>
    <hyperlink ref="D35" r:id="rId8" xr:uid="{00000000-0004-0000-0300-000007000000}"/>
    <hyperlink ref="D61" r:id="rId9" xr:uid="{00000000-0004-0000-0300-000008000000}"/>
    <hyperlink ref="D65" r:id="rId10" xr:uid="{00000000-0004-0000-0300-000009000000}"/>
    <hyperlink ref="D66" r:id="rId11" xr:uid="{00000000-0004-0000-0300-00000A000000}"/>
    <hyperlink ref="D68" r:id="rId12" xr:uid="{00000000-0004-0000-0300-00000B000000}"/>
    <hyperlink ref="D71" r:id="rId13" xr:uid="{00000000-0004-0000-0300-00000C000000}"/>
    <hyperlink ref="D73" r:id="rId14" xr:uid="{00000000-0004-0000-0300-00000D000000}"/>
    <hyperlink ref="D75" r:id="rId15" xr:uid="{00000000-0004-0000-0300-00000E000000}"/>
    <hyperlink ref="D78" r:id="rId16" xr:uid="{00000000-0004-0000-0300-00000F000000}"/>
    <hyperlink ref="D81" r:id="rId17" xr:uid="{00000000-0004-0000-0300-000010000000}"/>
    <hyperlink ref="D86" r:id="rId18" xr:uid="{00000000-0004-0000-0300-000011000000}"/>
    <hyperlink ref="D87" r:id="rId19" xr:uid="{00000000-0004-0000-0300-000012000000}"/>
    <hyperlink ref="D93" r:id="rId20" xr:uid="{00000000-0004-0000-0300-000013000000}"/>
    <hyperlink ref="D94" r:id="rId21" xr:uid="{00000000-0004-0000-0300-000014000000}"/>
    <hyperlink ref="D96" r:id="rId22" xr:uid="{00000000-0004-0000-0300-000015000000}"/>
    <hyperlink ref="D98" r:id="rId23" xr:uid="{00000000-0004-0000-0300-000016000000}"/>
    <hyperlink ref="D107" r:id="rId24" xr:uid="{00000000-0004-0000-0300-00001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5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2.75" customHeight="1" x14ac:dyDescent="0.25"/>
  <cols>
    <col min="1" max="1" width="22.453125" customWidth="1"/>
    <col min="2" max="2" width="11.6328125" customWidth="1"/>
    <col min="3" max="3" width="4.08984375" customWidth="1"/>
    <col min="4" max="4" width="20.26953125" customWidth="1"/>
    <col min="5" max="5" width="14.08984375" customWidth="1"/>
    <col min="6" max="6" width="41" customWidth="1"/>
    <col min="7" max="7" width="15.08984375" customWidth="1"/>
    <col min="8" max="8" width="24" customWidth="1"/>
  </cols>
  <sheetData>
    <row r="1" spans="1:8" ht="12.75" customHeight="1" x14ac:dyDescent="0.3">
      <c r="A1" s="45" t="s">
        <v>878</v>
      </c>
      <c r="B1" s="46" t="s">
        <v>1042</v>
      </c>
      <c r="C1" s="45" t="s">
        <v>1043</v>
      </c>
      <c r="D1" s="45" t="s">
        <v>1044</v>
      </c>
      <c r="E1" s="45" t="s">
        <v>1045</v>
      </c>
      <c r="F1" s="47" t="s">
        <v>1046</v>
      </c>
      <c r="G1" s="47" t="s">
        <v>933</v>
      </c>
      <c r="H1" s="47" t="s">
        <v>1047</v>
      </c>
    </row>
    <row r="2" spans="1:8" ht="12.75" customHeight="1" x14ac:dyDescent="0.3">
      <c r="A2" s="48" t="s">
        <v>1048</v>
      </c>
      <c r="B2" s="49"/>
      <c r="F2" s="50"/>
      <c r="G2" s="50"/>
      <c r="H2" s="50"/>
    </row>
    <row r="3" spans="1:8" ht="12.75" customHeight="1" x14ac:dyDescent="0.25">
      <c r="A3" s="14" t="s">
        <v>1049</v>
      </c>
      <c r="B3" s="51">
        <v>41221</v>
      </c>
      <c r="C3" s="14">
        <v>1</v>
      </c>
      <c r="D3" s="14" t="s">
        <v>881</v>
      </c>
      <c r="E3" s="52">
        <v>41232</v>
      </c>
      <c r="F3" s="50" t="s">
        <v>1050</v>
      </c>
      <c r="G3" s="53" t="s">
        <v>1051</v>
      </c>
      <c r="H3" s="50"/>
    </row>
    <row r="4" spans="1:8" ht="12.75" customHeight="1" x14ac:dyDescent="0.25">
      <c r="A4" s="14" t="s">
        <v>1052</v>
      </c>
      <c r="B4" s="51">
        <v>41226</v>
      </c>
      <c r="C4" s="14">
        <v>5</v>
      </c>
      <c r="D4" s="14" t="s">
        <v>1053</v>
      </c>
      <c r="E4" s="52">
        <v>41232</v>
      </c>
      <c r="F4" s="50" t="s">
        <v>1054</v>
      </c>
      <c r="G4" s="53" t="s">
        <v>1055</v>
      </c>
      <c r="H4" s="50"/>
    </row>
    <row r="5" spans="1:8" ht="12.75" customHeight="1" x14ac:dyDescent="0.25">
      <c r="A5" s="14" t="s">
        <v>1056</v>
      </c>
      <c r="B5" s="51">
        <v>41226</v>
      </c>
      <c r="C5" s="14">
        <v>1</v>
      </c>
      <c r="D5" s="14" t="s">
        <v>881</v>
      </c>
      <c r="E5" s="52">
        <v>41232</v>
      </c>
      <c r="F5" s="50" t="s">
        <v>1050</v>
      </c>
      <c r="G5" s="53" t="s">
        <v>1057</v>
      </c>
      <c r="H5" s="50"/>
    </row>
    <row r="6" spans="1:8" ht="12.75" customHeight="1" x14ac:dyDescent="0.25">
      <c r="A6" s="14" t="s">
        <v>1058</v>
      </c>
      <c r="B6" s="51">
        <v>41226</v>
      </c>
      <c r="C6" s="14">
        <v>1</v>
      </c>
      <c r="D6" s="14" t="s">
        <v>881</v>
      </c>
      <c r="E6" s="52">
        <v>41232</v>
      </c>
      <c r="F6" s="50" t="s">
        <v>1050</v>
      </c>
      <c r="G6" s="53" t="s">
        <v>1059</v>
      </c>
      <c r="H6" s="50"/>
    </row>
    <row r="7" spans="1:8" ht="12.75" customHeight="1" x14ac:dyDescent="0.25">
      <c r="A7" s="14" t="s">
        <v>1060</v>
      </c>
      <c r="B7" s="51">
        <v>41227</v>
      </c>
      <c r="C7" s="14">
        <v>1</v>
      </c>
      <c r="D7" s="14" t="s">
        <v>881</v>
      </c>
      <c r="E7" s="52">
        <v>41232</v>
      </c>
      <c r="F7" s="50" t="s">
        <v>1050</v>
      </c>
      <c r="G7" s="53" t="s">
        <v>1061</v>
      </c>
      <c r="H7" s="50"/>
    </row>
    <row r="8" spans="1:8" ht="12.75" customHeight="1" x14ac:dyDescent="0.25">
      <c r="A8" s="14" t="s">
        <v>1062</v>
      </c>
      <c r="B8" s="51">
        <v>41233</v>
      </c>
      <c r="C8" s="14">
        <v>14</v>
      </c>
      <c r="D8" s="14" t="s">
        <v>1053</v>
      </c>
      <c r="E8" s="52">
        <v>41232</v>
      </c>
      <c r="F8" s="50" t="s">
        <v>1063</v>
      </c>
      <c r="G8" s="53" t="s">
        <v>1064</v>
      </c>
      <c r="H8" s="50"/>
    </row>
    <row r="9" spans="1:8" ht="12.75" customHeight="1" x14ac:dyDescent="0.25">
      <c r="A9" s="14" t="s">
        <v>1065</v>
      </c>
      <c r="B9" s="51">
        <v>41227</v>
      </c>
      <c r="C9" s="14">
        <v>7</v>
      </c>
      <c r="D9" s="14" t="s">
        <v>1053</v>
      </c>
      <c r="E9" s="52">
        <v>41233</v>
      </c>
      <c r="F9" s="50" t="s">
        <v>1063</v>
      </c>
      <c r="G9" s="53" t="s">
        <v>1066</v>
      </c>
      <c r="H9" s="50"/>
    </row>
    <row r="10" spans="1:8" ht="12.75" customHeight="1" x14ac:dyDescent="0.25">
      <c r="A10" s="14" t="s">
        <v>1067</v>
      </c>
      <c r="B10" s="51">
        <v>41234</v>
      </c>
      <c r="C10" s="14">
        <v>2</v>
      </c>
      <c r="D10" s="14" t="s">
        <v>1068</v>
      </c>
      <c r="E10" s="52">
        <v>41239</v>
      </c>
      <c r="F10" s="50" t="s">
        <v>1054</v>
      </c>
      <c r="G10" s="53" t="s">
        <v>1069</v>
      </c>
      <c r="H10" s="50" t="s">
        <v>1070</v>
      </c>
    </row>
    <row r="11" spans="1:8" ht="12.75" customHeight="1" x14ac:dyDescent="0.25">
      <c r="A11" s="14" t="s">
        <v>1071</v>
      </c>
      <c r="B11" s="51">
        <v>41234</v>
      </c>
      <c r="C11" s="14">
        <v>4</v>
      </c>
      <c r="D11" s="14" t="s">
        <v>1053</v>
      </c>
      <c r="E11" s="52">
        <v>41239</v>
      </c>
      <c r="F11" s="50" t="s">
        <v>1063</v>
      </c>
      <c r="G11" s="53" t="s">
        <v>1072</v>
      </c>
      <c r="H11" s="50"/>
    </row>
    <row r="12" spans="1:8" ht="12.75" customHeight="1" x14ac:dyDescent="0.25">
      <c r="A12" s="14" t="s">
        <v>1073</v>
      </c>
      <c r="B12" s="51">
        <v>41229</v>
      </c>
      <c r="C12" s="14">
        <v>1</v>
      </c>
      <c r="D12" s="14" t="s">
        <v>881</v>
      </c>
      <c r="E12" s="52">
        <v>41239</v>
      </c>
      <c r="F12" s="50" t="s">
        <v>1050</v>
      </c>
      <c r="G12" s="53" t="s">
        <v>1074</v>
      </c>
      <c r="H12" s="50"/>
    </row>
    <row r="13" spans="1:8" ht="12.75" customHeight="1" x14ac:dyDescent="0.25">
      <c r="A13" s="14" t="s">
        <v>1075</v>
      </c>
      <c r="B13" s="51">
        <v>41232</v>
      </c>
      <c r="C13" s="14">
        <v>6</v>
      </c>
      <c r="D13" s="14" t="s">
        <v>1053</v>
      </c>
      <c r="E13" s="52">
        <v>41239</v>
      </c>
      <c r="F13" s="50" t="s">
        <v>1063</v>
      </c>
      <c r="G13" s="53" t="s">
        <v>1076</v>
      </c>
      <c r="H13" s="50"/>
    </row>
    <row r="14" spans="1:8" ht="12.75" customHeight="1" x14ac:dyDescent="0.25">
      <c r="A14" s="14" t="s">
        <v>1077</v>
      </c>
      <c r="B14" s="51">
        <v>41233</v>
      </c>
      <c r="C14" s="14">
        <v>2</v>
      </c>
      <c r="D14" s="14" t="s">
        <v>1078</v>
      </c>
      <c r="E14" s="52">
        <v>41239</v>
      </c>
      <c r="F14" s="50" t="s">
        <v>1079</v>
      </c>
      <c r="G14" s="53" t="s">
        <v>1080</v>
      </c>
      <c r="H14" s="50"/>
    </row>
    <row r="15" spans="1:8" ht="12.75" customHeight="1" x14ac:dyDescent="0.25">
      <c r="A15" s="14" t="s">
        <v>1081</v>
      </c>
      <c r="B15" s="51">
        <v>41233</v>
      </c>
      <c r="C15" s="14">
        <v>2</v>
      </c>
      <c r="D15" s="14" t="s">
        <v>1053</v>
      </c>
      <c r="E15" s="52">
        <v>41239</v>
      </c>
      <c r="F15" s="50" t="s">
        <v>1054</v>
      </c>
      <c r="G15" s="53" t="s">
        <v>1082</v>
      </c>
      <c r="H15" s="50"/>
    </row>
    <row r="16" spans="1:8" ht="12.75" customHeight="1" x14ac:dyDescent="0.25">
      <c r="A16" s="14" t="s">
        <v>1083</v>
      </c>
      <c r="B16" s="51">
        <v>41240</v>
      </c>
      <c r="C16" s="14">
        <v>8</v>
      </c>
      <c r="D16" s="14" t="s">
        <v>1043</v>
      </c>
      <c r="E16" s="52">
        <v>41242</v>
      </c>
      <c r="F16" s="50" t="s">
        <v>1054</v>
      </c>
      <c r="G16" s="53" t="s">
        <v>1084</v>
      </c>
      <c r="H16" s="50" t="s">
        <v>1085</v>
      </c>
    </row>
    <row r="17" spans="1:8" ht="12.75" customHeight="1" x14ac:dyDescent="0.25">
      <c r="A17" s="14" t="s">
        <v>1086</v>
      </c>
      <c r="B17" s="51">
        <v>41239</v>
      </c>
      <c r="C17" s="14">
        <v>2</v>
      </c>
      <c r="D17" s="14" t="s">
        <v>1053</v>
      </c>
      <c r="E17" s="52">
        <v>41242</v>
      </c>
      <c r="F17" s="50" t="s">
        <v>1054</v>
      </c>
      <c r="G17" s="53" t="s">
        <v>1087</v>
      </c>
      <c r="H17" s="50" t="s">
        <v>1085</v>
      </c>
    </row>
    <row r="18" spans="1:8" ht="12.75" customHeight="1" x14ac:dyDescent="0.25">
      <c r="A18" s="14" t="s">
        <v>1088</v>
      </c>
      <c r="B18" s="51">
        <v>41241</v>
      </c>
      <c r="C18" s="14">
        <v>1</v>
      </c>
      <c r="D18" s="14" t="s">
        <v>881</v>
      </c>
      <c r="E18" s="52">
        <v>41246</v>
      </c>
      <c r="F18" s="50" t="s">
        <v>1050</v>
      </c>
      <c r="G18" s="53" t="s">
        <v>1089</v>
      </c>
      <c r="H18" s="50" t="s">
        <v>1090</v>
      </c>
    </row>
    <row r="19" spans="1:8" ht="12.75" customHeight="1" x14ac:dyDescent="0.25">
      <c r="A19" s="14" t="s">
        <v>1091</v>
      </c>
      <c r="B19" s="51">
        <v>41241</v>
      </c>
      <c r="C19" s="14">
        <v>1</v>
      </c>
      <c r="D19" s="14" t="s">
        <v>881</v>
      </c>
      <c r="E19" s="52">
        <v>41246</v>
      </c>
      <c r="F19" s="50" t="s">
        <v>1050</v>
      </c>
      <c r="G19" s="53" t="s">
        <v>1092</v>
      </c>
      <c r="H19" s="50" t="s">
        <v>1090</v>
      </c>
    </row>
    <row r="20" spans="1:8" ht="12.75" customHeight="1" x14ac:dyDescent="0.25">
      <c r="A20" s="14" t="s">
        <v>1093</v>
      </c>
      <c r="B20" s="51">
        <v>41242</v>
      </c>
      <c r="C20" s="14">
        <v>8</v>
      </c>
      <c r="D20" s="14" t="s">
        <v>1053</v>
      </c>
      <c r="E20" s="52">
        <v>41246</v>
      </c>
      <c r="F20" s="50" t="s">
        <v>1094</v>
      </c>
      <c r="G20" s="53" t="s">
        <v>1095</v>
      </c>
      <c r="H20" s="50" t="s">
        <v>1085</v>
      </c>
    </row>
    <row r="21" spans="1:8" ht="12.75" customHeight="1" x14ac:dyDescent="0.25">
      <c r="A21" s="14" t="s">
        <v>1096</v>
      </c>
      <c r="B21" s="51">
        <v>41239</v>
      </c>
      <c r="C21" s="14">
        <v>6</v>
      </c>
      <c r="D21" s="14" t="s">
        <v>1053</v>
      </c>
      <c r="E21" s="52">
        <v>41246</v>
      </c>
      <c r="F21" s="50" t="s">
        <v>1063</v>
      </c>
      <c r="G21" s="53" t="s">
        <v>1097</v>
      </c>
      <c r="H21" s="50" t="s">
        <v>1085</v>
      </c>
    </row>
    <row r="22" spans="1:8" ht="12.75" customHeight="1" x14ac:dyDescent="0.25">
      <c r="A22" s="14" t="s">
        <v>1098</v>
      </c>
      <c r="B22" s="51">
        <v>41243</v>
      </c>
      <c r="C22" s="14">
        <v>4</v>
      </c>
      <c r="D22" s="14" t="s">
        <v>1099</v>
      </c>
      <c r="E22" s="52">
        <v>41246</v>
      </c>
      <c r="F22" s="50" t="s">
        <v>1100</v>
      </c>
      <c r="G22" s="53" t="s">
        <v>1101</v>
      </c>
      <c r="H22" s="50" t="s">
        <v>1102</v>
      </c>
    </row>
    <row r="23" spans="1:8" ht="12.75" customHeight="1" x14ac:dyDescent="0.25">
      <c r="A23" s="14" t="s">
        <v>1103</v>
      </c>
      <c r="B23" s="51">
        <v>41240</v>
      </c>
      <c r="C23" s="14">
        <v>4</v>
      </c>
      <c r="D23" s="14" t="s">
        <v>1053</v>
      </c>
      <c r="E23" s="52">
        <v>41246</v>
      </c>
      <c r="F23" s="50" t="s">
        <v>1104</v>
      </c>
      <c r="G23" s="53" t="s">
        <v>1105</v>
      </c>
      <c r="H23" s="50"/>
    </row>
    <row r="24" spans="1:8" ht="12.75" customHeight="1" x14ac:dyDescent="0.25">
      <c r="A24" s="14" t="s">
        <v>1106</v>
      </c>
      <c r="B24" s="51">
        <v>41246</v>
      </c>
      <c r="C24" s="14">
        <v>9</v>
      </c>
      <c r="D24" s="14" t="s">
        <v>1053</v>
      </c>
      <c r="E24" s="52">
        <v>41247</v>
      </c>
      <c r="F24" s="50" t="s">
        <v>1063</v>
      </c>
      <c r="G24" s="53" t="s">
        <v>1107</v>
      </c>
      <c r="H24" s="50" t="s">
        <v>1085</v>
      </c>
    </row>
    <row r="25" spans="1:8" ht="12.75" customHeight="1" x14ac:dyDescent="0.25">
      <c r="A25" s="14" t="s">
        <v>1108</v>
      </c>
      <c r="B25" s="51">
        <v>41242</v>
      </c>
      <c r="C25" s="14">
        <v>4</v>
      </c>
      <c r="D25" s="14" t="s">
        <v>1053</v>
      </c>
      <c r="E25" s="52">
        <v>41248</v>
      </c>
      <c r="F25" s="50" t="s">
        <v>1063</v>
      </c>
      <c r="G25" s="53" t="s">
        <v>1109</v>
      </c>
      <c r="H25" s="50" t="s">
        <v>1085</v>
      </c>
    </row>
    <row r="26" spans="1:8" ht="12.5" x14ac:dyDescent="0.25">
      <c r="A26" s="54" t="s">
        <v>1110</v>
      </c>
      <c r="B26" s="51">
        <v>41233</v>
      </c>
      <c r="C26" s="14">
        <v>27</v>
      </c>
      <c r="D26" s="14" t="s">
        <v>1053</v>
      </c>
      <c r="E26" s="55">
        <v>41249</v>
      </c>
      <c r="F26" s="50" t="s">
        <v>1104</v>
      </c>
      <c r="G26" s="53" t="s">
        <v>1111</v>
      </c>
      <c r="H26" s="50"/>
    </row>
    <row r="27" spans="1:8" ht="12.5" x14ac:dyDescent="0.25">
      <c r="A27" s="54" t="s">
        <v>1112</v>
      </c>
      <c r="B27" s="51">
        <v>41249</v>
      </c>
      <c r="C27" s="14">
        <v>7</v>
      </c>
      <c r="D27" s="14" t="s">
        <v>1053</v>
      </c>
      <c r="E27" s="52">
        <v>41250</v>
      </c>
      <c r="F27" s="50" t="s">
        <v>1063</v>
      </c>
      <c r="G27" s="53" t="s">
        <v>1113</v>
      </c>
      <c r="H27" s="50"/>
    </row>
    <row r="28" spans="1:8" ht="12.5" x14ac:dyDescent="0.25">
      <c r="A28" s="14" t="s">
        <v>1114</v>
      </c>
      <c r="B28" s="51">
        <v>41256</v>
      </c>
      <c r="C28" s="14">
        <v>13</v>
      </c>
      <c r="D28" s="14" t="s">
        <v>1053</v>
      </c>
      <c r="E28" s="52">
        <v>41254</v>
      </c>
      <c r="F28" s="50" t="s">
        <v>1063</v>
      </c>
      <c r="G28" s="53" t="s">
        <v>1115</v>
      </c>
      <c r="H28" s="50" t="s">
        <v>1085</v>
      </c>
    </row>
    <row r="29" spans="1:8" ht="13" x14ac:dyDescent="0.3">
      <c r="A29" s="54" t="s">
        <v>1116</v>
      </c>
      <c r="B29" s="51">
        <v>41249</v>
      </c>
      <c r="C29" s="14">
        <v>5</v>
      </c>
      <c r="D29" s="14" t="s">
        <v>1053</v>
      </c>
      <c r="E29" s="56">
        <v>41254</v>
      </c>
      <c r="F29" s="50" t="s">
        <v>1104</v>
      </c>
      <c r="G29" s="53" t="s">
        <v>1117</v>
      </c>
      <c r="H29" s="57"/>
    </row>
    <row r="30" spans="1:8" ht="12.5" x14ac:dyDescent="0.25">
      <c r="A30" s="54" t="s">
        <v>1040</v>
      </c>
      <c r="B30" s="51">
        <v>41239</v>
      </c>
      <c r="C30" s="14">
        <v>4</v>
      </c>
      <c r="D30" s="14" t="s">
        <v>1053</v>
      </c>
      <c r="E30" s="55">
        <v>41254</v>
      </c>
      <c r="F30" s="50" t="s">
        <v>1104</v>
      </c>
      <c r="G30" s="53" t="s">
        <v>1118</v>
      </c>
      <c r="H30" s="50"/>
    </row>
    <row r="31" spans="1:8" ht="12.5" x14ac:dyDescent="0.25">
      <c r="A31" s="54" t="s">
        <v>1119</v>
      </c>
      <c r="B31" s="51">
        <v>41245</v>
      </c>
      <c r="C31" s="14">
        <v>18</v>
      </c>
      <c r="D31" s="14" t="s">
        <v>1053</v>
      </c>
      <c r="E31" s="55">
        <v>41255</v>
      </c>
      <c r="F31" s="50" t="s">
        <v>1104</v>
      </c>
      <c r="G31" s="53" t="s">
        <v>1120</v>
      </c>
      <c r="H31" s="50"/>
    </row>
    <row r="32" spans="1:8" ht="12.5" x14ac:dyDescent="0.25">
      <c r="A32" s="14" t="s">
        <v>1121</v>
      </c>
      <c r="B32" s="51">
        <v>41240</v>
      </c>
      <c r="C32" s="14">
        <v>8</v>
      </c>
      <c r="D32" s="14" t="s">
        <v>1053</v>
      </c>
      <c r="E32" s="52">
        <v>41255</v>
      </c>
      <c r="F32" s="50" t="s">
        <v>1063</v>
      </c>
      <c r="G32" s="53" t="s">
        <v>1122</v>
      </c>
      <c r="H32" s="50" t="s">
        <v>1085</v>
      </c>
    </row>
    <row r="33" spans="1:8" ht="12.5" x14ac:dyDescent="0.25">
      <c r="A33" s="14" t="s">
        <v>1123</v>
      </c>
      <c r="B33" s="51">
        <v>41239</v>
      </c>
      <c r="C33" s="14">
        <v>9</v>
      </c>
      <c r="D33" s="14" t="s">
        <v>1053</v>
      </c>
      <c r="E33" s="52">
        <v>41257</v>
      </c>
      <c r="F33" s="50" t="s">
        <v>1079</v>
      </c>
      <c r="G33" s="53" t="s">
        <v>1124</v>
      </c>
      <c r="H33" s="50" t="s">
        <v>1085</v>
      </c>
    </row>
    <row r="34" spans="1:8" ht="12.5" x14ac:dyDescent="0.25">
      <c r="A34" s="14" t="s">
        <v>1125</v>
      </c>
      <c r="B34" s="51">
        <v>41257</v>
      </c>
      <c r="C34" s="14">
        <v>53</v>
      </c>
      <c r="D34" s="14" t="s">
        <v>1126</v>
      </c>
      <c r="E34" s="55">
        <v>41260</v>
      </c>
      <c r="F34" s="50" t="s">
        <v>1127</v>
      </c>
      <c r="G34" s="53" t="s">
        <v>1128</v>
      </c>
      <c r="H34" s="50"/>
    </row>
    <row r="35" spans="1:8" ht="12.5" x14ac:dyDescent="0.25">
      <c r="A35" s="14" t="s">
        <v>1129</v>
      </c>
      <c r="B35" s="51">
        <v>41250</v>
      </c>
      <c r="C35" s="14">
        <v>3</v>
      </c>
      <c r="D35" s="14" t="s">
        <v>1053</v>
      </c>
      <c r="E35" s="55">
        <v>41260</v>
      </c>
      <c r="F35" s="50" t="s">
        <v>1063</v>
      </c>
      <c r="G35" s="53" t="s">
        <v>1130</v>
      </c>
      <c r="H35" s="50" t="s">
        <v>1085</v>
      </c>
    </row>
    <row r="36" spans="1:8" ht="12.5" x14ac:dyDescent="0.25">
      <c r="A36" s="14" t="s">
        <v>1131</v>
      </c>
      <c r="B36" s="51">
        <v>41239</v>
      </c>
      <c r="C36" s="14">
        <v>11</v>
      </c>
      <c r="D36" s="14" t="s">
        <v>1043</v>
      </c>
      <c r="E36" s="55">
        <v>41260</v>
      </c>
      <c r="F36" s="50" t="s">
        <v>1063</v>
      </c>
      <c r="G36" s="53" t="s">
        <v>1132</v>
      </c>
      <c r="H36" s="50" t="s">
        <v>1070</v>
      </c>
    </row>
    <row r="37" spans="1:8" ht="12.5" x14ac:dyDescent="0.25">
      <c r="A37" s="14" t="s">
        <v>1133</v>
      </c>
      <c r="B37" s="51">
        <v>41249</v>
      </c>
      <c r="C37" s="14">
        <v>10</v>
      </c>
      <c r="D37" s="14" t="s">
        <v>1043</v>
      </c>
      <c r="E37" s="55">
        <v>41260</v>
      </c>
      <c r="F37" s="50" t="s">
        <v>1134</v>
      </c>
      <c r="G37" s="53" t="s">
        <v>1135</v>
      </c>
      <c r="H37" s="50" t="s">
        <v>1070</v>
      </c>
    </row>
    <row r="38" spans="1:8" ht="12.5" x14ac:dyDescent="0.25">
      <c r="A38" s="14" t="s">
        <v>1136</v>
      </c>
      <c r="B38" s="51">
        <v>41260</v>
      </c>
      <c r="C38" s="14">
        <v>3</v>
      </c>
      <c r="D38" s="14" t="s">
        <v>1099</v>
      </c>
      <c r="E38" s="52">
        <v>41261</v>
      </c>
      <c r="F38" s="50" t="s">
        <v>1100</v>
      </c>
      <c r="G38" s="53" t="s">
        <v>1137</v>
      </c>
      <c r="H38" s="50" t="s">
        <v>1102</v>
      </c>
    </row>
    <row r="39" spans="1:8" ht="12.5" x14ac:dyDescent="0.25">
      <c r="A39" s="58" t="s">
        <v>1138</v>
      </c>
      <c r="B39" s="51">
        <v>41244</v>
      </c>
      <c r="C39" s="14">
        <v>4</v>
      </c>
      <c r="D39" s="14" t="s">
        <v>1053</v>
      </c>
      <c r="E39" s="52">
        <v>41262</v>
      </c>
      <c r="F39" s="50" t="s">
        <v>1063</v>
      </c>
      <c r="G39" s="53" t="s">
        <v>1139</v>
      </c>
      <c r="H39" s="50"/>
    </row>
    <row r="40" spans="1:8" ht="12.5" x14ac:dyDescent="0.25">
      <c r="A40" s="58" t="s">
        <v>1140</v>
      </c>
      <c r="B40" s="51">
        <v>41239</v>
      </c>
      <c r="C40" s="14">
        <v>14</v>
      </c>
      <c r="D40" s="14" t="s">
        <v>1053</v>
      </c>
      <c r="E40" s="55">
        <v>41277</v>
      </c>
      <c r="F40" s="50" t="s">
        <v>1104</v>
      </c>
      <c r="G40" s="53" t="s">
        <v>1141</v>
      </c>
      <c r="H40" s="50"/>
    </row>
    <row r="41" spans="1:8" ht="12.5" x14ac:dyDescent="0.25">
      <c r="A41" s="54" t="s">
        <v>1142</v>
      </c>
      <c r="B41" s="51">
        <v>41232</v>
      </c>
      <c r="C41" s="14">
        <v>9</v>
      </c>
      <c r="D41" s="14" t="s">
        <v>1053</v>
      </c>
      <c r="E41" s="55">
        <v>41283</v>
      </c>
      <c r="F41" s="50" t="s">
        <v>1104</v>
      </c>
      <c r="G41" s="53" t="s">
        <v>1143</v>
      </c>
      <c r="H41" s="50"/>
    </row>
    <row r="42" spans="1:8" ht="12.5" x14ac:dyDescent="0.25">
      <c r="A42" s="54" t="s">
        <v>1144</v>
      </c>
      <c r="B42" s="51">
        <v>41248</v>
      </c>
      <c r="C42" s="14">
        <v>8</v>
      </c>
      <c r="D42" s="14" t="s">
        <v>1053</v>
      </c>
      <c r="E42" s="56">
        <v>41288</v>
      </c>
      <c r="F42" s="50" t="s">
        <v>1104</v>
      </c>
      <c r="G42" s="53" t="s">
        <v>1145</v>
      </c>
      <c r="H42" s="50"/>
    </row>
    <row r="43" spans="1:8" ht="12.5" x14ac:dyDescent="0.25">
      <c r="A43" s="59" t="s">
        <v>1146</v>
      </c>
      <c r="B43" s="51">
        <v>41250</v>
      </c>
      <c r="C43" s="14">
        <v>16</v>
      </c>
      <c r="D43" s="14" t="s">
        <v>1053</v>
      </c>
      <c r="E43" s="56">
        <v>41317</v>
      </c>
      <c r="F43" s="50" t="s">
        <v>1104</v>
      </c>
      <c r="G43" s="50"/>
      <c r="H43" s="50"/>
    </row>
    <row r="44" spans="1:8" ht="12.5" x14ac:dyDescent="0.25">
      <c r="B44" s="60"/>
      <c r="F44" s="50"/>
      <c r="G44" s="50"/>
      <c r="H44" s="50"/>
    </row>
    <row r="45" spans="1:8" ht="12.5" x14ac:dyDescent="0.25">
      <c r="B45" s="60"/>
      <c r="F45" s="50"/>
      <c r="G45" s="50"/>
      <c r="H45" s="50"/>
    </row>
    <row r="46" spans="1:8" ht="12.5" x14ac:dyDescent="0.25">
      <c r="B46" s="60"/>
      <c r="F46" s="50"/>
      <c r="G46" s="50"/>
      <c r="H46" s="50"/>
    </row>
    <row r="47" spans="1:8" ht="12.5" x14ac:dyDescent="0.25">
      <c r="B47" s="60"/>
      <c r="F47" s="50"/>
      <c r="G47" s="50"/>
      <c r="H47" s="50"/>
    </row>
    <row r="48" spans="1:8" ht="13" x14ac:dyDescent="0.3">
      <c r="A48" s="48" t="s">
        <v>1147</v>
      </c>
      <c r="B48" s="60"/>
      <c r="F48" s="50"/>
      <c r="G48" s="50"/>
      <c r="H48" s="50"/>
    </row>
    <row r="49" spans="1:8" ht="12.5" x14ac:dyDescent="0.25">
      <c r="A49" s="58" t="s">
        <v>1148</v>
      </c>
      <c r="B49" s="51">
        <v>41241</v>
      </c>
      <c r="C49" s="14">
        <v>7</v>
      </c>
      <c r="D49" s="14" t="s">
        <v>1053</v>
      </c>
      <c r="E49" s="61">
        <v>41277</v>
      </c>
      <c r="F49" s="50" t="s">
        <v>1104</v>
      </c>
      <c r="G49" s="53" t="s">
        <v>1149</v>
      </c>
      <c r="H49" s="50" t="s">
        <v>1150</v>
      </c>
    </row>
    <row r="50" spans="1:8" ht="12.5" x14ac:dyDescent="0.25">
      <c r="A50" s="58" t="s">
        <v>1151</v>
      </c>
      <c r="B50" s="51">
        <v>41239</v>
      </c>
      <c r="C50" s="14">
        <v>18</v>
      </c>
      <c r="D50" s="14" t="s">
        <v>1053</v>
      </c>
      <c r="E50" s="62">
        <v>41288</v>
      </c>
      <c r="F50" s="50" t="s">
        <v>1104</v>
      </c>
      <c r="G50" s="53" t="s">
        <v>1152</v>
      </c>
      <c r="H50" s="50" t="s">
        <v>1153</v>
      </c>
    </row>
    <row r="51" spans="1:8" ht="12.5" x14ac:dyDescent="0.25">
      <c r="A51" s="58" t="s">
        <v>1154</v>
      </c>
      <c r="B51" s="51">
        <v>41249</v>
      </c>
      <c r="C51" s="14">
        <v>36</v>
      </c>
      <c r="D51" s="14" t="s">
        <v>1053</v>
      </c>
      <c r="E51" s="62">
        <v>41283</v>
      </c>
      <c r="F51" s="50" t="s">
        <v>1104</v>
      </c>
      <c r="G51" s="53" t="s">
        <v>1155</v>
      </c>
      <c r="H51" s="50" t="s">
        <v>1156</v>
      </c>
    </row>
    <row r="52" spans="1:8" ht="12.5" x14ac:dyDescent="0.25">
      <c r="A52" s="54" t="s">
        <v>1157</v>
      </c>
      <c r="B52" s="51">
        <v>41274</v>
      </c>
      <c r="C52" s="14">
        <v>27</v>
      </c>
      <c r="D52" s="14" t="s">
        <v>1053</v>
      </c>
      <c r="E52" s="62">
        <v>41284</v>
      </c>
      <c r="F52" s="50" t="s">
        <v>1104</v>
      </c>
      <c r="G52" s="53" t="s">
        <v>1158</v>
      </c>
      <c r="H52" s="50" t="s">
        <v>1159</v>
      </c>
    </row>
    <row r="53" spans="1:8" ht="12.5" x14ac:dyDescent="0.25">
      <c r="B53" s="60"/>
      <c r="F53" s="50"/>
      <c r="G53" s="50"/>
      <c r="H53" s="50"/>
    </row>
    <row r="54" spans="1:8" ht="13" x14ac:dyDescent="0.3">
      <c r="A54" s="48" t="s">
        <v>1160</v>
      </c>
      <c r="B54" s="60"/>
      <c r="F54" s="50"/>
      <c r="G54" s="50"/>
      <c r="H54" s="50"/>
    </row>
    <row r="55" spans="1:8" ht="12.5" x14ac:dyDescent="0.25">
      <c r="A55" s="14" t="s">
        <v>1161</v>
      </c>
      <c r="B55" s="51">
        <v>41239</v>
      </c>
      <c r="C55" s="14">
        <v>2</v>
      </c>
      <c r="D55" s="14" t="s">
        <v>1043</v>
      </c>
      <c r="F55" s="50"/>
      <c r="G55" s="53" t="s">
        <v>1162</v>
      </c>
      <c r="H55" s="50" t="s">
        <v>1085</v>
      </c>
    </row>
    <row r="56" spans="1:8" ht="12.5" x14ac:dyDescent="0.25">
      <c r="A56" s="54" t="s">
        <v>1163</v>
      </c>
      <c r="B56" s="51">
        <v>41254</v>
      </c>
      <c r="C56" s="14">
        <v>12</v>
      </c>
      <c r="D56" s="14" t="s">
        <v>1164</v>
      </c>
      <c r="F56" s="50"/>
      <c r="G56" s="53" t="s">
        <v>1165</v>
      </c>
      <c r="H56" s="50" t="s">
        <v>1166</v>
      </c>
    </row>
    <row r="57" spans="1:8" ht="13" x14ac:dyDescent="0.3">
      <c r="A57" s="14" t="s">
        <v>1167</v>
      </c>
      <c r="B57" s="51">
        <v>41246</v>
      </c>
      <c r="C57" s="14">
        <v>3</v>
      </c>
      <c r="D57" s="14" t="s">
        <v>1043</v>
      </c>
      <c r="E57" s="63"/>
      <c r="F57" s="50" t="s">
        <v>1168</v>
      </c>
      <c r="G57" s="50"/>
      <c r="H57" s="50"/>
    </row>
    <row r="58" spans="1:8" ht="12.5" x14ac:dyDescent="0.25">
      <c r="A58" s="54" t="s">
        <v>1169</v>
      </c>
      <c r="B58" s="51">
        <v>41241</v>
      </c>
      <c r="C58" s="14">
        <v>5</v>
      </c>
      <c r="D58" s="14" t="s">
        <v>1043</v>
      </c>
      <c r="F58" s="50"/>
      <c r="G58" s="50"/>
      <c r="H58" s="50"/>
    </row>
    <row r="59" spans="1:8" ht="12.5" x14ac:dyDescent="0.25">
      <c r="A59" s="14" t="s">
        <v>1170</v>
      </c>
      <c r="B59" s="51">
        <v>41241</v>
      </c>
      <c r="C59" s="14">
        <v>9</v>
      </c>
      <c r="D59" s="14" t="s">
        <v>1164</v>
      </c>
      <c r="F59" s="50"/>
      <c r="G59" s="50"/>
      <c r="H59" s="50" t="s">
        <v>1171</v>
      </c>
    </row>
  </sheetData>
  <hyperlinks>
    <hyperlink ref="G3" r:id="rId1" xr:uid="{00000000-0004-0000-0400-000000000000}"/>
    <hyperlink ref="G4" r:id="rId2" xr:uid="{00000000-0004-0000-0400-000001000000}"/>
    <hyperlink ref="G5" r:id="rId3" xr:uid="{00000000-0004-0000-0400-000002000000}"/>
    <hyperlink ref="G6" r:id="rId4" xr:uid="{00000000-0004-0000-0400-000003000000}"/>
    <hyperlink ref="G7" r:id="rId5" xr:uid="{00000000-0004-0000-0400-000004000000}"/>
    <hyperlink ref="G8" r:id="rId6" xr:uid="{00000000-0004-0000-0400-000005000000}"/>
    <hyperlink ref="G9" r:id="rId7" xr:uid="{00000000-0004-0000-0400-000006000000}"/>
    <hyperlink ref="G10" r:id="rId8" xr:uid="{00000000-0004-0000-0400-000007000000}"/>
    <hyperlink ref="G11" r:id="rId9" xr:uid="{00000000-0004-0000-0400-000008000000}"/>
    <hyperlink ref="G12" r:id="rId10" xr:uid="{00000000-0004-0000-0400-000009000000}"/>
    <hyperlink ref="G13" r:id="rId11" xr:uid="{00000000-0004-0000-0400-00000A000000}"/>
    <hyperlink ref="G14" r:id="rId12" xr:uid="{00000000-0004-0000-0400-00000B000000}"/>
    <hyperlink ref="G15" r:id="rId13" xr:uid="{00000000-0004-0000-0400-00000C000000}"/>
    <hyperlink ref="G16" r:id="rId14" xr:uid="{00000000-0004-0000-0400-00000D000000}"/>
    <hyperlink ref="G17" r:id="rId15" xr:uid="{00000000-0004-0000-0400-00000E000000}"/>
    <hyperlink ref="G18" r:id="rId16" xr:uid="{00000000-0004-0000-0400-00000F000000}"/>
    <hyperlink ref="G19" r:id="rId17" xr:uid="{00000000-0004-0000-0400-000010000000}"/>
    <hyperlink ref="G20" r:id="rId18" xr:uid="{00000000-0004-0000-0400-000011000000}"/>
    <hyperlink ref="G21" r:id="rId19" xr:uid="{00000000-0004-0000-0400-000012000000}"/>
    <hyperlink ref="G22" r:id="rId20" xr:uid="{00000000-0004-0000-0400-000013000000}"/>
    <hyperlink ref="G23" r:id="rId21" xr:uid="{00000000-0004-0000-0400-000014000000}"/>
    <hyperlink ref="G24" r:id="rId22" xr:uid="{00000000-0004-0000-0400-000015000000}"/>
    <hyperlink ref="G25" r:id="rId23" xr:uid="{00000000-0004-0000-0400-000016000000}"/>
    <hyperlink ref="G26" r:id="rId24" xr:uid="{00000000-0004-0000-0400-000017000000}"/>
    <hyperlink ref="G27" r:id="rId25" xr:uid="{00000000-0004-0000-0400-000018000000}"/>
    <hyperlink ref="G28" r:id="rId26" xr:uid="{00000000-0004-0000-0400-000019000000}"/>
    <hyperlink ref="G29" r:id="rId27" xr:uid="{00000000-0004-0000-0400-00001A000000}"/>
    <hyperlink ref="G30" r:id="rId28" xr:uid="{00000000-0004-0000-0400-00001B000000}"/>
    <hyperlink ref="G31" r:id="rId29" xr:uid="{00000000-0004-0000-0400-00001C000000}"/>
    <hyperlink ref="G32" r:id="rId30" xr:uid="{00000000-0004-0000-0400-00001D000000}"/>
    <hyperlink ref="G33" r:id="rId31" xr:uid="{00000000-0004-0000-0400-00001E000000}"/>
    <hyperlink ref="G34" r:id="rId32" xr:uid="{00000000-0004-0000-0400-00001F000000}"/>
    <hyperlink ref="G35" r:id="rId33" xr:uid="{00000000-0004-0000-0400-000020000000}"/>
    <hyperlink ref="G36" r:id="rId34" xr:uid="{00000000-0004-0000-0400-000021000000}"/>
    <hyperlink ref="G37" r:id="rId35" xr:uid="{00000000-0004-0000-0400-000022000000}"/>
    <hyperlink ref="G38" r:id="rId36" xr:uid="{00000000-0004-0000-0400-000023000000}"/>
    <hyperlink ref="G39" r:id="rId37" xr:uid="{00000000-0004-0000-0400-000024000000}"/>
    <hyperlink ref="G40" r:id="rId38" xr:uid="{00000000-0004-0000-0400-000025000000}"/>
    <hyperlink ref="G41" r:id="rId39" xr:uid="{00000000-0004-0000-0400-000026000000}"/>
    <hyperlink ref="G42" r:id="rId40" xr:uid="{00000000-0004-0000-0400-000027000000}"/>
    <hyperlink ref="G49" r:id="rId41" xr:uid="{00000000-0004-0000-0400-000028000000}"/>
    <hyperlink ref="G50" r:id="rId42" xr:uid="{00000000-0004-0000-0400-000029000000}"/>
    <hyperlink ref="G51" r:id="rId43" xr:uid="{00000000-0004-0000-0400-00002A000000}"/>
    <hyperlink ref="G52" r:id="rId44" xr:uid="{00000000-0004-0000-0400-00002B000000}"/>
    <hyperlink ref="G55" r:id="rId45" location="nov" xr:uid="{00000000-0004-0000-0400-00002C000000}"/>
    <hyperlink ref="G56" r:id="rId46" xr:uid="{00000000-0004-0000-0400-00002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Results</vt:lpstr>
      <vt:lpstr>Build</vt:lpstr>
      <vt:lpstr>Header</vt:lpstr>
      <vt:lpstr>Calculations</vt:lpstr>
      <vt:lpstr>Sources</vt:lpstr>
      <vt:lpstr>Data Source Summary</vt:lpstr>
      <vt:lpstr>Header!CDs</vt:lpstr>
      <vt:lpstr>CDs</vt:lpstr>
      <vt:lpstr>Header!ColumnHeaders</vt:lpstr>
      <vt:lpstr>ColumnHeaders</vt:lpstr>
      <vt:lpstr>ColumnHeaders2</vt:lpstr>
      <vt:lpstr>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Onestak</dc:creator>
  <cp:lastModifiedBy>Scott Onestak</cp:lastModifiedBy>
  <dcterms:created xsi:type="dcterms:W3CDTF">2022-09-26T19:11:32Z</dcterms:created>
  <dcterms:modified xsi:type="dcterms:W3CDTF">2022-09-26T19:15:22Z</dcterms:modified>
</cp:coreProperties>
</file>